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MMRBEMTrainSim\trunk\content\worlds\mmrbem\source\featurePlacement\input\"/>
    </mc:Choice>
  </mc:AlternateContent>
  <xr:revisionPtr revIDLastSave="0" documentId="13_ncr:1_{0D1C874D-FF03-496E-83E6-DBEE28166A2E}" xr6:coauthVersionLast="47" xr6:coauthVersionMax="47" xr10:uidLastSave="{00000000-0000-0000-0000-000000000000}"/>
  <bookViews>
    <workbookView xWindow="-120" yWindow="-120" windowWidth="29040" windowHeight="15840" tabRatio="694" firstSheet="3" activeTab="6" xr2:uid="{00000000-000D-0000-FFFF-FFFF00000000}"/>
  </bookViews>
  <sheets>
    <sheet name="Track Title" sheetId="1" r:id="rId1"/>
    <sheet name="FEATURE_RULES" sheetId="5" r:id="rId2"/>
    <sheet name="Query" sheetId="26" r:id="rId3"/>
    <sheet name="Errors" sheetId="13" r:id="rId4"/>
    <sheet name="PATH" sheetId="39" r:id="rId5"/>
    <sheet name="Path Query" sheetId="40" r:id="rId6"/>
    <sheet name="Line_7_Signals" sheetId="45" r:id="rId7"/>
    <sheet name="Track Circuit" sheetId="41" r:id="rId8"/>
    <sheet name="Platform Passenger" sheetId="38" r:id="rId9"/>
    <sheet name="Stopping Point" sheetId="44" r:id="rId10"/>
    <sheet name="Speed limit" sheetId="43" r:id="rId11"/>
    <sheet name="CBTC Beacon" sheetId="42" r:id="rId12"/>
    <sheet name="Boards" sheetId="47" r:id="rId13"/>
    <sheet name="Fouling_Mark" sheetId="50" r:id="rId14"/>
    <sheet name="NSMB" sheetId="51" r:id="rId15"/>
    <sheet name="SRMB" sheetId="52" r:id="rId16"/>
    <sheet name="Fixed Obstructions" sheetId="53" r:id="rId17"/>
  </sheets>
  <definedNames>
    <definedName name="_xlnm._FilterDatabase" localSheetId="6" hidden="1">Line_7_Signals!$A$7:$Y$320</definedName>
    <definedName name="_xlnm._FilterDatabase" localSheetId="8" hidden="1">'Platform Passenger'!$D$11:$D$478</definedName>
    <definedName name="file_path" localSheetId="16">#REF!</definedName>
    <definedName name="file_path" localSheetId="8">#REF!</definedName>
    <definedName name="file_path">#REF!</definedName>
    <definedName name="KPH_2" localSheetId="16">#REF!</definedName>
    <definedName name="KPH_2" localSheetId="8">#REF!</definedName>
    <definedName name="KPH_2">#REF!</definedName>
    <definedName name="KPH_3" localSheetId="16">#REF!</definedName>
    <definedName name="KPH_3" localSheetId="8">#REF!</definedName>
    <definedName name="KPH_3">#REF!</definedName>
    <definedName name="KPH_TO_MPS" localSheetId="16">#REF!</definedName>
    <definedName name="KPH_TO_MPS" localSheetId="6">#REF!</definedName>
    <definedName name="KPH_TO_MPS" localSheetId="8">#REF!</definedName>
    <definedName name="KPH_TO_MPS">#REF!</definedName>
    <definedName name="KPH_TO_MS" localSheetId="16">#REF!</definedName>
    <definedName name="KPH_TO_MS" localSheetId="6">#REF!</definedName>
    <definedName name="KPH_TO_MS" localSheetId="8">#REF!</definedName>
    <definedName name="KPH_TO_MS">#REF!</definedName>
    <definedName name="TC" localSheetId="16">#REF!</definedName>
    <definedName name="T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5" i="51" l="1"/>
  <c r="I114" i="51"/>
  <c r="I113" i="51"/>
  <c r="I112" i="51"/>
  <c r="I111" i="51"/>
  <c r="I110" i="51"/>
  <c r="I109" i="51"/>
  <c r="I108" i="51"/>
  <c r="I107" i="51"/>
  <c r="I106" i="51"/>
  <c r="I105" i="51"/>
  <c r="I104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2" i="51"/>
  <c r="I41" i="51"/>
  <c r="I40" i="51"/>
  <c r="I39" i="51"/>
  <c r="I38" i="51"/>
  <c r="I37" i="51"/>
  <c r="I36" i="51"/>
  <c r="I35" i="51"/>
  <c r="I34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7" i="51"/>
  <c r="I16" i="51"/>
  <c r="I14" i="51"/>
  <c r="I13" i="51"/>
  <c r="I12" i="51"/>
  <c r="I19" i="50"/>
  <c r="I17" i="50"/>
  <c r="I16" i="50"/>
  <c r="I15" i="50"/>
  <c r="I14" i="50"/>
  <c r="I13" i="50"/>
  <c r="I12" i="50"/>
  <c r="I11" i="50"/>
  <c r="I10" i="50"/>
  <c r="I9" i="50"/>
  <c r="I8" i="50"/>
  <c r="I7" i="50"/>
  <c r="I12" i="47"/>
  <c r="I555" i="42"/>
  <c r="I554" i="42"/>
  <c r="I553" i="42"/>
  <c r="I552" i="42"/>
  <c r="I551" i="42"/>
  <c r="I550" i="42"/>
  <c r="I549" i="42"/>
  <c r="I548" i="42"/>
  <c r="I547" i="42"/>
  <c r="I546" i="42"/>
  <c r="I545" i="42"/>
  <c r="I544" i="42"/>
  <c r="I543" i="42"/>
  <c r="I542" i="42"/>
  <c r="I541" i="42"/>
  <c r="I540" i="42"/>
  <c r="I539" i="42"/>
  <c r="I538" i="42"/>
  <c r="I537" i="42"/>
  <c r="I536" i="42"/>
  <c r="I535" i="42"/>
  <c r="I534" i="42"/>
  <c r="I533" i="42"/>
  <c r="I532" i="42"/>
  <c r="I531" i="42"/>
  <c r="I530" i="42"/>
  <c r="I529" i="42"/>
  <c r="I528" i="42"/>
  <c r="I527" i="42"/>
  <c r="I526" i="42"/>
  <c r="I525" i="42"/>
  <c r="I524" i="42"/>
  <c r="I523" i="42"/>
  <c r="I522" i="42"/>
  <c r="I521" i="42"/>
  <c r="I520" i="42"/>
  <c r="I519" i="42"/>
  <c r="I518" i="42"/>
  <c r="I517" i="42"/>
  <c r="I516" i="42"/>
  <c r="I515" i="42"/>
  <c r="I514" i="42"/>
  <c r="I513" i="42"/>
  <c r="I512" i="42"/>
  <c r="I511" i="42"/>
  <c r="I510" i="42"/>
  <c r="I509" i="42"/>
  <c r="I508" i="42"/>
  <c r="I507" i="42"/>
  <c r="I506" i="42"/>
  <c r="I505" i="42"/>
  <c r="I504" i="42"/>
  <c r="I503" i="42"/>
  <c r="I502" i="42"/>
  <c r="I501" i="42"/>
  <c r="I500" i="42"/>
  <c r="I499" i="42"/>
  <c r="I498" i="42"/>
  <c r="I497" i="42"/>
  <c r="I496" i="42"/>
  <c r="I495" i="42"/>
  <c r="I494" i="42"/>
  <c r="I493" i="42"/>
  <c r="I492" i="42"/>
  <c r="I491" i="42"/>
  <c r="I490" i="42"/>
  <c r="I489" i="42"/>
  <c r="I488" i="42"/>
  <c r="I487" i="42"/>
  <c r="I486" i="42"/>
  <c r="I485" i="42"/>
  <c r="I484" i="42"/>
  <c r="I483" i="42"/>
  <c r="I482" i="42"/>
  <c r="I481" i="42"/>
  <c r="I480" i="42"/>
  <c r="I479" i="42"/>
  <c r="I478" i="42"/>
  <c r="I477" i="42"/>
  <c r="I476" i="42"/>
  <c r="I475" i="42"/>
  <c r="I474" i="42"/>
  <c r="I473" i="42"/>
  <c r="I472" i="42"/>
  <c r="I471" i="42"/>
  <c r="I470" i="42"/>
  <c r="I469" i="42"/>
  <c r="I468" i="42"/>
  <c r="I467" i="42"/>
  <c r="I466" i="42"/>
  <c r="I465" i="42"/>
  <c r="I464" i="42"/>
  <c r="I463" i="42"/>
  <c r="I462" i="42"/>
  <c r="I461" i="42"/>
  <c r="I460" i="42"/>
  <c r="I459" i="42"/>
  <c r="I458" i="42"/>
  <c r="I457" i="42"/>
  <c r="I456" i="42"/>
  <c r="I455" i="42"/>
  <c r="I454" i="42"/>
  <c r="I453" i="42"/>
  <c r="I452" i="42"/>
  <c r="I451" i="42"/>
  <c r="I450" i="42"/>
  <c r="I449" i="42"/>
  <c r="I448" i="42"/>
  <c r="I447" i="42"/>
  <c r="I446" i="42"/>
  <c r="I445" i="42"/>
  <c r="I444" i="42"/>
  <c r="I443" i="42"/>
  <c r="I442" i="42"/>
  <c r="I441" i="42"/>
  <c r="I440" i="42"/>
  <c r="I439" i="42"/>
  <c r="I438" i="42"/>
  <c r="I437" i="42"/>
  <c r="I436" i="42"/>
  <c r="I435" i="42"/>
  <c r="I434" i="42"/>
  <c r="I433" i="42"/>
  <c r="I432" i="42"/>
  <c r="I431" i="42"/>
  <c r="I430" i="42"/>
  <c r="I429" i="42"/>
  <c r="I428" i="42"/>
  <c r="I427" i="42"/>
  <c r="I426" i="42"/>
  <c r="I425" i="42"/>
  <c r="I424" i="42"/>
  <c r="I423" i="42"/>
  <c r="I422" i="42"/>
  <c r="I421" i="42"/>
  <c r="I420" i="42"/>
  <c r="I419" i="42"/>
  <c r="I418" i="42"/>
  <c r="I417" i="42"/>
  <c r="I416" i="42"/>
  <c r="I415" i="42"/>
  <c r="I414" i="42"/>
  <c r="I413" i="42"/>
  <c r="I412" i="42"/>
  <c r="I411" i="42"/>
  <c r="I410" i="42"/>
  <c r="I409" i="42"/>
  <c r="I408" i="42"/>
  <c r="I407" i="42"/>
  <c r="I406" i="42"/>
  <c r="I405" i="42"/>
  <c r="I404" i="42"/>
  <c r="I403" i="42"/>
  <c r="I402" i="42"/>
  <c r="I401" i="42"/>
  <c r="I400" i="42"/>
  <c r="I399" i="42"/>
  <c r="I398" i="42"/>
  <c r="I397" i="42"/>
  <c r="I396" i="42"/>
  <c r="I395" i="42"/>
  <c r="I394" i="42"/>
  <c r="I393" i="42"/>
  <c r="I392" i="42"/>
  <c r="I391" i="42"/>
  <c r="I390" i="42"/>
  <c r="I389" i="42"/>
  <c r="I388" i="42"/>
  <c r="I387" i="42"/>
  <c r="I386" i="42"/>
  <c r="I385" i="42"/>
  <c r="I384" i="42"/>
  <c r="I383" i="42"/>
  <c r="I382" i="42"/>
  <c r="I381" i="42"/>
  <c r="I380" i="42"/>
  <c r="I379" i="42"/>
  <c r="I378" i="42"/>
  <c r="I377" i="42"/>
  <c r="I376" i="42"/>
  <c r="I375" i="42"/>
  <c r="I374" i="42"/>
  <c r="I373" i="42"/>
  <c r="I372" i="42"/>
  <c r="I371" i="42"/>
  <c r="I370" i="42"/>
  <c r="I369" i="42"/>
  <c r="I368" i="42"/>
  <c r="I367" i="42"/>
  <c r="I366" i="42"/>
  <c r="I365" i="42"/>
  <c r="I364" i="42"/>
  <c r="I363" i="42"/>
  <c r="I362" i="42"/>
  <c r="I361" i="42"/>
  <c r="I360" i="42"/>
  <c r="I359" i="42"/>
  <c r="I358" i="42"/>
  <c r="I357" i="42"/>
  <c r="I356" i="42"/>
  <c r="I355" i="42"/>
  <c r="I354" i="42"/>
  <c r="I353" i="42"/>
  <c r="I352" i="42"/>
  <c r="I351" i="42"/>
  <c r="I350" i="42"/>
  <c r="I349" i="42"/>
  <c r="I348" i="42"/>
  <c r="I347" i="42"/>
  <c r="I346" i="42"/>
  <c r="I345" i="42"/>
  <c r="I344" i="42"/>
  <c r="I343" i="42"/>
  <c r="I342" i="42"/>
  <c r="I341" i="42"/>
  <c r="I340" i="42"/>
  <c r="I339" i="42"/>
  <c r="I338" i="42"/>
  <c r="I337" i="42"/>
  <c r="I336" i="42"/>
  <c r="I335" i="42"/>
  <c r="I334" i="42"/>
  <c r="I333" i="42"/>
  <c r="I332" i="42"/>
  <c r="I331" i="42"/>
  <c r="I330" i="42"/>
  <c r="I329" i="42"/>
  <c r="I328" i="42"/>
  <c r="I327" i="42"/>
  <c r="I326" i="42"/>
  <c r="I325" i="42"/>
  <c r="I324" i="42"/>
  <c r="I323" i="42"/>
  <c r="I322" i="42"/>
  <c r="I321" i="42"/>
  <c r="I320" i="42"/>
  <c r="I319" i="42"/>
  <c r="I318" i="42"/>
  <c r="I317" i="42"/>
  <c r="I316" i="42"/>
  <c r="I315" i="42"/>
  <c r="I314" i="42"/>
  <c r="I313" i="42"/>
  <c r="I312" i="42"/>
  <c r="I311" i="42"/>
  <c r="I310" i="42"/>
  <c r="I309" i="42"/>
  <c r="I308" i="42"/>
  <c r="I307" i="42"/>
  <c r="I306" i="42"/>
  <c r="I305" i="42"/>
  <c r="I304" i="42"/>
  <c r="I303" i="42"/>
  <c r="I302" i="42"/>
  <c r="I301" i="42"/>
  <c r="I300" i="42"/>
  <c r="I299" i="42"/>
  <c r="I298" i="42"/>
  <c r="I297" i="42"/>
  <c r="I296" i="42"/>
  <c r="I295" i="42"/>
  <c r="I294" i="42"/>
  <c r="I293" i="42"/>
  <c r="I292" i="42"/>
  <c r="I291" i="42"/>
  <c r="I290" i="42"/>
  <c r="I289" i="42"/>
  <c r="I288" i="42"/>
  <c r="I287" i="42"/>
  <c r="I286" i="42"/>
  <c r="I285" i="42"/>
  <c r="I284" i="42"/>
  <c r="I283" i="42"/>
  <c r="I282" i="42"/>
  <c r="I281" i="42"/>
  <c r="I280" i="42"/>
  <c r="I279" i="42"/>
  <c r="I278" i="42"/>
  <c r="I277" i="42"/>
  <c r="I276" i="42"/>
  <c r="I275" i="42"/>
  <c r="I274" i="42"/>
  <c r="I273" i="42"/>
  <c r="I272" i="42"/>
  <c r="I271" i="42"/>
  <c r="I270" i="42"/>
  <c r="I269" i="42"/>
  <c r="I268" i="42"/>
  <c r="I267" i="42"/>
  <c r="I266" i="42"/>
  <c r="I265" i="42"/>
  <c r="I264" i="42"/>
  <c r="I263" i="42"/>
  <c r="I262" i="42"/>
  <c r="I261" i="42"/>
  <c r="I260" i="42"/>
  <c r="I259" i="42"/>
  <c r="I258" i="42"/>
  <c r="I257" i="42"/>
  <c r="I256" i="42"/>
  <c r="I255" i="42"/>
  <c r="I254" i="42"/>
  <c r="I253" i="42"/>
  <c r="I252" i="42"/>
  <c r="I251" i="42"/>
  <c r="I250" i="42"/>
  <c r="I249" i="42"/>
  <c r="I248" i="42"/>
  <c r="I247" i="42"/>
  <c r="I246" i="42"/>
  <c r="I245" i="42"/>
  <c r="I244" i="42"/>
  <c r="I243" i="42"/>
  <c r="I242" i="42"/>
  <c r="I241" i="42"/>
  <c r="I240" i="42"/>
  <c r="I239" i="42"/>
  <c r="I238" i="42"/>
  <c r="I237" i="42"/>
  <c r="I236" i="42"/>
  <c r="I235" i="42"/>
  <c r="I234" i="42"/>
  <c r="I233" i="42"/>
  <c r="I232" i="42"/>
  <c r="I231" i="42"/>
  <c r="I230" i="42"/>
  <c r="I229" i="42"/>
  <c r="I228" i="42"/>
  <c r="I227" i="42"/>
  <c r="I226" i="42"/>
  <c r="I225" i="42"/>
  <c r="I224" i="42"/>
  <c r="I223" i="42"/>
  <c r="I222" i="42"/>
  <c r="I221" i="42"/>
  <c r="I220" i="42"/>
  <c r="I219" i="42"/>
  <c r="I218" i="42"/>
  <c r="I217" i="42"/>
  <c r="I216" i="42"/>
  <c r="I215" i="42"/>
  <c r="I214" i="42"/>
  <c r="I213" i="42"/>
  <c r="I212" i="42"/>
  <c r="I211" i="42"/>
  <c r="I210" i="42"/>
  <c r="I209" i="42"/>
  <c r="I208" i="42"/>
  <c r="I207" i="42"/>
  <c r="I206" i="42"/>
  <c r="I205" i="42"/>
  <c r="I204" i="42"/>
  <c r="I203" i="42"/>
  <c r="I202" i="42"/>
  <c r="I201" i="42"/>
  <c r="I200" i="42"/>
  <c r="I199" i="42"/>
  <c r="I198" i="42"/>
  <c r="I197" i="42"/>
  <c r="I196" i="42"/>
  <c r="I195" i="42"/>
  <c r="I194" i="42"/>
  <c r="I193" i="42"/>
  <c r="I192" i="42"/>
  <c r="I191" i="42"/>
  <c r="I190" i="42"/>
  <c r="I189" i="42"/>
  <c r="I188" i="42"/>
  <c r="I187" i="42"/>
  <c r="I186" i="42"/>
  <c r="I185" i="42"/>
  <c r="I184" i="42"/>
  <c r="I183" i="42"/>
  <c r="I182" i="42"/>
  <c r="I181" i="42"/>
  <c r="I180" i="42"/>
  <c r="I179" i="42"/>
  <c r="I178" i="42"/>
  <c r="I177" i="42"/>
  <c r="I176" i="42"/>
  <c r="I175" i="42"/>
  <c r="I174" i="42"/>
  <c r="I173" i="42"/>
  <c r="I172" i="42"/>
  <c r="I171" i="42"/>
  <c r="I170" i="42"/>
  <c r="I169" i="42"/>
  <c r="I168" i="42"/>
  <c r="I167" i="42"/>
  <c r="I166" i="42"/>
  <c r="I165" i="42"/>
  <c r="I164" i="42"/>
  <c r="I163" i="42"/>
  <c r="I162" i="42"/>
  <c r="I161" i="42"/>
  <c r="I160" i="42"/>
  <c r="I159" i="42"/>
  <c r="I158" i="42"/>
  <c r="I157" i="42"/>
  <c r="I156" i="42"/>
  <c r="I155" i="42"/>
  <c r="I154" i="42"/>
  <c r="I153" i="42"/>
  <c r="I152" i="42"/>
  <c r="I151" i="42"/>
  <c r="I150" i="42"/>
  <c r="I149" i="42"/>
  <c r="I148" i="42"/>
  <c r="I147" i="42"/>
  <c r="I146" i="42"/>
  <c r="I145" i="42"/>
  <c r="I144" i="42"/>
  <c r="I143" i="42"/>
  <c r="I142" i="42"/>
  <c r="I141" i="42"/>
  <c r="I140" i="42"/>
  <c r="I139" i="42"/>
  <c r="I138" i="42"/>
  <c r="I137" i="42"/>
  <c r="I136" i="42"/>
  <c r="I135" i="42"/>
  <c r="I134" i="42"/>
  <c r="I133" i="42"/>
  <c r="I132" i="42"/>
  <c r="I131" i="42"/>
  <c r="I130" i="42"/>
  <c r="I129" i="42"/>
  <c r="I128" i="42"/>
  <c r="I127" i="42"/>
  <c r="I126" i="42"/>
  <c r="I125" i="42"/>
  <c r="I124" i="42"/>
  <c r="I123" i="42"/>
  <c r="I122" i="42"/>
  <c r="I121" i="42"/>
  <c r="I120" i="42"/>
  <c r="I119" i="42"/>
  <c r="I118" i="42"/>
  <c r="I117" i="42"/>
  <c r="I116" i="42"/>
  <c r="I115" i="42"/>
  <c r="I114" i="42"/>
  <c r="I113" i="42"/>
  <c r="I112" i="42"/>
  <c r="I111" i="42"/>
  <c r="I110" i="42"/>
  <c r="I109" i="42"/>
  <c r="I108" i="42"/>
  <c r="I107" i="42"/>
  <c r="I106" i="42"/>
  <c r="I105" i="42"/>
  <c r="I104" i="42"/>
  <c r="I103" i="42"/>
  <c r="I102" i="42"/>
  <c r="I101" i="42"/>
  <c r="I100" i="42"/>
  <c r="I99" i="42"/>
  <c r="I98" i="42"/>
  <c r="I97" i="42"/>
  <c r="I96" i="42"/>
  <c r="I95" i="42"/>
  <c r="I94" i="42"/>
  <c r="I93" i="42"/>
  <c r="I92" i="42"/>
  <c r="I91" i="42"/>
  <c r="I90" i="42"/>
  <c r="I89" i="42"/>
  <c r="I88" i="42"/>
  <c r="I87" i="42"/>
  <c r="I86" i="42"/>
  <c r="I85" i="42"/>
  <c r="I84" i="42"/>
  <c r="I83" i="42"/>
  <c r="I82" i="42"/>
  <c r="I81" i="42"/>
  <c r="I80" i="42"/>
  <c r="I79" i="42"/>
  <c r="I78" i="42"/>
  <c r="I77" i="42"/>
  <c r="I76" i="42"/>
  <c r="I75" i="42"/>
  <c r="I74" i="42"/>
  <c r="I73" i="42"/>
  <c r="I72" i="42"/>
  <c r="I71" i="42"/>
  <c r="I70" i="42"/>
  <c r="I69" i="42"/>
  <c r="I68" i="42"/>
  <c r="I67" i="42"/>
  <c r="I66" i="42"/>
  <c r="I65" i="42"/>
  <c r="I64" i="42"/>
  <c r="I63" i="42"/>
  <c r="I62" i="42"/>
  <c r="I61" i="42"/>
  <c r="I60" i="42"/>
  <c r="I59" i="42"/>
  <c r="I58" i="42"/>
  <c r="I57" i="42"/>
  <c r="I56" i="42"/>
  <c r="I55" i="42"/>
  <c r="I54" i="42"/>
  <c r="I53" i="42"/>
  <c r="I52" i="42"/>
  <c r="I51" i="42"/>
  <c r="I50" i="42"/>
  <c r="I49" i="42"/>
  <c r="I48" i="42"/>
  <c r="I47" i="42"/>
  <c r="I46" i="42"/>
  <c r="I45" i="42"/>
  <c r="I44" i="42"/>
  <c r="I43" i="42"/>
  <c r="I42" i="42"/>
  <c r="I41" i="42"/>
  <c r="I40" i="42"/>
  <c r="I39" i="42"/>
  <c r="I38" i="42"/>
  <c r="I37" i="42"/>
  <c r="I36" i="42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I415" i="43"/>
  <c r="I414" i="43"/>
  <c r="I413" i="43"/>
  <c r="I412" i="43"/>
  <c r="I411" i="43"/>
  <c r="I410" i="43"/>
  <c r="I409" i="43"/>
  <c r="I408" i="43"/>
  <c r="I407" i="43"/>
  <c r="I406" i="43"/>
  <c r="I405" i="43"/>
  <c r="I404" i="43"/>
  <c r="I403" i="43"/>
  <c r="I402" i="43"/>
  <c r="I401" i="43"/>
  <c r="I400" i="43"/>
  <c r="I399" i="43"/>
  <c r="I398" i="43"/>
  <c r="I397" i="43"/>
  <c r="I396" i="43"/>
  <c r="I395" i="43"/>
  <c r="I394" i="43"/>
  <c r="I393" i="43"/>
  <c r="I392" i="43"/>
  <c r="I391" i="43"/>
  <c r="I390" i="43"/>
  <c r="I389" i="43"/>
  <c r="I388" i="43"/>
  <c r="I387" i="43"/>
  <c r="I386" i="43"/>
  <c r="I385" i="43"/>
  <c r="I384" i="43"/>
  <c r="I383" i="43"/>
  <c r="I382" i="43"/>
  <c r="I381" i="43"/>
  <c r="I380" i="43"/>
  <c r="I379" i="43"/>
  <c r="I378" i="43"/>
  <c r="I377" i="43"/>
  <c r="I376" i="43"/>
  <c r="I375" i="43"/>
  <c r="I374" i="43"/>
  <c r="I373" i="43"/>
  <c r="I372" i="43"/>
  <c r="I371" i="43"/>
  <c r="I370" i="43"/>
  <c r="I369" i="43"/>
  <c r="I368" i="43"/>
  <c r="I367" i="43"/>
  <c r="I366" i="43"/>
  <c r="I365" i="43"/>
  <c r="I364" i="43"/>
  <c r="I363" i="43"/>
  <c r="I362" i="43"/>
  <c r="I361" i="43"/>
  <c r="I360" i="43"/>
  <c r="I359" i="43"/>
  <c r="I358" i="43"/>
  <c r="I357" i="43"/>
  <c r="I356" i="43"/>
  <c r="I355" i="43"/>
  <c r="I354" i="43"/>
  <c r="I353" i="43"/>
  <c r="I352" i="43"/>
  <c r="I351" i="43"/>
  <c r="I350" i="43"/>
  <c r="I349" i="43"/>
  <c r="I348" i="43"/>
  <c r="I347" i="43"/>
  <c r="I346" i="43"/>
  <c r="I345" i="43"/>
  <c r="I344" i="43"/>
  <c r="I343" i="43"/>
  <c r="I342" i="43"/>
  <c r="I341" i="43"/>
  <c r="I340" i="43"/>
  <c r="I339" i="43"/>
  <c r="I338" i="43"/>
  <c r="I337" i="43"/>
  <c r="I336" i="43"/>
  <c r="I335" i="43"/>
  <c r="I334" i="43"/>
  <c r="I333" i="43"/>
  <c r="I332" i="43"/>
  <c r="I331" i="43"/>
  <c r="I330" i="43"/>
  <c r="I329" i="43"/>
  <c r="I328" i="43"/>
  <c r="I327" i="43"/>
  <c r="I326" i="43"/>
  <c r="I325" i="43"/>
  <c r="I324" i="43"/>
  <c r="I323" i="43"/>
  <c r="I322" i="43"/>
  <c r="I321" i="43"/>
  <c r="I320" i="43"/>
  <c r="I319" i="43"/>
  <c r="I318" i="43"/>
  <c r="I317" i="43"/>
  <c r="I316" i="43"/>
  <c r="I315" i="43"/>
  <c r="I314" i="43"/>
  <c r="I313" i="43"/>
  <c r="I312" i="43"/>
  <c r="I311" i="43"/>
  <c r="I310" i="43"/>
  <c r="I309" i="43"/>
  <c r="I308" i="43"/>
  <c r="I307" i="43"/>
  <c r="I306" i="43"/>
  <c r="I305" i="43"/>
  <c r="I304" i="43"/>
  <c r="I303" i="43"/>
  <c r="I302" i="43"/>
  <c r="I301" i="43"/>
  <c r="I300" i="43"/>
  <c r="I299" i="43"/>
  <c r="I298" i="43"/>
  <c r="I297" i="43"/>
  <c r="I296" i="43"/>
  <c r="I295" i="43"/>
  <c r="I294" i="43"/>
  <c r="I293" i="43"/>
  <c r="I292" i="43"/>
  <c r="I291" i="43"/>
  <c r="I290" i="43"/>
  <c r="I289" i="43"/>
  <c r="I288" i="43"/>
  <c r="I287" i="43"/>
  <c r="I286" i="43"/>
  <c r="I285" i="43"/>
  <c r="I284" i="43"/>
  <c r="I283" i="43"/>
  <c r="I282" i="43"/>
  <c r="I281" i="43"/>
  <c r="I280" i="43"/>
  <c r="I279" i="43"/>
  <c r="I278" i="43"/>
  <c r="I277" i="43"/>
  <c r="I276" i="43"/>
  <c r="I275" i="43"/>
  <c r="I274" i="43"/>
  <c r="I273" i="43"/>
  <c r="I272" i="43"/>
  <c r="I271" i="43"/>
  <c r="I270" i="43"/>
  <c r="I269" i="43"/>
  <c r="I268" i="43"/>
  <c r="I267" i="43"/>
  <c r="I266" i="43"/>
  <c r="I265" i="43"/>
  <c r="I264" i="43"/>
  <c r="I263" i="43"/>
  <c r="I262" i="43"/>
  <c r="I261" i="43"/>
  <c r="I260" i="43"/>
  <c r="I259" i="43"/>
  <c r="I258" i="43"/>
  <c r="I257" i="43"/>
  <c r="I256" i="43"/>
  <c r="I255" i="43"/>
  <c r="I254" i="43"/>
  <c r="I253" i="43"/>
  <c r="I252" i="43"/>
  <c r="I251" i="43"/>
  <c r="I250" i="43"/>
  <c r="I249" i="43"/>
  <c r="I248" i="43"/>
  <c r="I247" i="43"/>
  <c r="I246" i="43"/>
  <c r="I245" i="43"/>
  <c r="I244" i="43"/>
  <c r="I243" i="43"/>
  <c r="I242" i="43"/>
  <c r="I241" i="43"/>
  <c r="I240" i="43"/>
  <c r="I239" i="43"/>
  <c r="I238" i="43"/>
  <c r="I237" i="43"/>
  <c r="I236" i="43"/>
  <c r="I235" i="43"/>
  <c r="I234" i="43"/>
  <c r="I233" i="43"/>
  <c r="I232" i="43"/>
  <c r="I231" i="43"/>
  <c r="I230" i="43"/>
  <c r="I229" i="43"/>
  <c r="I228" i="43"/>
  <c r="I227" i="43"/>
  <c r="I226" i="43"/>
  <c r="I225" i="43"/>
  <c r="I224" i="43"/>
  <c r="I223" i="43"/>
  <c r="I222" i="43"/>
  <c r="I221" i="43"/>
  <c r="I220" i="43"/>
  <c r="I219" i="43"/>
  <c r="I218" i="43"/>
  <c r="I217" i="43"/>
  <c r="I216" i="43"/>
  <c r="I210" i="43"/>
  <c r="I209" i="43"/>
  <c r="I208" i="43"/>
  <c r="I207" i="43"/>
  <c r="I206" i="43"/>
  <c r="I205" i="43"/>
  <c r="I204" i="43"/>
  <c r="I203" i="43"/>
  <c r="I202" i="43"/>
  <c r="I201" i="43"/>
  <c r="I200" i="43"/>
  <c r="I199" i="43"/>
  <c r="I198" i="43"/>
  <c r="I197" i="43"/>
  <c r="I196" i="43"/>
  <c r="I195" i="43"/>
  <c r="I194" i="43"/>
  <c r="I193" i="43"/>
  <c r="I192" i="43"/>
  <c r="I191" i="43"/>
  <c r="I190" i="43"/>
  <c r="I189" i="43"/>
  <c r="I188" i="43"/>
  <c r="I187" i="43"/>
  <c r="I186" i="43"/>
  <c r="I185" i="43"/>
  <c r="I184" i="43"/>
  <c r="I183" i="43"/>
  <c r="I182" i="43"/>
  <c r="I181" i="43"/>
  <c r="I180" i="43"/>
  <c r="I179" i="43"/>
  <c r="I178" i="43"/>
  <c r="I177" i="43"/>
  <c r="I176" i="43"/>
  <c r="I175" i="43"/>
  <c r="I174" i="43"/>
  <c r="I173" i="43"/>
  <c r="I172" i="43"/>
  <c r="I171" i="43"/>
  <c r="I170" i="43"/>
  <c r="I169" i="43"/>
  <c r="I168" i="43"/>
  <c r="I167" i="43"/>
  <c r="I166" i="43"/>
  <c r="I165" i="43"/>
  <c r="I164" i="43"/>
  <c r="I163" i="43"/>
  <c r="I162" i="43"/>
  <c r="I161" i="43"/>
  <c r="I160" i="43"/>
  <c r="I159" i="43"/>
  <c r="I158" i="43"/>
  <c r="I157" i="43"/>
  <c r="I156" i="43"/>
  <c r="I155" i="43"/>
  <c r="I154" i="43"/>
  <c r="I153" i="43"/>
  <c r="I152" i="43"/>
  <c r="I151" i="43"/>
  <c r="I150" i="43"/>
  <c r="I149" i="43"/>
  <c r="I148" i="43"/>
  <c r="I147" i="43"/>
  <c r="I146" i="43"/>
  <c r="I145" i="43"/>
  <c r="I144" i="43"/>
  <c r="I143" i="43"/>
  <c r="I142" i="43"/>
  <c r="I141" i="43"/>
  <c r="I140" i="43"/>
  <c r="I139" i="43"/>
  <c r="I138" i="43"/>
  <c r="I137" i="43"/>
  <c r="I136" i="43"/>
  <c r="I135" i="43"/>
  <c r="I134" i="43"/>
  <c r="I133" i="43"/>
  <c r="I132" i="43"/>
  <c r="I131" i="43"/>
  <c r="I130" i="43"/>
  <c r="I129" i="43"/>
  <c r="I128" i="43"/>
  <c r="I127" i="43"/>
  <c r="I126" i="43"/>
  <c r="I125" i="43"/>
  <c r="I124" i="43"/>
  <c r="I123" i="43"/>
  <c r="I122" i="43"/>
  <c r="I121" i="43"/>
  <c r="I120" i="43"/>
  <c r="I119" i="43"/>
  <c r="I118" i="43"/>
  <c r="I117" i="43"/>
  <c r="I116" i="43"/>
  <c r="I115" i="43"/>
  <c r="I114" i="43"/>
  <c r="I113" i="43"/>
  <c r="I112" i="43"/>
  <c r="I111" i="43"/>
  <c r="I110" i="43"/>
  <c r="I109" i="43"/>
  <c r="I108" i="43"/>
  <c r="I107" i="43"/>
  <c r="I106" i="43"/>
  <c r="I105" i="43"/>
  <c r="I104" i="43"/>
  <c r="I103" i="43"/>
  <c r="I102" i="43"/>
  <c r="I101" i="43"/>
  <c r="I100" i="43"/>
  <c r="I99" i="43"/>
  <c r="I98" i="43"/>
  <c r="I97" i="43"/>
  <c r="I96" i="43"/>
  <c r="I95" i="43"/>
  <c r="I94" i="43"/>
  <c r="I93" i="43"/>
  <c r="I92" i="43"/>
  <c r="I91" i="43"/>
  <c r="I90" i="43"/>
  <c r="I89" i="43"/>
  <c r="I88" i="43"/>
  <c r="I87" i="43"/>
  <c r="I86" i="43"/>
  <c r="I85" i="43"/>
  <c r="I84" i="43"/>
  <c r="I83" i="43"/>
  <c r="I82" i="43"/>
  <c r="I81" i="43"/>
  <c r="I80" i="43"/>
  <c r="I79" i="43"/>
  <c r="I78" i="43"/>
  <c r="I77" i="43"/>
  <c r="I76" i="43"/>
  <c r="I75" i="43"/>
  <c r="I74" i="43"/>
  <c r="I73" i="43"/>
  <c r="I72" i="43"/>
  <c r="I71" i="43"/>
  <c r="I70" i="43"/>
  <c r="I69" i="43"/>
  <c r="I68" i="43"/>
  <c r="I67" i="43"/>
  <c r="I66" i="43"/>
  <c r="I65" i="43"/>
  <c r="I64" i="43"/>
  <c r="I63" i="43"/>
  <c r="I62" i="43"/>
  <c r="I61" i="43"/>
  <c r="I60" i="43"/>
  <c r="I59" i="43"/>
  <c r="I58" i="43"/>
  <c r="I57" i="43"/>
  <c r="I56" i="43"/>
  <c r="I55" i="43"/>
  <c r="I54" i="43"/>
  <c r="I53" i="43"/>
  <c r="I52" i="43"/>
  <c r="I51" i="43"/>
  <c r="I50" i="43"/>
  <c r="I49" i="43"/>
  <c r="I48" i="43"/>
  <c r="I47" i="43"/>
  <c r="I46" i="43"/>
  <c r="I45" i="43"/>
  <c r="I44" i="43"/>
  <c r="I43" i="43"/>
  <c r="I42" i="43"/>
  <c r="I41" i="43"/>
  <c r="I40" i="43"/>
  <c r="I39" i="43"/>
  <c r="I38" i="43"/>
  <c r="I37" i="43"/>
  <c r="I36" i="43"/>
  <c r="I35" i="43"/>
  <c r="I34" i="43"/>
  <c r="I33" i="43"/>
  <c r="I32" i="43"/>
  <c r="I31" i="43"/>
  <c r="I30" i="43"/>
  <c r="I29" i="43"/>
  <c r="I28" i="43"/>
  <c r="I27" i="43"/>
  <c r="I26" i="43"/>
  <c r="I25" i="43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215" i="43"/>
  <c r="I10" i="43"/>
  <c r="I214" i="43"/>
  <c r="I9" i="43"/>
  <c r="I23" i="44"/>
  <c r="I22" i="44"/>
  <c r="I21" i="44"/>
  <c r="I20" i="44"/>
  <c r="I19" i="44"/>
  <c r="I18" i="44"/>
  <c r="I17" i="44"/>
  <c r="I16" i="44"/>
  <c r="I15" i="44"/>
  <c r="I14" i="44"/>
  <c r="I13" i="44"/>
  <c r="I12" i="44"/>
  <c r="I478" i="38"/>
  <c r="I477" i="38"/>
  <c r="I476" i="38"/>
  <c r="I475" i="38"/>
  <c r="I472" i="38"/>
  <c r="I471" i="38"/>
  <c r="I470" i="38"/>
  <c r="I469" i="38"/>
  <c r="I468" i="38"/>
  <c r="I467" i="38"/>
  <c r="I466" i="38"/>
  <c r="I460" i="38"/>
  <c r="I459" i="38"/>
  <c r="I458" i="38"/>
  <c r="I457" i="38"/>
  <c r="I454" i="38"/>
  <c r="I453" i="38"/>
  <c r="I452" i="38"/>
  <c r="I451" i="38"/>
  <c r="I450" i="38"/>
  <c r="I449" i="38"/>
  <c r="I448" i="38"/>
  <c r="I440" i="38"/>
  <c r="I439" i="38"/>
  <c r="I438" i="38"/>
  <c r="I437" i="38"/>
  <c r="I436" i="38"/>
  <c r="I435" i="38"/>
  <c r="I434" i="38"/>
  <c r="I433" i="38"/>
  <c r="I432" i="38"/>
  <c r="I431" i="38"/>
  <c r="I430" i="38"/>
  <c r="I421" i="38"/>
  <c r="I420" i="38"/>
  <c r="I419" i="38"/>
  <c r="I418" i="38"/>
  <c r="I417" i="38"/>
  <c r="I416" i="38"/>
  <c r="I415" i="38"/>
  <c r="I414" i="38"/>
  <c r="I413" i="38"/>
  <c r="I412" i="38"/>
  <c r="I404" i="38"/>
  <c r="I403" i="38"/>
  <c r="I402" i="38"/>
  <c r="I401" i="38"/>
  <c r="I400" i="38"/>
  <c r="I399" i="38"/>
  <c r="I398" i="38"/>
  <c r="I397" i="38"/>
  <c r="I396" i="38"/>
  <c r="I395" i="38"/>
  <c r="I394" i="38"/>
  <c r="I386" i="38"/>
  <c r="I385" i="38"/>
  <c r="I384" i="38"/>
  <c r="I383" i="38"/>
  <c r="I382" i="38"/>
  <c r="I381" i="38"/>
  <c r="I380" i="38"/>
  <c r="I379" i="38"/>
  <c r="I378" i="38"/>
  <c r="I377" i="38"/>
  <c r="I376" i="38"/>
  <c r="I368" i="38"/>
  <c r="I367" i="38"/>
  <c r="I366" i="38"/>
  <c r="I365" i="38"/>
  <c r="I364" i="38"/>
  <c r="I363" i="38"/>
  <c r="I362" i="38"/>
  <c r="I361" i="38"/>
  <c r="I360" i="38"/>
  <c r="I359" i="38"/>
  <c r="I358" i="38"/>
  <c r="I350" i="38"/>
  <c r="I349" i="38"/>
  <c r="I348" i="38"/>
  <c r="I347" i="38"/>
  <c r="I346" i="38"/>
  <c r="I345" i="38"/>
  <c r="I344" i="38"/>
  <c r="I343" i="38"/>
  <c r="I342" i="38"/>
  <c r="I341" i="38"/>
  <c r="I340" i="38"/>
  <c r="I332" i="38"/>
  <c r="I331" i="38"/>
  <c r="I330" i="38"/>
  <c r="I329" i="38"/>
  <c r="I328" i="38"/>
  <c r="I327" i="38"/>
  <c r="I326" i="38"/>
  <c r="I325" i="38"/>
  <c r="I324" i="38"/>
  <c r="I323" i="38"/>
  <c r="I322" i="38"/>
  <c r="I314" i="38"/>
  <c r="I313" i="38"/>
  <c r="I312" i="38"/>
  <c r="I311" i="38"/>
  <c r="I310" i="38"/>
  <c r="I309" i="38"/>
  <c r="I308" i="38"/>
  <c r="I307" i="38"/>
  <c r="I306" i="38"/>
  <c r="I305" i="38"/>
  <c r="I304" i="38"/>
  <c r="I296" i="38"/>
  <c r="I295" i="38"/>
  <c r="I294" i="38"/>
  <c r="I293" i="38"/>
  <c r="I292" i="38"/>
  <c r="I291" i="38"/>
  <c r="I290" i="38"/>
  <c r="I289" i="38"/>
  <c r="I288" i="38"/>
  <c r="I287" i="38"/>
  <c r="I286" i="38"/>
  <c r="I278" i="38"/>
  <c r="I277" i="38"/>
  <c r="I276" i="38"/>
  <c r="I275" i="38"/>
  <c r="I274" i="38"/>
  <c r="I273" i="38"/>
  <c r="I272" i="38"/>
  <c r="I271" i="38"/>
  <c r="I270" i="38"/>
  <c r="I269" i="38"/>
  <c r="I268" i="38"/>
  <c r="I260" i="38"/>
  <c r="I259" i="38"/>
  <c r="I258" i="38"/>
  <c r="I257" i="38"/>
  <c r="I256" i="38"/>
  <c r="I255" i="38"/>
  <c r="I254" i="38"/>
  <c r="I253" i="38"/>
  <c r="I252" i="38"/>
  <c r="I251" i="38"/>
  <c r="I250" i="38"/>
  <c r="I242" i="38"/>
  <c r="I241" i="38"/>
  <c r="I240" i="38"/>
  <c r="I239" i="38"/>
  <c r="I238" i="38"/>
  <c r="I237" i="38"/>
  <c r="I236" i="38"/>
  <c r="I235" i="38"/>
  <c r="I234" i="38"/>
  <c r="I233" i="38"/>
  <c r="I232" i="38"/>
  <c r="I224" i="38"/>
  <c r="I223" i="38"/>
  <c r="I222" i="38"/>
  <c r="I221" i="38"/>
  <c r="I220" i="38"/>
  <c r="I219" i="38"/>
  <c r="I218" i="38"/>
  <c r="I217" i="38"/>
  <c r="I216" i="38"/>
  <c r="I215" i="38"/>
  <c r="I214" i="38"/>
  <c r="I206" i="38"/>
  <c r="I205" i="38"/>
  <c r="I204" i="38"/>
  <c r="I203" i="38"/>
  <c r="I202" i="38"/>
  <c r="I201" i="38"/>
  <c r="I200" i="38"/>
  <c r="I199" i="38"/>
  <c r="I198" i="38"/>
  <c r="I197" i="38"/>
  <c r="I196" i="38"/>
  <c r="I188" i="38"/>
  <c r="I187" i="38"/>
  <c r="I186" i="38"/>
  <c r="I185" i="38"/>
  <c r="I184" i="38"/>
  <c r="I183" i="38"/>
  <c r="I182" i="38"/>
  <c r="I181" i="38"/>
  <c r="I180" i="38"/>
  <c r="I179" i="38"/>
  <c r="I178" i="38"/>
  <c r="I170" i="38"/>
  <c r="I169" i="38"/>
  <c r="I168" i="38"/>
  <c r="I166" i="38"/>
  <c r="I165" i="38"/>
  <c r="I164" i="38"/>
  <c r="I163" i="38"/>
  <c r="I162" i="38"/>
  <c r="I161" i="38"/>
  <c r="I160" i="38"/>
  <c r="I151" i="38"/>
  <c r="I150" i="38"/>
  <c r="I149" i="38"/>
  <c r="I148" i="38"/>
  <c r="I147" i="38"/>
  <c r="I146" i="38"/>
  <c r="I145" i="38"/>
  <c r="I144" i="38"/>
  <c r="I143" i="38"/>
  <c r="I142" i="38"/>
  <c r="I134" i="38"/>
  <c r="I133" i="38"/>
  <c r="I132" i="38"/>
  <c r="I131" i="38"/>
  <c r="I130" i="38"/>
  <c r="I129" i="38"/>
  <c r="I128" i="38"/>
  <c r="I127" i="38"/>
  <c r="I126" i="38"/>
  <c r="I125" i="38"/>
  <c r="I124" i="38"/>
  <c r="I116" i="38"/>
  <c r="I115" i="38"/>
  <c r="I113" i="38"/>
  <c r="I112" i="38"/>
  <c r="I111" i="38"/>
  <c r="I110" i="38"/>
  <c r="I109" i="38"/>
  <c r="I108" i="38"/>
  <c r="I107" i="38"/>
  <c r="I106" i="38"/>
  <c r="I98" i="38"/>
  <c r="I97" i="38"/>
  <c r="I96" i="38"/>
  <c r="I95" i="38"/>
  <c r="I94" i="38"/>
  <c r="I93" i="38"/>
  <c r="I92" i="38"/>
  <c r="I91" i="38"/>
  <c r="I90" i="38"/>
  <c r="I89" i="38"/>
  <c r="I88" i="38"/>
  <c r="I80" i="38"/>
  <c r="I79" i="38"/>
  <c r="I78" i="38"/>
  <c r="I77" i="38"/>
  <c r="I76" i="38"/>
  <c r="I75" i="38"/>
  <c r="I74" i="38"/>
  <c r="I73" i="38"/>
  <c r="I72" i="38"/>
  <c r="I71" i="38"/>
  <c r="I70" i="38"/>
  <c r="I62" i="38"/>
  <c r="I61" i="38"/>
  <c r="I60" i="38"/>
  <c r="I59" i="38"/>
  <c r="I58" i="38"/>
  <c r="I57" i="38"/>
  <c r="I56" i="38"/>
  <c r="I55" i="38"/>
  <c r="I54" i="38"/>
  <c r="I53" i="38"/>
  <c r="I52" i="38"/>
  <c r="I44" i="38"/>
  <c r="I42" i="38"/>
  <c r="I41" i="38"/>
  <c r="I40" i="38"/>
  <c r="I39" i="38"/>
  <c r="I38" i="38"/>
  <c r="I37" i="38"/>
  <c r="I36" i="38"/>
  <c r="I35" i="38"/>
  <c r="I34" i="38"/>
  <c r="I25" i="38"/>
  <c r="I24" i="38"/>
  <c r="I22" i="38"/>
  <c r="I21" i="38"/>
  <c r="I20" i="38"/>
  <c r="I19" i="38"/>
  <c r="I18" i="38"/>
  <c r="I17" i="38"/>
  <c r="I16" i="38"/>
  <c r="I278" i="41"/>
  <c r="I276" i="41"/>
  <c r="I275" i="41"/>
  <c r="I273" i="41"/>
  <c r="I272" i="41"/>
  <c r="I270" i="41"/>
  <c r="I269" i="41"/>
  <c r="I266" i="41"/>
  <c r="I265" i="41"/>
  <c r="I264" i="41"/>
  <c r="I261" i="41"/>
  <c r="I260" i="41"/>
  <c r="I258" i="41"/>
  <c r="I257" i="41"/>
  <c r="I255" i="41"/>
  <c r="I254" i="41"/>
  <c r="I252" i="41"/>
  <c r="I251" i="41"/>
  <c r="I249" i="41"/>
  <c r="I248" i="41"/>
  <c r="I246" i="41"/>
  <c r="I245" i="41"/>
  <c r="I243" i="41"/>
  <c r="I242" i="41"/>
  <c r="I240" i="41"/>
  <c r="I239" i="41"/>
  <c r="I237" i="41"/>
  <c r="I236" i="41"/>
  <c r="I234" i="41"/>
  <c r="I233" i="41"/>
  <c r="I231" i="41"/>
  <c r="I230" i="41"/>
  <c r="I228" i="41"/>
  <c r="I227" i="41"/>
  <c r="I225" i="41"/>
  <c r="I224" i="41"/>
  <c r="I222" i="41"/>
  <c r="I221" i="41"/>
  <c r="I219" i="41"/>
  <c r="I218" i="41"/>
  <c r="I216" i="41"/>
  <c r="I215" i="41"/>
  <c r="I213" i="41"/>
  <c r="I212" i="41"/>
  <c r="I210" i="41"/>
  <c r="I209" i="41"/>
  <c r="I207" i="41"/>
  <c r="I206" i="41"/>
  <c r="I204" i="41"/>
  <c r="I203" i="41"/>
  <c r="I201" i="41"/>
  <c r="I200" i="41"/>
  <c r="I198" i="41"/>
  <c r="I197" i="41"/>
  <c r="I196" i="41"/>
  <c r="I194" i="41"/>
  <c r="I193" i="41"/>
  <c r="I191" i="41"/>
  <c r="I190" i="41"/>
  <c r="I189" i="41"/>
  <c r="I187" i="41"/>
  <c r="I186" i="41"/>
  <c r="I184" i="41"/>
  <c r="I183" i="41"/>
  <c r="I181" i="41"/>
  <c r="I180" i="41"/>
  <c r="I178" i="41"/>
  <c r="I177" i="41"/>
  <c r="I175" i="41"/>
  <c r="I174" i="41"/>
  <c r="I172" i="41"/>
  <c r="I171" i="41"/>
  <c r="I169" i="41"/>
  <c r="I168" i="41"/>
  <c r="I166" i="41"/>
  <c r="I165" i="41"/>
  <c r="I163" i="41"/>
  <c r="I162" i="41"/>
  <c r="I160" i="41"/>
  <c r="I159" i="41"/>
  <c r="I157" i="41"/>
  <c r="I156" i="41"/>
  <c r="I155" i="41"/>
  <c r="I153" i="41"/>
  <c r="I152" i="41"/>
  <c r="I150" i="41"/>
  <c r="I149" i="41"/>
  <c r="I147" i="41"/>
  <c r="I146" i="41"/>
  <c r="I142" i="41"/>
  <c r="I141" i="41"/>
  <c r="I139" i="41"/>
  <c r="I138" i="41"/>
  <c r="I136" i="41"/>
  <c r="I135" i="41"/>
  <c r="I133" i="41"/>
  <c r="I132" i="41"/>
  <c r="I130" i="41"/>
  <c r="I129" i="41"/>
  <c r="I127" i="41"/>
  <c r="I126" i="41"/>
  <c r="I125" i="41"/>
  <c r="I123" i="41"/>
  <c r="I122" i="41"/>
  <c r="I120" i="41"/>
  <c r="I119" i="41"/>
  <c r="I117" i="41"/>
  <c r="I116" i="41"/>
  <c r="I114" i="41"/>
  <c r="I113" i="41"/>
  <c r="I111" i="41"/>
  <c r="I110" i="41"/>
  <c r="I108" i="41"/>
  <c r="I107" i="41"/>
  <c r="I105" i="41"/>
  <c r="I104" i="41"/>
  <c r="I102" i="41"/>
  <c r="I101" i="41"/>
  <c r="I99" i="41"/>
  <c r="I98" i="41"/>
  <c r="I96" i="41"/>
  <c r="I95" i="41"/>
  <c r="I93" i="41"/>
  <c r="I92" i="41"/>
  <c r="I90" i="41"/>
  <c r="I89" i="41"/>
  <c r="I87" i="41"/>
  <c r="I86" i="41"/>
  <c r="I84" i="41"/>
  <c r="I83" i="41"/>
  <c r="I81" i="41"/>
  <c r="I80" i="41"/>
  <c r="I78" i="41"/>
  <c r="I77" i="41"/>
  <c r="I75" i="41"/>
  <c r="I74" i="41"/>
  <c r="I72" i="41"/>
  <c r="I71" i="41"/>
  <c r="I69" i="41"/>
  <c r="I68" i="41"/>
  <c r="I66" i="41"/>
  <c r="I65" i="41"/>
  <c r="I63" i="41"/>
  <c r="I62" i="41"/>
  <c r="I61" i="41"/>
  <c r="I59" i="41"/>
  <c r="I58" i="41"/>
  <c r="I56" i="41"/>
  <c r="I55" i="41"/>
  <c r="I54" i="41"/>
  <c r="I52" i="41"/>
  <c r="I51" i="41"/>
  <c r="I49" i="41"/>
  <c r="I48" i="41"/>
  <c r="I46" i="41"/>
  <c r="I45" i="41"/>
  <c r="I43" i="41"/>
  <c r="I42" i="41"/>
  <c r="I40" i="41"/>
  <c r="I39" i="41"/>
  <c r="I37" i="41"/>
  <c r="I36" i="41"/>
  <c r="I34" i="41"/>
  <c r="I33" i="41"/>
  <c r="I31" i="41"/>
  <c r="I30" i="41"/>
  <c r="I28" i="41"/>
  <c r="I27" i="41"/>
  <c r="I25" i="41"/>
  <c r="I24" i="41"/>
  <c r="I23" i="41"/>
  <c r="I21" i="41"/>
  <c r="I20" i="41"/>
  <c r="I18" i="41"/>
  <c r="I17" i="41"/>
  <c r="I15" i="41"/>
  <c r="I14" i="41"/>
  <c r="I10" i="41"/>
  <c r="I9" i="41"/>
  <c r="I7" i="41"/>
  <c r="I6" i="41"/>
  <c r="I44" i="45"/>
  <c r="I43" i="45"/>
  <c r="I42" i="45"/>
  <c r="I41" i="45"/>
  <c r="I40" i="45"/>
  <c r="I39" i="45"/>
  <c r="I38" i="45"/>
  <c r="I37" i="45"/>
  <c r="I36" i="45"/>
  <c r="I35" i="45"/>
  <c r="I34" i="45"/>
  <c r="I33" i="45"/>
  <c r="I32" i="45"/>
  <c r="I31" i="45"/>
  <c r="I30" i="45"/>
  <c r="I29" i="45"/>
  <c r="I28" i="45"/>
  <c r="I27" i="45"/>
  <c r="I26" i="45"/>
  <c r="I25" i="45"/>
  <c r="I24" i="45"/>
  <c r="I23" i="45"/>
  <c r="I22" i="45"/>
  <c r="I21" i="45"/>
  <c r="I20" i="45"/>
  <c r="I19" i="45"/>
  <c r="I18" i="45"/>
  <c r="I17" i="45"/>
  <c r="I16" i="45"/>
  <c r="I15" i="45"/>
  <c r="I14" i="45"/>
  <c r="I13" i="45"/>
  <c r="I12" i="45"/>
  <c r="I11" i="45"/>
  <c r="I10" i="45"/>
  <c r="I9" i="45"/>
  <c r="I8" i="45"/>
  <c r="I7" i="45"/>
  <c r="I103" i="51"/>
  <c r="I44" i="51"/>
  <c r="I43" i="51"/>
  <c r="I33" i="51"/>
  <c r="I18" i="51"/>
  <c r="I15" i="51"/>
  <c r="H107" i="51"/>
  <c r="H106" i="51"/>
  <c r="H105" i="51"/>
  <c r="H104" i="51"/>
  <c r="H103" i="51"/>
  <c r="H102" i="51"/>
  <c r="H101" i="51"/>
  <c r="H100" i="51"/>
  <c r="H99" i="51"/>
  <c r="H98" i="51"/>
  <c r="H97" i="51"/>
  <c r="H96" i="51"/>
  <c r="H95" i="51"/>
  <c r="H94" i="51"/>
  <c r="H93" i="51"/>
  <c r="H92" i="51"/>
  <c r="H91" i="51"/>
  <c r="H90" i="51"/>
  <c r="H89" i="51"/>
  <c r="H88" i="51"/>
  <c r="H87" i="51"/>
  <c r="H86" i="51"/>
  <c r="H85" i="51"/>
  <c r="H84" i="51"/>
  <c r="H83" i="51"/>
  <c r="H82" i="51"/>
  <c r="H81" i="51"/>
  <c r="H80" i="51"/>
  <c r="H79" i="51"/>
  <c r="H78" i="51"/>
  <c r="H77" i="51"/>
  <c r="H76" i="51"/>
  <c r="H75" i="51"/>
  <c r="H74" i="51"/>
  <c r="H73" i="51"/>
  <c r="H72" i="51"/>
  <c r="H71" i="51"/>
  <c r="H70" i="51"/>
  <c r="H69" i="51"/>
  <c r="H68" i="51"/>
  <c r="H67" i="51"/>
  <c r="H66" i="51"/>
  <c r="H65" i="51"/>
  <c r="H64" i="51"/>
  <c r="H63" i="51"/>
  <c r="H62" i="51"/>
  <c r="H61" i="51"/>
  <c r="H60" i="51"/>
  <c r="H59" i="51"/>
  <c r="H58" i="51"/>
  <c r="H57" i="51"/>
  <c r="H56" i="51"/>
  <c r="H55" i="51"/>
  <c r="H54" i="51"/>
  <c r="H53" i="51"/>
  <c r="H52" i="51"/>
  <c r="H51" i="51"/>
  <c r="H50" i="51"/>
  <c r="H49" i="51"/>
  <c r="H48" i="51"/>
  <c r="H47" i="51"/>
  <c r="H46" i="51"/>
  <c r="H45" i="51"/>
  <c r="H44" i="51"/>
  <c r="H43" i="51"/>
  <c r="H42" i="51"/>
  <c r="H41" i="51"/>
  <c r="H40" i="51"/>
  <c r="H39" i="51"/>
  <c r="H38" i="51"/>
  <c r="H37" i="51"/>
  <c r="H36" i="51"/>
  <c r="H35" i="51"/>
  <c r="H34" i="51"/>
  <c r="H33" i="51"/>
  <c r="H32" i="51"/>
  <c r="H31" i="51"/>
  <c r="H30" i="51"/>
  <c r="H29" i="51"/>
  <c r="H28" i="51"/>
  <c r="H27" i="51"/>
  <c r="H26" i="51"/>
  <c r="H25" i="51"/>
  <c r="H24" i="51"/>
  <c r="H23" i="51"/>
  <c r="H22" i="51"/>
  <c r="H21" i="51"/>
  <c r="H20" i="51"/>
  <c r="H19" i="51"/>
  <c r="H18" i="51"/>
  <c r="H17" i="51"/>
  <c r="H16" i="51"/>
  <c r="H15" i="51"/>
  <c r="H14" i="51"/>
  <c r="H13" i="51"/>
  <c r="H12" i="51"/>
  <c r="H109" i="51"/>
  <c r="H110" i="51"/>
  <c r="H111" i="51"/>
  <c r="H112" i="51"/>
  <c r="H113" i="51"/>
  <c r="H114" i="51"/>
  <c r="H115" i="51"/>
  <c r="H108" i="51"/>
  <c r="I152" i="38"/>
  <c r="I23" i="38"/>
  <c r="I422" i="38"/>
  <c r="G14" i="38"/>
  <c r="I20" i="50" l="1"/>
  <c r="H20" i="50"/>
  <c r="M35" i="45" l="1"/>
  <c r="I18" i="50" l="1"/>
  <c r="M13" i="45"/>
  <c r="H10" i="45"/>
  <c r="H18" i="45"/>
  <c r="F25" i="45"/>
  <c r="I12" i="53"/>
  <c r="I11" i="53"/>
  <c r="I10" i="53"/>
  <c r="I9" i="53"/>
  <c r="G77" i="38" l="1"/>
  <c r="I64" i="38"/>
  <c r="I63" i="38"/>
  <c r="G475" i="38"/>
  <c r="G457" i="38"/>
  <c r="G440" i="38"/>
  <c r="G422" i="38"/>
  <c r="G404" i="38"/>
  <c r="G383" i="38"/>
  <c r="G365" i="38"/>
  <c r="G350" i="38"/>
  <c r="I370" i="38"/>
  <c r="I369" i="38"/>
  <c r="G329" i="38"/>
  <c r="G311" i="38"/>
  <c r="G296" i="38"/>
  <c r="G275" i="38"/>
  <c r="G260" i="38"/>
  <c r="G242" i="38"/>
  <c r="G221" i="38"/>
  <c r="G203" i="38"/>
  <c r="G188" i="38"/>
  <c r="G170" i="38"/>
  <c r="G152" i="38"/>
  <c r="H152" i="38" s="1"/>
  <c r="G134" i="38"/>
  <c r="H134" i="38" s="1"/>
  <c r="G116" i="38"/>
  <c r="H116" i="38" s="1"/>
  <c r="G98" i="38"/>
  <c r="H98" i="38" s="1"/>
  <c r="G59" i="38"/>
  <c r="G80" i="38"/>
  <c r="H80" i="38" s="1"/>
  <c r="G23" i="38"/>
  <c r="G41" i="38"/>
  <c r="H41" i="38" s="1"/>
  <c r="I315" i="38"/>
  <c r="I333" i="38"/>
  <c r="I474" i="38"/>
  <c r="I442" i="38"/>
  <c r="I406" i="38"/>
  <c r="I334" i="38"/>
  <c r="I473" i="38"/>
  <c r="I441" i="38"/>
  <c r="I405" i="38"/>
  <c r="I456" i="38"/>
  <c r="I424" i="38"/>
  <c r="I388" i="38"/>
  <c r="I352" i="38"/>
  <c r="I316" i="38"/>
  <c r="I298" i="38"/>
  <c r="I455" i="38"/>
  <c r="I423" i="38"/>
  <c r="I387" i="38"/>
  <c r="I351" i="38"/>
  <c r="I297" i="38"/>
  <c r="I280" i="38"/>
  <c r="I279" i="38"/>
  <c r="G478" i="38"/>
  <c r="H478" i="38" s="1"/>
  <c r="G460" i="38"/>
  <c r="G437" i="38"/>
  <c r="G419" i="38"/>
  <c r="G401" i="38"/>
  <c r="G386" i="38"/>
  <c r="G368" i="38"/>
  <c r="G347" i="38"/>
  <c r="G332" i="38"/>
  <c r="G314" i="38"/>
  <c r="G293" i="38"/>
  <c r="G278" i="38"/>
  <c r="I262" i="38"/>
  <c r="H476" i="38"/>
  <c r="H477" i="38"/>
  <c r="H458" i="38"/>
  <c r="H459" i="38"/>
  <c r="H438" i="38"/>
  <c r="H439" i="38"/>
  <c r="H420" i="38"/>
  <c r="H421" i="38"/>
  <c r="H402" i="38"/>
  <c r="H403" i="38"/>
  <c r="H384" i="38"/>
  <c r="H385" i="38"/>
  <c r="H366" i="38"/>
  <c r="H367" i="38"/>
  <c r="H348" i="38"/>
  <c r="H349" i="38"/>
  <c r="H330" i="38"/>
  <c r="H331" i="38"/>
  <c r="H312" i="38"/>
  <c r="H313" i="38"/>
  <c r="H294" i="38"/>
  <c r="H295" i="38"/>
  <c r="H276" i="38"/>
  <c r="H277" i="38"/>
  <c r="G257" i="38"/>
  <c r="I261" i="38"/>
  <c r="H24" i="38"/>
  <c r="H25" i="38"/>
  <c r="H42" i="38"/>
  <c r="H43" i="38"/>
  <c r="H60" i="38"/>
  <c r="H61" i="38"/>
  <c r="H78" i="38"/>
  <c r="H79" i="38"/>
  <c r="H96" i="38"/>
  <c r="H97" i="38"/>
  <c r="I114" i="38"/>
  <c r="H114" i="38"/>
  <c r="H115" i="38"/>
  <c r="H132" i="38"/>
  <c r="H133" i="38"/>
  <c r="H150" i="38"/>
  <c r="H151" i="38"/>
  <c r="H168" i="38"/>
  <c r="H169" i="38"/>
  <c r="H222" i="38"/>
  <c r="H223" i="38"/>
  <c r="H240" i="38"/>
  <c r="H241" i="38"/>
  <c r="H259" i="38"/>
  <c r="H258" i="38"/>
  <c r="G239" i="38"/>
  <c r="I244" i="38"/>
  <c r="I243" i="38"/>
  <c r="G224" i="38"/>
  <c r="I226" i="38"/>
  <c r="I225" i="38"/>
  <c r="I190" i="38"/>
  <c r="I189" i="38"/>
  <c r="I172" i="38"/>
  <c r="I208" i="38"/>
  <c r="I207" i="38"/>
  <c r="I171" i="38"/>
  <c r="I167" i="38"/>
  <c r="I154" i="38"/>
  <c r="I153" i="38"/>
  <c r="I136" i="38"/>
  <c r="I135" i="38"/>
  <c r="I118" i="38"/>
  <c r="I117" i="38"/>
  <c r="I100" i="38"/>
  <c r="I99" i="38"/>
  <c r="I82" i="38"/>
  <c r="I81" i="38"/>
  <c r="H187" i="38"/>
  <c r="H186" i="38"/>
  <c r="H205" i="38"/>
  <c r="H204" i="38"/>
  <c r="G206" i="38"/>
  <c r="G185" i="38"/>
  <c r="G167" i="38"/>
  <c r="G149" i="38"/>
  <c r="G131" i="38"/>
  <c r="G113" i="38"/>
  <c r="G95" i="38"/>
  <c r="G62" i="38"/>
  <c r="H62" i="38" s="1"/>
  <c r="I46" i="38"/>
  <c r="I45" i="38"/>
  <c r="I27" i="38"/>
  <c r="I28" i="38"/>
  <c r="G44" i="38"/>
  <c r="H46" i="38" s="1"/>
  <c r="H45" i="38"/>
  <c r="I26" i="38"/>
  <c r="G26" i="38"/>
  <c r="H26" i="38" s="1"/>
  <c r="I43" i="38"/>
  <c r="H27" i="38"/>
  <c r="H28" i="38"/>
  <c r="H44" i="38" l="1"/>
  <c r="H20" i="44" l="1"/>
  <c r="H21" i="44"/>
  <c r="H22" i="44"/>
  <c r="H23" i="44"/>
  <c r="I45" i="45" l="1"/>
  <c r="I50" i="45"/>
  <c r="I49" i="45"/>
  <c r="C26" i="45" l="1"/>
  <c r="C25" i="45" l="1"/>
  <c r="I52" i="45"/>
  <c r="H19" i="50"/>
  <c r="H18" i="50"/>
  <c r="H17" i="50"/>
  <c r="H16" i="50"/>
  <c r="H15" i="50"/>
  <c r="H14" i="50"/>
  <c r="H13" i="50"/>
  <c r="H12" i="50"/>
  <c r="H11" i="50"/>
  <c r="H10" i="50"/>
  <c r="H9" i="50"/>
  <c r="H8" i="50"/>
  <c r="H7" i="50"/>
  <c r="F27" i="45" l="1"/>
  <c r="H12" i="47"/>
  <c r="C52" i="45"/>
  <c r="H52" i="45"/>
  <c r="M47" i="45"/>
  <c r="M50" i="45"/>
  <c r="F42" i="45"/>
  <c r="M30" i="45"/>
  <c r="G30" i="45"/>
  <c r="H30" i="45" s="1"/>
  <c r="E30" i="45"/>
  <c r="C30" i="45"/>
  <c r="I213" i="43"/>
  <c r="I212" i="43"/>
  <c r="G237" i="43"/>
  <c r="C237" i="43" s="1"/>
  <c r="E303" i="43"/>
  <c r="Q415" i="43"/>
  <c r="G415" i="43"/>
  <c r="H415" i="43" s="1"/>
  <c r="E415" i="43"/>
  <c r="H414" i="43"/>
  <c r="C414" i="43"/>
  <c r="Q413" i="43"/>
  <c r="G413" i="43"/>
  <c r="C413" i="43" s="1"/>
  <c r="E413" i="43"/>
  <c r="H412" i="43"/>
  <c r="C412" i="43"/>
  <c r="Q411" i="43"/>
  <c r="G411" i="43"/>
  <c r="C411" i="43" s="1"/>
  <c r="E411" i="43"/>
  <c r="H410" i="43"/>
  <c r="C410" i="43"/>
  <c r="Q409" i="43"/>
  <c r="G409" i="43"/>
  <c r="H409" i="43" s="1"/>
  <c r="E409" i="43"/>
  <c r="H408" i="43"/>
  <c r="C408" i="43"/>
  <c r="Q407" i="43"/>
  <c r="G407" i="43"/>
  <c r="H407" i="43" s="1"/>
  <c r="E407" i="43"/>
  <c r="H406" i="43"/>
  <c r="C406" i="43"/>
  <c r="Q405" i="43"/>
  <c r="G405" i="43"/>
  <c r="C405" i="43" s="1"/>
  <c r="E405" i="43"/>
  <c r="H404" i="43"/>
  <c r="C404" i="43"/>
  <c r="Q403" i="43"/>
  <c r="G403" i="43"/>
  <c r="C403" i="43" s="1"/>
  <c r="E403" i="43"/>
  <c r="H402" i="43"/>
  <c r="C402" i="43"/>
  <c r="Q401" i="43"/>
  <c r="G401" i="43"/>
  <c r="H401" i="43" s="1"/>
  <c r="E401" i="43"/>
  <c r="H400" i="43"/>
  <c r="C400" i="43"/>
  <c r="Q399" i="43"/>
  <c r="G399" i="43"/>
  <c r="H399" i="43" s="1"/>
  <c r="E399" i="43"/>
  <c r="H398" i="43"/>
  <c r="C398" i="43"/>
  <c r="Q397" i="43"/>
  <c r="G397" i="43"/>
  <c r="C397" i="43" s="1"/>
  <c r="E397" i="43"/>
  <c r="H396" i="43"/>
  <c r="C396" i="43"/>
  <c r="Q395" i="43"/>
  <c r="G395" i="43"/>
  <c r="C395" i="43" s="1"/>
  <c r="E395" i="43"/>
  <c r="H394" i="43"/>
  <c r="C394" i="43"/>
  <c r="Q393" i="43"/>
  <c r="G393" i="43"/>
  <c r="H393" i="43" s="1"/>
  <c r="E393" i="43"/>
  <c r="H392" i="43"/>
  <c r="C392" i="43"/>
  <c r="Q391" i="43"/>
  <c r="G391" i="43"/>
  <c r="H391" i="43" s="1"/>
  <c r="E391" i="43"/>
  <c r="H390" i="43"/>
  <c r="C390" i="43"/>
  <c r="Q389" i="43"/>
  <c r="G389" i="43"/>
  <c r="C389" i="43" s="1"/>
  <c r="E389" i="43"/>
  <c r="H388" i="43"/>
  <c r="C388" i="43"/>
  <c r="Q387" i="43"/>
  <c r="G387" i="43"/>
  <c r="C387" i="43" s="1"/>
  <c r="E387" i="43"/>
  <c r="H386" i="43"/>
  <c r="C386" i="43"/>
  <c r="Q385" i="43"/>
  <c r="G385" i="43"/>
  <c r="H385" i="43" s="1"/>
  <c r="E385" i="43"/>
  <c r="H384" i="43"/>
  <c r="C384" i="43"/>
  <c r="Q383" i="43"/>
  <c r="G383" i="43"/>
  <c r="H383" i="43" s="1"/>
  <c r="E383" i="43"/>
  <c r="H382" i="43"/>
  <c r="C382" i="43"/>
  <c r="Q381" i="43"/>
  <c r="G381" i="43"/>
  <c r="C381" i="43" s="1"/>
  <c r="E381" i="43"/>
  <c r="H380" i="43"/>
  <c r="C380" i="43"/>
  <c r="Q379" i="43"/>
  <c r="G379" i="43"/>
  <c r="C379" i="43" s="1"/>
  <c r="E379" i="43"/>
  <c r="H378" i="43"/>
  <c r="C378" i="43"/>
  <c r="Q377" i="43"/>
  <c r="G377" i="43"/>
  <c r="H377" i="43" s="1"/>
  <c r="E377" i="43"/>
  <c r="H376" i="43"/>
  <c r="C376" i="43"/>
  <c r="Q375" i="43"/>
  <c r="G375" i="43"/>
  <c r="H375" i="43" s="1"/>
  <c r="E375" i="43"/>
  <c r="H374" i="43"/>
  <c r="C374" i="43"/>
  <c r="Q373" i="43"/>
  <c r="G373" i="43"/>
  <c r="C373" i="43" s="1"/>
  <c r="E373" i="43"/>
  <c r="H372" i="43"/>
  <c r="C372" i="43"/>
  <c r="Q371" i="43"/>
  <c r="G371" i="43"/>
  <c r="C371" i="43" s="1"/>
  <c r="E371" i="43"/>
  <c r="H370" i="43"/>
  <c r="C370" i="43"/>
  <c r="Q369" i="43"/>
  <c r="G369" i="43"/>
  <c r="H369" i="43" s="1"/>
  <c r="E369" i="43"/>
  <c r="H368" i="43"/>
  <c r="C368" i="43"/>
  <c r="Q367" i="43"/>
  <c r="G367" i="43"/>
  <c r="H367" i="43" s="1"/>
  <c r="E367" i="43"/>
  <c r="H366" i="43"/>
  <c r="C366" i="43"/>
  <c r="Q365" i="43"/>
  <c r="G365" i="43"/>
  <c r="C365" i="43" s="1"/>
  <c r="E365" i="43"/>
  <c r="H364" i="43"/>
  <c r="C364" i="43"/>
  <c r="Q363" i="43"/>
  <c r="G363" i="43"/>
  <c r="C363" i="43" s="1"/>
  <c r="E363" i="43"/>
  <c r="H362" i="43"/>
  <c r="C362" i="43"/>
  <c r="Q361" i="43"/>
  <c r="G361" i="43"/>
  <c r="C361" i="43" s="1"/>
  <c r="E361" i="43"/>
  <c r="H360" i="43"/>
  <c r="C360" i="43"/>
  <c r="Q359" i="43"/>
  <c r="G359" i="43"/>
  <c r="H359" i="43" s="1"/>
  <c r="E359" i="43"/>
  <c r="H358" i="43"/>
  <c r="C358" i="43"/>
  <c r="Q357" i="43"/>
  <c r="G357" i="43"/>
  <c r="C357" i="43" s="1"/>
  <c r="E357" i="43"/>
  <c r="H356" i="43"/>
  <c r="C356" i="43"/>
  <c r="Q355" i="43"/>
  <c r="G355" i="43"/>
  <c r="C355" i="43" s="1"/>
  <c r="E355" i="43"/>
  <c r="H354" i="43"/>
  <c r="C354" i="43"/>
  <c r="Q353" i="43"/>
  <c r="G353" i="43"/>
  <c r="H353" i="43" s="1"/>
  <c r="E353" i="43"/>
  <c r="C353" i="43"/>
  <c r="H352" i="43"/>
  <c r="C352" i="43"/>
  <c r="Q351" i="43"/>
  <c r="G351" i="43"/>
  <c r="H351" i="43" s="1"/>
  <c r="E351" i="43"/>
  <c r="H350" i="43"/>
  <c r="C350" i="43"/>
  <c r="Q349" i="43"/>
  <c r="G349" i="43"/>
  <c r="C349" i="43" s="1"/>
  <c r="E349" i="43"/>
  <c r="H348" i="43"/>
  <c r="C348" i="43"/>
  <c r="Q347" i="43"/>
  <c r="G347" i="43"/>
  <c r="C347" i="43" s="1"/>
  <c r="E347" i="43"/>
  <c r="H346" i="43"/>
  <c r="C346" i="43"/>
  <c r="Q345" i="43"/>
  <c r="H345" i="43"/>
  <c r="G345" i="43"/>
  <c r="C345" i="43" s="1"/>
  <c r="E345" i="43"/>
  <c r="H344" i="43"/>
  <c r="C344" i="43"/>
  <c r="Q343" i="43"/>
  <c r="G343" i="43"/>
  <c r="H343" i="43" s="1"/>
  <c r="E343" i="43"/>
  <c r="H342" i="43"/>
  <c r="C342" i="43"/>
  <c r="Q341" i="43"/>
  <c r="G341" i="43"/>
  <c r="C341" i="43" s="1"/>
  <c r="E341" i="43"/>
  <c r="H340" i="43"/>
  <c r="C340" i="43"/>
  <c r="Q339" i="43"/>
  <c r="G339" i="43"/>
  <c r="C339" i="43" s="1"/>
  <c r="E339" i="43"/>
  <c r="H338" i="43"/>
  <c r="C338" i="43"/>
  <c r="Q337" i="43"/>
  <c r="G337" i="43"/>
  <c r="H337" i="43" s="1"/>
  <c r="E337" i="43"/>
  <c r="H336" i="43"/>
  <c r="C336" i="43"/>
  <c r="Q335" i="43"/>
  <c r="G335" i="43"/>
  <c r="H335" i="43" s="1"/>
  <c r="E335" i="43"/>
  <c r="H334" i="43"/>
  <c r="C334" i="43"/>
  <c r="Q333" i="43"/>
  <c r="G333" i="43"/>
  <c r="C333" i="43" s="1"/>
  <c r="E333" i="43"/>
  <c r="H332" i="43"/>
  <c r="C332" i="43"/>
  <c r="Q331" i="43"/>
  <c r="G331" i="43"/>
  <c r="C331" i="43" s="1"/>
  <c r="E331" i="43"/>
  <c r="H330" i="43"/>
  <c r="C330" i="43"/>
  <c r="Q329" i="43"/>
  <c r="G329" i="43"/>
  <c r="C329" i="43" s="1"/>
  <c r="E329" i="43"/>
  <c r="H328" i="43"/>
  <c r="C328" i="43"/>
  <c r="Q327" i="43"/>
  <c r="G327" i="43"/>
  <c r="H327" i="43" s="1"/>
  <c r="E327" i="43"/>
  <c r="H326" i="43"/>
  <c r="C326" i="43"/>
  <c r="Q325" i="43"/>
  <c r="G325" i="43"/>
  <c r="C325" i="43" s="1"/>
  <c r="E325" i="43"/>
  <c r="H324" i="43"/>
  <c r="C324" i="43"/>
  <c r="Q323" i="43"/>
  <c r="G323" i="43"/>
  <c r="C323" i="43" s="1"/>
  <c r="E323" i="43"/>
  <c r="H322" i="43"/>
  <c r="C322" i="43"/>
  <c r="Q321" i="43"/>
  <c r="G321" i="43"/>
  <c r="C321" i="43" s="1"/>
  <c r="E321" i="43"/>
  <c r="H320" i="43"/>
  <c r="C320" i="43"/>
  <c r="Q319" i="43"/>
  <c r="G319" i="43"/>
  <c r="H319" i="43" s="1"/>
  <c r="E319" i="43"/>
  <c r="H318" i="43"/>
  <c r="C318" i="43"/>
  <c r="Q317" i="43"/>
  <c r="G317" i="43"/>
  <c r="C317" i="43" s="1"/>
  <c r="E317" i="43"/>
  <c r="H316" i="43"/>
  <c r="C316" i="43"/>
  <c r="Q315" i="43"/>
  <c r="G315" i="43"/>
  <c r="C315" i="43" s="1"/>
  <c r="E315" i="43"/>
  <c r="H314" i="43"/>
  <c r="C314" i="43"/>
  <c r="Q313" i="43"/>
  <c r="G313" i="43"/>
  <c r="H313" i="43" s="1"/>
  <c r="E313" i="43"/>
  <c r="C313" i="43"/>
  <c r="H312" i="43"/>
  <c r="C312" i="43"/>
  <c r="Q311" i="43"/>
  <c r="G311" i="43"/>
  <c r="H311" i="43" s="1"/>
  <c r="E311" i="43"/>
  <c r="H310" i="43"/>
  <c r="C310" i="43"/>
  <c r="Q309" i="43"/>
  <c r="G309" i="43"/>
  <c r="C309" i="43" s="1"/>
  <c r="E309" i="43"/>
  <c r="H308" i="43"/>
  <c r="C308" i="43"/>
  <c r="Q307" i="43"/>
  <c r="G307" i="43"/>
  <c r="C307" i="43" s="1"/>
  <c r="E307" i="43"/>
  <c r="H306" i="43"/>
  <c r="C306" i="43"/>
  <c r="Q305" i="43"/>
  <c r="G305" i="43"/>
  <c r="C305" i="43" s="1"/>
  <c r="E305" i="43"/>
  <c r="H304" i="43"/>
  <c r="C304" i="43"/>
  <c r="Q303" i="43"/>
  <c r="G303" i="43"/>
  <c r="H303" i="43" s="1"/>
  <c r="H302" i="43"/>
  <c r="C302" i="43"/>
  <c r="Q301" i="43"/>
  <c r="G301" i="43"/>
  <c r="C301" i="43" s="1"/>
  <c r="E301" i="43"/>
  <c r="H300" i="43"/>
  <c r="C300" i="43"/>
  <c r="Q299" i="43"/>
  <c r="G299" i="43"/>
  <c r="C299" i="43" s="1"/>
  <c r="E299" i="43"/>
  <c r="H298" i="43"/>
  <c r="C298" i="43"/>
  <c r="Q297" i="43"/>
  <c r="G297" i="43"/>
  <c r="C297" i="43" s="1"/>
  <c r="E297" i="43"/>
  <c r="H296" i="43"/>
  <c r="C296" i="43"/>
  <c r="Q295" i="43"/>
  <c r="G295" i="43"/>
  <c r="H295" i="43" s="1"/>
  <c r="E295" i="43"/>
  <c r="H294" i="43"/>
  <c r="C294" i="43"/>
  <c r="Q293" i="43"/>
  <c r="G293" i="43"/>
  <c r="C293" i="43" s="1"/>
  <c r="E293" i="43"/>
  <c r="H292" i="43"/>
  <c r="C292" i="43"/>
  <c r="Q291" i="43"/>
  <c r="G291" i="43"/>
  <c r="C291" i="43" s="1"/>
  <c r="E291" i="43"/>
  <c r="H290" i="43"/>
  <c r="C290" i="43"/>
  <c r="Q289" i="43"/>
  <c r="G289" i="43"/>
  <c r="C289" i="43" s="1"/>
  <c r="E289" i="43"/>
  <c r="H288" i="43"/>
  <c r="C288" i="43"/>
  <c r="Q287" i="43"/>
  <c r="G287" i="43"/>
  <c r="H287" i="43" s="1"/>
  <c r="E287" i="43"/>
  <c r="H286" i="43"/>
  <c r="C286" i="43"/>
  <c r="Q285" i="43"/>
  <c r="G285" i="43"/>
  <c r="C285" i="43" s="1"/>
  <c r="E285" i="43"/>
  <c r="H284" i="43"/>
  <c r="C284" i="43"/>
  <c r="Q283" i="43"/>
  <c r="G283" i="43"/>
  <c r="C283" i="43" s="1"/>
  <c r="E283" i="43"/>
  <c r="H282" i="43"/>
  <c r="C282" i="43"/>
  <c r="Q281" i="43"/>
  <c r="G281" i="43"/>
  <c r="C281" i="43" s="1"/>
  <c r="E281" i="43"/>
  <c r="H280" i="43"/>
  <c r="C280" i="43"/>
  <c r="Q279" i="43"/>
  <c r="G279" i="43"/>
  <c r="H279" i="43" s="1"/>
  <c r="E279" i="43"/>
  <c r="H278" i="43"/>
  <c r="C278" i="43"/>
  <c r="Q277" i="43"/>
  <c r="G277" i="43"/>
  <c r="C277" i="43" s="1"/>
  <c r="E277" i="43"/>
  <c r="H276" i="43"/>
  <c r="C276" i="43"/>
  <c r="Q275" i="43"/>
  <c r="G275" i="43"/>
  <c r="C275" i="43" s="1"/>
  <c r="E275" i="43"/>
  <c r="H274" i="43"/>
  <c r="C274" i="43"/>
  <c r="Q273" i="43"/>
  <c r="G273" i="43"/>
  <c r="C273" i="43" s="1"/>
  <c r="E273" i="43"/>
  <c r="H272" i="43"/>
  <c r="C272" i="43"/>
  <c r="Q271" i="43"/>
  <c r="C271" i="43" s="1"/>
  <c r="G271" i="43"/>
  <c r="H271" i="43" s="1"/>
  <c r="E271" i="43"/>
  <c r="H270" i="43"/>
  <c r="C270" i="43"/>
  <c r="Q269" i="43"/>
  <c r="G269" i="43"/>
  <c r="C269" i="43" s="1"/>
  <c r="E269" i="43"/>
  <c r="H268" i="43"/>
  <c r="C268" i="43"/>
  <c r="Q267" i="43"/>
  <c r="G267" i="43"/>
  <c r="C267" i="43" s="1"/>
  <c r="E267" i="43"/>
  <c r="H266" i="43"/>
  <c r="C266" i="43"/>
  <c r="Q265" i="43"/>
  <c r="G265" i="43"/>
  <c r="C265" i="43" s="1"/>
  <c r="E265" i="43"/>
  <c r="H264" i="43"/>
  <c r="C264" i="43"/>
  <c r="Q263" i="43"/>
  <c r="G263" i="43"/>
  <c r="C263" i="43" s="1"/>
  <c r="E263" i="43"/>
  <c r="H262" i="43"/>
  <c r="C262" i="43"/>
  <c r="Q261" i="43"/>
  <c r="G261" i="43"/>
  <c r="C261" i="43" s="1"/>
  <c r="E261" i="43"/>
  <c r="H260" i="43"/>
  <c r="C260" i="43"/>
  <c r="Q259" i="43"/>
  <c r="G259" i="43"/>
  <c r="C259" i="43" s="1"/>
  <c r="E259" i="43"/>
  <c r="H258" i="43"/>
  <c r="C258" i="43"/>
  <c r="Q257" i="43"/>
  <c r="G257" i="43"/>
  <c r="C257" i="43" s="1"/>
  <c r="E257" i="43"/>
  <c r="H256" i="43"/>
  <c r="C256" i="43"/>
  <c r="Q255" i="43"/>
  <c r="G255" i="43"/>
  <c r="C255" i="43" s="1"/>
  <c r="E255" i="43"/>
  <c r="H254" i="43"/>
  <c r="C254" i="43"/>
  <c r="Q253" i="43"/>
  <c r="G253" i="43"/>
  <c r="C253" i="43" s="1"/>
  <c r="E253" i="43"/>
  <c r="H252" i="43"/>
  <c r="C252" i="43"/>
  <c r="Q251" i="43"/>
  <c r="G251" i="43"/>
  <c r="C251" i="43" s="1"/>
  <c r="E251" i="43"/>
  <c r="H250" i="43"/>
  <c r="C250" i="43"/>
  <c r="Q249" i="43"/>
  <c r="G249" i="43"/>
  <c r="C249" i="43" s="1"/>
  <c r="E249" i="43"/>
  <c r="H248" i="43"/>
  <c r="C248" i="43"/>
  <c r="Q247" i="43"/>
  <c r="G247" i="43"/>
  <c r="E247" i="43"/>
  <c r="H246" i="43"/>
  <c r="C246" i="43"/>
  <c r="Q245" i="43"/>
  <c r="G245" i="43"/>
  <c r="C245" i="43" s="1"/>
  <c r="E245" i="43"/>
  <c r="H244" i="43"/>
  <c r="C244" i="43"/>
  <c r="Q243" i="43"/>
  <c r="G243" i="43"/>
  <c r="C243" i="43" s="1"/>
  <c r="E243" i="43"/>
  <c r="H242" i="43"/>
  <c r="C242" i="43"/>
  <c r="Q241" i="43"/>
  <c r="G241" i="43"/>
  <c r="C241" i="43" s="1"/>
  <c r="E241" i="43"/>
  <c r="H240" i="43"/>
  <c r="C240" i="43"/>
  <c r="Q239" i="43"/>
  <c r="G239" i="43"/>
  <c r="C239" i="43" s="1"/>
  <c r="E239" i="43"/>
  <c r="H238" i="43"/>
  <c r="C238" i="43"/>
  <c r="Q237" i="43"/>
  <c r="E237" i="43"/>
  <c r="H236" i="43"/>
  <c r="C236" i="43"/>
  <c r="Q235" i="43"/>
  <c r="G235" i="43"/>
  <c r="C235" i="43" s="1"/>
  <c r="E235" i="43"/>
  <c r="H234" i="43"/>
  <c r="C234" i="43"/>
  <c r="Q233" i="43"/>
  <c r="G233" i="43"/>
  <c r="C233" i="43" s="1"/>
  <c r="E233" i="43"/>
  <c r="H232" i="43"/>
  <c r="C232" i="43"/>
  <c r="Q231" i="43"/>
  <c r="G231" i="43"/>
  <c r="C231" i="43" s="1"/>
  <c r="E231" i="43"/>
  <c r="H230" i="43"/>
  <c r="C230" i="43"/>
  <c r="Q229" i="43"/>
  <c r="G229" i="43"/>
  <c r="C229" i="43" s="1"/>
  <c r="E229" i="43"/>
  <c r="H228" i="43"/>
  <c r="C228" i="43"/>
  <c r="Q227" i="43"/>
  <c r="G227" i="43"/>
  <c r="C227" i="43" s="1"/>
  <c r="E227" i="43"/>
  <c r="H226" i="43"/>
  <c r="C226" i="43"/>
  <c r="Q225" i="43"/>
  <c r="G225" i="43"/>
  <c r="H225" i="43" s="1"/>
  <c r="E225" i="43"/>
  <c r="H224" i="43"/>
  <c r="C224" i="43"/>
  <c r="Q223" i="43"/>
  <c r="G223" i="43"/>
  <c r="C223" i="43" s="1"/>
  <c r="E223" i="43"/>
  <c r="H222" i="43"/>
  <c r="C222" i="43"/>
  <c r="Q221" i="43"/>
  <c r="G221" i="43"/>
  <c r="C221" i="43" s="1"/>
  <c r="E221" i="43"/>
  <c r="H220" i="43"/>
  <c r="C220" i="43"/>
  <c r="Q219" i="43"/>
  <c r="G219" i="43"/>
  <c r="C219" i="43" s="1"/>
  <c r="E219" i="43"/>
  <c r="H218" i="43"/>
  <c r="C218" i="43"/>
  <c r="Q217" i="43"/>
  <c r="G217" i="43"/>
  <c r="C217" i="43" s="1"/>
  <c r="E217" i="43"/>
  <c r="H216" i="43"/>
  <c r="C216" i="43"/>
  <c r="Q215" i="43"/>
  <c r="G215" i="43"/>
  <c r="C215" i="43" s="1"/>
  <c r="E215" i="43"/>
  <c r="H214" i="43"/>
  <c r="C214" i="43"/>
  <c r="G213" i="43"/>
  <c r="C213" i="43" s="1"/>
  <c r="E213" i="43"/>
  <c r="H212" i="43"/>
  <c r="C212" i="43"/>
  <c r="I8" i="43"/>
  <c r="I7" i="43"/>
  <c r="C359" i="43" l="1"/>
  <c r="C337" i="43"/>
  <c r="C311" i="43"/>
  <c r="H291" i="43"/>
  <c r="C279" i="43"/>
  <c r="H273" i="43"/>
  <c r="C247" i="43"/>
  <c r="C225" i="43"/>
  <c r="C415" i="43"/>
  <c r="H411" i="43"/>
  <c r="C409" i="43"/>
  <c r="C407" i="43"/>
  <c r="H403" i="43"/>
  <c r="C401" i="43"/>
  <c r="C399" i="43"/>
  <c r="H395" i="43"/>
  <c r="C393" i="43"/>
  <c r="C391" i="43"/>
  <c r="H387" i="43"/>
  <c r="C385" i="43"/>
  <c r="C383" i="43"/>
  <c r="H379" i="43"/>
  <c r="C377" i="43"/>
  <c r="C375" i="43"/>
  <c r="H371" i="43"/>
  <c r="C369" i="43"/>
  <c r="C367" i="43"/>
  <c r="H363" i="43"/>
  <c r="H361" i="43"/>
  <c r="H355" i="43"/>
  <c r="C351" i="43"/>
  <c r="H347" i="43"/>
  <c r="C343" i="43"/>
  <c r="H339" i="43"/>
  <c r="C335" i="43"/>
  <c r="H331" i="43"/>
  <c r="H329" i="43"/>
  <c r="C327" i="43"/>
  <c r="H323" i="43"/>
  <c r="H321" i="43"/>
  <c r="C319" i="43"/>
  <c r="H315" i="43"/>
  <c r="H307" i="43"/>
  <c r="H305" i="43"/>
  <c r="C303" i="43"/>
  <c r="H299" i="43"/>
  <c r="H297" i="43"/>
  <c r="C295" i="43"/>
  <c r="H289" i="43"/>
  <c r="C287" i="43"/>
  <c r="H283" i="43"/>
  <c r="H281" i="43"/>
  <c r="H275" i="43"/>
  <c r="H267" i="43"/>
  <c r="H265" i="43"/>
  <c r="H259" i="43"/>
  <c r="H257" i="43"/>
  <c r="H251" i="43"/>
  <c r="H249" i="43"/>
  <c r="H243" i="43"/>
  <c r="H241" i="43"/>
  <c r="H235" i="43"/>
  <c r="H233" i="43"/>
  <c r="H227" i="43"/>
  <c r="H219" i="43"/>
  <c r="H217" i="43"/>
  <c r="H221" i="43"/>
  <c r="H229" i="43"/>
  <c r="H237" i="43"/>
  <c r="H245" i="43"/>
  <c r="H253" i="43"/>
  <c r="H261" i="43"/>
  <c r="H269" i="43"/>
  <c r="H277" i="43"/>
  <c r="H285" i="43"/>
  <c r="H293" i="43"/>
  <c r="H301" i="43"/>
  <c r="H309" i="43"/>
  <c r="H317" i="43"/>
  <c r="H325" i="43"/>
  <c r="H333" i="43"/>
  <c r="H341" i="43"/>
  <c r="H349" i="43"/>
  <c r="H357" i="43"/>
  <c r="H365" i="43"/>
  <c r="H373" i="43"/>
  <c r="H381" i="43"/>
  <c r="H389" i="43"/>
  <c r="H397" i="43"/>
  <c r="H405" i="43"/>
  <c r="H413" i="43"/>
  <c r="H213" i="43"/>
  <c r="H215" i="43"/>
  <c r="H223" i="43"/>
  <c r="H231" i="43"/>
  <c r="H239" i="43"/>
  <c r="H247" i="43"/>
  <c r="H255" i="43"/>
  <c r="H263" i="43"/>
  <c r="Q210" i="43" l="1"/>
  <c r="G210" i="43"/>
  <c r="C210" i="43" s="1"/>
  <c r="E210" i="43"/>
  <c r="H209" i="43"/>
  <c r="C209" i="43"/>
  <c r="Q208" i="43"/>
  <c r="G208" i="43"/>
  <c r="H208" i="43" s="1"/>
  <c r="E208" i="43"/>
  <c r="C208" i="43"/>
  <c r="H207" i="43"/>
  <c r="C207" i="43"/>
  <c r="Q206" i="43"/>
  <c r="G206" i="43"/>
  <c r="E206" i="43"/>
  <c r="H205" i="43"/>
  <c r="C205" i="43"/>
  <c r="Q204" i="43"/>
  <c r="G204" i="43"/>
  <c r="C204" i="43" s="1"/>
  <c r="E204" i="43"/>
  <c r="H203" i="43"/>
  <c r="C203" i="43"/>
  <c r="Q202" i="43"/>
  <c r="G202" i="43"/>
  <c r="C202" i="43" s="1"/>
  <c r="E202" i="43"/>
  <c r="H201" i="43"/>
  <c r="C201" i="43"/>
  <c r="Q200" i="43"/>
  <c r="G200" i="43"/>
  <c r="C200" i="43" s="1"/>
  <c r="E200" i="43"/>
  <c r="H199" i="43"/>
  <c r="C199" i="43"/>
  <c r="Q198" i="43"/>
  <c r="G198" i="43"/>
  <c r="H198" i="43" s="1"/>
  <c r="E198" i="43"/>
  <c r="H197" i="43"/>
  <c r="C197" i="43"/>
  <c r="Q196" i="43"/>
  <c r="H196" i="43"/>
  <c r="G196" i="43"/>
  <c r="E196" i="43"/>
  <c r="C196" i="43"/>
  <c r="H195" i="43"/>
  <c r="C195" i="43"/>
  <c r="Q194" i="43"/>
  <c r="G194" i="43"/>
  <c r="C194" i="43" s="1"/>
  <c r="E194" i="43"/>
  <c r="H193" i="43"/>
  <c r="C193" i="43"/>
  <c r="Q192" i="43"/>
  <c r="G192" i="43"/>
  <c r="E192" i="43"/>
  <c r="H191" i="43"/>
  <c r="C191" i="43"/>
  <c r="Q190" i="43"/>
  <c r="G190" i="43"/>
  <c r="H190" i="43" s="1"/>
  <c r="E190" i="43"/>
  <c r="H189" i="43"/>
  <c r="C189" i="43"/>
  <c r="Q188" i="43"/>
  <c r="G188" i="43"/>
  <c r="E188" i="43"/>
  <c r="H187" i="43"/>
  <c r="C187" i="43"/>
  <c r="Q186" i="43"/>
  <c r="G186" i="43"/>
  <c r="C186" i="43" s="1"/>
  <c r="E186" i="43"/>
  <c r="H185" i="43"/>
  <c r="C185" i="43"/>
  <c r="Q184" i="43"/>
  <c r="G184" i="43"/>
  <c r="C184" i="43" s="1"/>
  <c r="E184" i="43"/>
  <c r="H183" i="43"/>
  <c r="C183" i="43"/>
  <c r="Q182" i="43"/>
  <c r="C182" i="43" s="1"/>
  <c r="G182" i="43"/>
  <c r="H182" i="43" s="1"/>
  <c r="E182" i="43"/>
  <c r="H181" i="43"/>
  <c r="C181" i="43"/>
  <c r="Q180" i="43"/>
  <c r="G180" i="43"/>
  <c r="H180" i="43" s="1"/>
  <c r="E180" i="43"/>
  <c r="H179" i="43"/>
  <c r="C179" i="43"/>
  <c r="Q178" i="43"/>
  <c r="G178" i="43"/>
  <c r="C178" i="43" s="1"/>
  <c r="E178" i="43"/>
  <c r="H177" i="43"/>
  <c r="C177" i="43"/>
  <c r="Q176" i="43"/>
  <c r="G176" i="43"/>
  <c r="C176" i="43" s="1"/>
  <c r="E176" i="43"/>
  <c r="H175" i="43"/>
  <c r="C175" i="43"/>
  <c r="Q174" i="43"/>
  <c r="G174" i="43"/>
  <c r="H174" i="43" s="1"/>
  <c r="E174" i="43"/>
  <c r="C174" i="43"/>
  <c r="H173" i="43"/>
  <c r="C173" i="43"/>
  <c r="Q172" i="43"/>
  <c r="G172" i="43"/>
  <c r="C172" i="43" s="1"/>
  <c r="E172" i="43"/>
  <c r="H171" i="43"/>
  <c r="C171" i="43"/>
  <c r="Q170" i="43"/>
  <c r="G170" i="43"/>
  <c r="C170" i="43" s="1"/>
  <c r="E170" i="43"/>
  <c r="H169" i="43"/>
  <c r="C169" i="43"/>
  <c r="Q168" i="43"/>
  <c r="G168" i="43"/>
  <c r="C168" i="43" s="1"/>
  <c r="E168" i="43"/>
  <c r="H167" i="43"/>
  <c r="C167" i="43"/>
  <c r="Q166" i="43"/>
  <c r="G166" i="43"/>
  <c r="H166" i="43" s="1"/>
  <c r="E166" i="43"/>
  <c r="H165" i="43"/>
  <c r="C165" i="43"/>
  <c r="Q164" i="43"/>
  <c r="G164" i="43"/>
  <c r="H164" i="43" s="1"/>
  <c r="E164" i="43"/>
  <c r="H163" i="43"/>
  <c r="C163" i="43"/>
  <c r="Q162" i="43"/>
  <c r="G162" i="43"/>
  <c r="C162" i="43" s="1"/>
  <c r="E162" i="43"/>
  <c r="H161" i="43"/>
  <c r="C161" i="43"/>
  <c r="Q160" i="43"/>
  <c r="G160" i="43"/>
  <c r="C160" i="43" s="1"/>
  <c r="E160" i="43"/>
  <c r="H159" i="43"/>
  <c r="C159" i="43"/>
  <c r="Q158" i="43"/>
  <c r="G158" i="43"/>
  <c r="H158" i="43" s="1"/>
  <c r="E158" i="43"/>
  <c r="H157" i="43"/>
  <c r="C157" i="43"/>
  <c r="Q156" i="43"/>
  <c r="G156" i="43"/>
  <c r="H156" i="43" s="1"/>
  <c r="E156" i="43"/>
  <c r="H155" i="43"/>
  <c r="C155" i="43"/>
  <c r="Q154" i="43"/>
  <c r="G154" i="43"/>
  <c r="C154" i="43" s="1"/>
  <c r="E154" i="43"/>
  <c r="H153" i="43"/>
  <c r="C153" i="43"/>
  <c r="Q152" i="43"/>
  <c r="G152" i="43"/>
  <c r="C152" i="43" s="1"/>
  <c r="E152" i="43"/>
  <c r="H151" i="43"/>
  <c r="C151" i="43"/>
  <c r="Q150" i="43"/>
  <c r="G150" i="43"/>
  <c r="H150" i="43" s="1"/>
  <c r="E150" i="43"/>
  <c r="H149" i="43"/>
  <c r="C149" i="43"/>
  <c r="Q148" i="43"/>
  <c r="G148" i="43"/>
  <c r="E148" i="43"/>
  <c r="H147" i="43"/>
  <c r="C147" i="43"/>
  <c r="Q146" i="43"/>
  <c r="G146" i="43"/>
  <c r="C146" i="43" s="1"/>
  <c r="E146" i="43"/>
  <c r="H145" i="43"/>
  <c r="C145" i="43"/>
  <c r="Q144" i="43"/>
  <c r="G144" i="43"/>
  <c r="C144" i="43" s="1"/>
  <c r="E144" i="43"/>
  <c r="H143" i="43"/>
  <c r="C143" i="43"/>
  <c r="Q142" i="43"/>
  <c r="G142" i="43"/>
  <c r="H142" i="43" s="1"/>
  <c r="E142" i="43"/>
  <c r="H141" i="43"/>
  <c r="C141" i="43"/>
  <c r="Q140" i="43"/>
  <c r="G140" i="43"/>
  <c r="E140" i="43"/>
  <c r="H139" i="43"/>
  <c r="C139" i="43"/>
  <c r="Q138" i="43"/>
  <c r="G138" i="43"/>
  <c r="C138" i="43" s="1"/>
  <c r="E138" i="43"/>
  <c r="H137" i="43"/>
  <c r="C137" i="43"/>
  <c r="Q136" i="43"/>
  <c r="G136" i="43"/>
  <c r="C136" i="43" s="1"/>
  <c r="E136" i="43"/>
  <c r="H135" i="43"/>
  <c r="C135" i="43"/>
  <c r="Q134" i="43"/>
  <c r="G134" i="43"/>
  <c r="H134" i="43" s="1"/>
  <c r="E134" i="43"/>
  <c r="H133" i="43"/>
  <c r="C133" i="43"/>
  <c r="Q132" i="43"/>
  <c r="G132" i="43"/>
  <c r="H132" i="43" s="1"/>
  <c r="E132" i="43"/>
  <c r="H131" i="43"/>
  <c r="C131" i="43"/>
  <c r="Q130" i="43"/>
  <c r="G130" i="43"/>
  <c r="C130" i="43" s="1"/>
  <c r="E130" i="43"/>
  <c r="H129" i="43"/>
  <c r="C129" i="43"/>
  <c r="Q122" i="43"/>
  <c r="Q102" i="43"/>
  <c r="Q84" i="43"/>
  <c r="Q74" i="43"/>
  <c r="Q66" i="43"/>
  <c r="Q54" i="43"/>
  <c r="Q44" i="43"/>
  <c r="Q36" i="43"/>
  <c r="Q24" i="43"/>
  <c r="Q16" i="43"/>
  <c r="Q114" i="43"/>
  <c r="Q92" i="43"/>
  <c r="Q94" i="43"/>
  <c r="Q128" i="43"/>
  <c r="G128" i="43"/>
  <c r="C128" i="43" s="1"/>
  <c r="E128" i="43"/>
  <c r="H127" i="43"/>
  <c r="C127" i="43"/>
  <c r="Q126" i="43"/>
  <c r="G126" i="43"/>
  <c r="H126" i="43" s="1"/>
  <c r="E126" i="43"/>
  <c r="H125" i="43"/>
  <c r="C125" i="43"/>
  <c r="Q124" i="43"/>
  <c r="G124" i="43"/>
  <c r="C124" i="43" s="1"/>
  <c r="E124" i="43"/>
  <c r="H123" i="43"/>
  <c r="C123" i="43"/>
  <c r="G122" i="43"/>
  <c r="H122" i="43" s="1"/>
  <c r="E122" i="43"/>
  <c r="H121" i="43"/>
  <c r="C121" i="43"/>
  <c r="Q120" i="43"/>
  <c r="G120" i="43"/>
  <c r="H120" i="43" s="1"/>
  <c r="E120" i="43"/>
  <c r="H119" i="43"/>
  <c r="C119" i="43"/>
  <c r="Q118" i="43"/>
  <c r="G118" i="43"/>
  <c r="C118" i="43" s="1"/>
  <c r="E118" i="43"/>
  <c r="H117" i="43"/>
  <c r="C117" i="43"/>
  <c r="Q116" i="43"/>
  <c r="G116" i="43"/>
  <c r="E116" i="43"/>
  <c r="H115" i="43"/>
  <c r="C115" i="43"/>
  <c r="G114" i="43"/>
  <c r="H114" i="43" s="1"/>
  <c r="E114" i="43"/>
  <c r="H113" i="43"/>
  <c r="C113" i="43"/>
  <c r="Q112" i="43"/>
  <c r="G112" i="43"/>
  <c r="C112" i="43" s="1"/>
  <c r="E112" i="43"/>
  <c r="H111" i="43"/>
  <c r="C111" i="43"/>
  <c r="Q110" i="43"/>
  <c r="G110" i="43"/>
  <c r="E110" i="43"/>
  <c r="H109" i="43"/>
  <c r="C109" i="43"/>
  <c r="Q108" i="43"/>
  <c r="G108" i="43"/>
  <c r="C108" i="43" s="1"/>
  <c r="E108" i="43"/>
  <c r="H107" i="43"/>
  <c r="C107" i="43"/>
  <c r="Q106" i="43"/>
  <c r="G106" i="43"/>
  <c r="H106" i="43" s="1"/>
  <c r="E106" i="43"/>
  <c r="H105" i="43"/>
  <c r="C105" i="43"/>
  <c r="Q104" i="43"/>
  <c r="G104" i="43"/>
  <c r="C104" i="43" s="1"/>
  <c r="E104" i="43"/>
  <c r="H103" i="43"/>
  <c r="C103" i="43"/>
  <c r="G102" i="43"/>
  <c r="C102" i="43" s="1"/>
  <c r="E102" i="43"/>
  <c r="H101" i="43"/>
  <c r="C101" i="43"/>
  <c r="Q100" i="43"/>
  <c r="G100" i="43"/>
  <c r="H100" i="43" s="1"/>
  <c r="E100" i="43"/>
  <c r="H99" i="43"/>
  <c r="C99" i="43"/>
  <c r="Q98" i="43"/>
  <c r="G98" i="43"/>
  <c r="C98" i="43" s="1"/>
  <c r="E98" i="43"/>
  <c r="H97" i="43"/>
  <c r="C97" i="43"/>
  <c r="Q96" i="43"/>
  <c r="G96" i="43"/>
  <c r="E96" i="43"/>
  <c r="H95" i="43"/>
  <c r="C95" i="43"/>
  <c r="G94" i="43"/>
  <c r="E94" i="43"/>
  <c r="H93" i="43"/>
  <c r="C93" i="43"/>
  <c r="G92" i="43"/>
  <c r="C92" i="43" s="1"/>
  <c r="E92" i="43"/>
  <c r="H91" i="43"/>
  <c r="C91" i="43"/>
  <c r="Q90" i="43"/>
  <c r="G90" i="43"/>
  <c r="E90" i="43"/>
  <c r="H89" i="43"/>
  <c r="C89" i="43"/>
  <c r="Q88" i="43"/>
  <c r="G88" i="43"/>
  <c r="E88" i="43"/>
  <c r="H87" i="43"/>
  <c r="C87" i="43"/>
  <c r="Q86" i="43"/>
  <c r="G86" i="43"/>
  <c r="H86" i="43" s="1"/>
  <c r="E86" i="43"/>
  <c r="H85" i="43"/>
  <c r="C85" i="43"/>
  <c r="G84" i="43"/>
  <c r="C84" i="43" s="1"/>
  <c r="E84" i="43"/>
  <c r="H83" i="43"/>
  <c r="C83" i="43"/>
  <c r="Q82" i="43"/>
  <c r="G82" i="43"/>
  <c r="C82" i="43" s="1"/>
  <c r="E82" i="43"/>
  <c r="H81" i="43"/>
  <c r="C81" i="43"/>
  <c r="Q80" i="43"/>
  <c r="G80" i="43"/>
  <c r="E80" i="43"/>
  <c r="H79" i="43"/>
  <c r="C79" i="43"/>
  <c r="Q78" i="43"/>
  <c r="G78" i="43"/>
  <c r="H78" i="43" s="1"/>
  <c r="E78" i="43"/>
  <c r="H77" i="43"/>
  <c r="C77" i="43"/>
  <c r="Q76" i="43"/>
  <c r="G76" i="43"/>
  <c r="H76" i="43" s="1"/>
  <c r="E76" i="43"/>
  <c r="C76" i="43"/>
  <c r="H75" i="43"/>
  <c r="C75" i="43"/>
  <c r="G74" i="43"/>
  <c r="C74" i="43" s="1"/>
  <c r="E74" i="43"/>
  <c r="H73" i="43"/>
  <c r="C73" i="43"/>
  <c r="Q72" i="43"/>
  <c r="G72" i="43"/>
  <c r="H72" i="43" s="1"/>
  <c r="E72" i="43"/>
  <c r="H71" i="43"/>
  <c r="C71" i="43"/>
  <c r="Q70" i="43"/>
  <c r="G70" i="43"/>
  <c r="E70" i="43"/>
  <c r="H69" i="43"/>
  <c r="C69" i="43"/>
  <c r="Q68" i="43"/>
  <c r="G68" i="43"/>
  <c r="C68" i="43" s="1"/>
  <c r="E68" i="43"/>
  <c r="H67" i="43"/>
  <c r="C67" i="43"/>
  <c r="G66" i="43"/>
  <c r="H66" i="43" s="1"/>
  <c r="E66" i="43"/>
  <c r="H65" i="43"/>
  <c r="C65" i="43"/>
  <c r="Q64" i="43"/>
  <c r="G64" i="43"/>
  <c r="C64" i="43" s="1"/>
  <c r="E64" i="43"/>
  <c r="H63" i="43"/>
  <c r="C63" i="43"/>
  <c r="Q62" i="43"/>
  <c r="G62" i="43"/>
  <c r="E62" i="43"/>
  <c r="H61" i="43"/>
  <c r="C61" i="43"/>
  <c r="Q60" i="43"/>
  <c r="G60" i="43"/>
  <c r="E60" i="43"/>
  <c r="H59" i="43"/>
  <c r="C59" i="43"/>
  <c r="Q58" i="43"/>
  <c r="G58" i="43"/>
  <c r="H58" i="43" s="1"/>
  <c r="E58" i="43"/>
  <c r="H57" i="43"/>
  <c r="C57" i="43"/>
  <c r="Q56" i="43"/>
  <c r="G56" i="43"/>
  <c r="H56" i="43" s="1"/>
  <c r="E56" i="43"/>
  <c r="H55" i="43"/>
  <c r="C55" i="43"/>
  <c r="G54" i="43"/>
  <c r="C54" i="43" s="1"/>
  <c r="E54" i="43"/>
  <c r="H53" i="43"/>
  <c r="C53" i="43"/>
  <c r="Q52" i="43"/>
  <c r="G52" i="43"/>
  <c r="H52" i="43" s="1"/>
  <c r="E52" i="43"/>
  <c r="H51" i="43"/>
  <c r="C51" i="43"/>
  <c r="H31" i="43"/>
  <c r="G32" i="43"/>
  <c r="H32" i="43" s="1"/>
  <c r="Q32" i="43"/>
  <c r="C32" i="43" s="1"/>
  <c r="H33" i="43"/>
  <c r="G34" i="43"/>
  <c r="H34" i="43" s="1"/>
  <c r="Q34" i="43"/>
  <c r="H35" i="43"/>
  <c r="G36" i="43"/>
  <c r="H36" i="43" s="1"/>
  <c r="H37" i="43"/>
  <c r="G38" i="43"/>
  <c r="H38" i="43" s="1"/>
  <c r="Q38" i="43"/>
  <c r="H39" i="43"/>
  <c r="G40" i="43"/>
  <c r="H40" i="43" s="1"/>
  <c r="Q40" i="43"/>
  <c r="H41" i="43"/>
  <c r="G42" i="43"/>
  <c r="H42" i="43" s="1"/>
  <c r="Q42" i="43"/>
  <c r="H43" i="43"/>
  <c r="G44" i="43"/>
  <c r="H44" i="43" s="1"/>
  <c r="H45" i="43"/>
  <c r="G46" i="43"/>
  <c r="H46" i="43" s="1"/>
  <c r="Q46" i="43"/>
  <c r="H47" i="43"/>
  <c r="G48" i="43"/>
  <c r="H48" i="43" s="1"/>
  <c r="Q48" i="43"/>
  <c r="H49" i="43"/>
  <c r="G50" i="43"/>
  <c r="H50" i="43" s="1"/>
  <c r="Q50" i="43"/>
  <c r="E50" i="43"/>
  <c r="C49" i="43"/>
  <c r="E48" i="43"/>
  <c r="C47" i="43"/>
  <c r="E46" i="43"/>
  <c r="C45" i="43"/>
  <c r="C44" i="43"/>
  <c r="E44" i="43"/>
  <c r="C43" i="43"/>
  <c r="E42" i="43"/>
  <c r="C41" i="43"/>
  <c r="E40" i="43"/>
  <c r="C39" i="43"/>
  <c r="E38" i="43"/>
  <c r="C37" i="43"/>
  <c r="E36" i="43"/>
  <c r="C35" i="43"/>
  <c r="E34" i="43"/>
  <c r="C33" i="43"/>
  <c r="E32" i="43"/>
  <c r="C31" i="43"/>
  <c r="Q30" i="43"/>
  <c r="G30" i="43"/>
  <c r="H30" i="43" s="1"/>
  <c r="E30" i="43"/>
  <c r="H29" i="43"/>
  <c r="C29" i="43"/>
  <c r="Q28" i="43"/>
  <c r="G28" i="43"/>
  <c r="H28" i="43" s="1"/>
  <c r="E28" i="43"/>
  <c r="H27" i="43"/>
  <c r="C27" i="43"/>
  <c r="Q26" i="43"/>
  <c r="G26" i="43"/>
  <c r="H26" i="43" s="1"/>
  <c r="E26" i="43"/>
  <c r="H25" i="43"/>
  <c r="C25" i="43"/>
  <c r="G24" i="43"/>
  <c r="C24" i="43" s="1"/>
  <c r="E24" i="43"/>
  <c r="H23" i="43"/>
  <c r="C23" i="43"/>
  <c r="Q22" i="43"/>
  <c r="G22" i="43"/>
  <c r="H22" i="43" s="1"/>
  <c r="E22" i="43"/>
  <c r="H21" i="43"/>
  <c r="C21" i="43"/>
  <c r="Q20" i="43"/>
  <c r="G20" i="43"/>
  <c r="H20" i="43" s="1"/>
  <c r="E20" i="43"/>
  <c r="H19" i="43"/>
  <c r="C19" i="43"/>
  <c r="Q18" i="43"/>
  <c r="G18" i="43"/>
  <c r="C18" i="43" s="1"/>
  <c r="E18" i="43"/>
  <c r="H17" i="43"/>
  <c r="C17" i="43"/>
  <c r="G16" i="43"/>
  <c r="H16" i="43" s="1"/>
  <c r="E16" i="43"/>
  <c r="C16" i="43"/>
  <c r="H15" i="43"/>
  <c r="C15" i="43"/>
  <c r="G14" i="43"/>
  <c r="G12" i="43"/>
  <c r="G10" i="43"/>
  <c r="H10" i="43" s="1"/>
  <c r="G8" i="43"/>
  <c r="H8" i="43" s="1"/>
  <c r="Q14" i="43"/>
  <c r="E14" i="43"/>
  <c r="H13" i="43"/>
  <c r="C13" i="43"/>
  <c r="Q12" i="43"/>
  <c r="H12" i="43"/>
  <c r="C12" i="43"/>
  <c r="E12" i="43"/>
  <c r="H11" i="43"/>
  <c r="C11" i="43"/>
  <c r="Q10" i="43"/>
  <c r="E10" i="43"/>
  <c r="H9" i="43"/>
  <c r="C9" i="43"/>
  <c r="E8" i="43"/>
  <c r="C8" i="43"/>
  <c r="H7" i="43"/>
  <c r="C7" i="43"/>
  <c r="C12" i="47" l="1"/>
  <c r="C206" i="43"/>
  <c r="H210" i="43"/>
  <c r="H202" i="43"/>
  <c r="H206" i="43"/>
  <c r="H204" i="43"/>
  <c r="C192" i="43"/>
  <c r="C188" i="43"/>
  <c r="C164" i="43"/>
  <c r="C148" i="43"/>
  <c r="C140" i="43"/>
  <c r="C132" i="43"/>
  <c r="C198" i="43"/>
  <c r="C190" i="43"/>
  <c r="H188" i="43"/>
  <c r="C180" i="43"/>
  <c r="H172" i="43"/>
  <c r="C166" i="43"/>
  <c r="C158" i="43"/>
  <c r="C156" i="43"/>
  <c r="C150" i="43"/>
  <c r="H148" i="43"/>
  <c r="C142" i="43"/>
  <c r="H140" i="43"/>
  <c r="C134" i="43"/>
  <c r="H130" i="43"/>
  <c r="H138" i="43"/>
  <c r="H146" i="43"/>
  <c r="H154" i="43"/>
  <c r="H162" i="43"/>
  <c r="H170" i="43"/>
  <c r="H178" i="43"/>
  <c r="H186" i="43"/>
  <c r="H194" i="43"/>
  <c r="H136" i="43"/>
  <c r="H144" i="43"/>
  <c r="H152" i="43"/>
  <c r="H160" i="43"/>
  <c r="H168" i="43"/>
  <c r="H176" i="43"/>
  <c r="H184" i="43"/>
  <c r="H192" i="43"/>
  <c r="H200" i="43"/>
  <c r="C116" i="43"/>
  <c r="H82" i="43"/>
  <c r="C94" i="43"/>
  <c r="C70" i="43"/>
  <c r="C80" i="43"/>
  <c r="C88" i="43"/>
  <c r="C60" i="43"/>
  <c r="C62" i="43"/>
  <c r="H128" i="43"/>
  <c r="C126" i="43"/>
  <c r="C122" i="43"/>
  <c r="C120" i="43"/>
  <c r="H118" i="43"/>
  <c r="C110" i="43"/>
  <c r="H108" i="43"/>
  <c r="H102" i="43"/>
  <c r="H98" i="43"/>
  <c r="C96" i="43"/>
  <c r="C90" i="43"/>
  <c r="H88" i="43"/>
  <c r="H124" i="43"/>
  <c r="C114" i="43"/>
  <c r="H112" i="43"/>
  <c r="C106" i="43"/>
  <c r="H104" i="43"/>
  <c r="C100" i="43"/>
  <c r="H94" i="43"/>
  <c r="H92" i="43"/>
  <c r="C86" i="43"/>
  <c r="H84" i="43"/>
  <c r="H90" i="43"/>
  <c r="H96" i="43"/>
  <c r="H110" i="43"/>
  <c r="H116" i="43"/>
  <c r="C78" i="43"/>
  <c r="C56" i="43"/>
  <c r="C72" i="43"/>
  <c r="H70" i="43"/>
  <c r="C66" i="43"/>
  <c r="H64" i="43"/>
  <c r="C58" i="43"/>
  <c r="C52" i="43"/>
  <c r="H62" i="43"/>
  <c r="H68" i="43"/>
  <c r="H54" i="43"/>
  <c r="H60" i="43"/>
  <c r="H74" i="43"/>
  <c r="H80" i="43"/>
  <c r="C42" i="43"/>
  <c r="C40" i="43"/>
  <c r="C36" i="43"/>
  <c r="C38" i="43"/>
  <c r="C34" i="43"/>
  <c r="C46" i="43"/>
  <c r="C48" i="43"/>
  <c r="C50" i="43"/>
  <c r="C26" i="43"/>
  <c r="C22" i="43"/>
  <c r="C30" i="43"/>
  <c r="C28" i="43"/>
  <c r="C20" i="43"/>
  <c r="H18" i="43"/>
  <c r="H24" i="43"/>
  <c r="C14" i="43"/>
  <c r="C10" i="43"/>
  <c r="H14" i="43"/>
  <c r="C7" i="45" l="1"/>
  <c r="H7" i="45"/>
  <c r="C8" i="45"/>
  <c r="H8" i="45"/>
  <c r="C9" i="45"/>
  <c r="E9" i="45"/>
  <c r="G9" i="45"/>
  <c r="H9" i="45" s="1"/>
  <c r="M9" i="45"/>
  <c r="C10" i="45"/>
  <c r="C11" i="45"/>
  <c r="E11" i="45"/>
  <c r="G11" i="45"/>
  <c r="H11" i="45" s="1"/>
  <c r="M11" i="45"/>
  <c r="C12" i="45"/>
  <c r="H12" i="45"/>
  <c r="C13" i="45"/>
  <c r="E13" i="45"/>
  <c r="G13" i="45"/>
  <c r="H13" i="45" s="1"/>
  <c r="C14" i="45"/>
  <c r="H14" i="45"/>
  <c r="C15" i="45"/>
  <c r="H15" i="45"/>
  <c r="C16" i="45"/>
  <c r="H16" i="45"/>
  <c r="C17" i="45"/>
  <c r="E17" i="45"/>
  <c r="G17" i="45"/>
  <c r="H17" i="45" s="1"/>
  <c r="M17" i="45"/>
  <c r="C18" i="45"/>
  <c r="C19" i="45"/>
  <c r="E19" i="45"/>
  <c r="G19" i="45"/>
  <c r="H19" i="45" s="1"/>
  <c r="M19" i="45"/>
  <c r="C20" i="45"/>
  <c r="H20" i="45"/>
  <c r="C21" i="45"/>
  <c r="H21" i="45"/>
  <c r="C22" i="45"/>
  <c r="E22" i="45"/>
  <c r="G22" i="45"/>
  <c r="H22" i="45" s="1"/>
  <c r="M22" i="45"/>
  <c r="C23" i="45"/>
  <c r="H23" i="45"/>
  <c r="C24" i="45"/>
  <c r="H24" i="45"/>
  <c r="E25" i="45"/>
  <c r="G25" i="45"/>
  <c r="H25" i="45" s="1"/>
  <c r="M25" i="45"/>
  <c r="H26" i="45"/>
  <c r="C27" i="45"/>
  <c r="E27" i="45"/>
  <c r="G27" i="45"/>
  <c r="H27" i="45" s="1"/>
  <c r="M27" i="45"/>
  <c r="C28" i="45"/>
  <c r="H28" i="45"/>
  <c r="C29" i="45"/>
  <c r="H29" i="45"/>
  <c r="C31" i="45"/>
  <c r="H31" i="45"/>
  <c r="C32" i="45"/>
  <c r="H32" i="45"/>
  <c r="C33" i="45"/>
  <c r="H33" i="45"/>
  <c r="C34" i="45"/>
  <c r="E34" i="45"/>
  <c r="G34" i="45"/>
  <c r="H34" i="45" s="1"/>
  <c r="M34" i="45"/>
  <c r="C35" i="45"/>
  <c r="H35" i="45"/>
  <c r="C36" i="45"/>
  <c r="E36" i="45"/>
  <c r="G36" i="45"/>
  <c r="H36" i="45" s="1"/>
  <c r="M36" i="45"/>
  <c r="M38" i="45" s="1"/>
  <c r="C37" i="45"/>
  <c r="H37" i="45"/>
  <c r="C38" i="45"/>
  <c r="E38" i="45"/>
  <c r="G38" i="45"/>
  <c r="H38" i="45" s="1"/>
  <c r="C39" i="45"/>
  <c r="H39" i="45"/>
  <c r="C40" i="45"/>
  <c r="H40" i="45"/>
  <c r="C41" i="45"/>
  <c r="H41" i="45"/>
  <c r="C42" i="45"/>
  <c r="E42" i="45"/>
  <c r="G42" i="45"/>
  <c r="H42" i="45" s="1"/>
  <c r="C43" i="45"/>
  <c r="H43" i="45"/>
  <c r="C44" i="45"/>
  <c r="E44" i="45"/>
  <c r="G44" i="45"/>
  <c r="H44" i="45" s="1"/>
  <c r="M44" i="45"/>
  <c r="C45" i="45"/>
  <c r="H45" i="45"/>
  <c r="C46" i="45"/>
  <c r="H46" i="45"/>
  <c r="I46" i="45"/>
  <c r="C47" i="45"/>
  <c r="E47" i="45"/>
  <c r="G47" i="45"/>
  <c r="H47" i="45" s="1"/>
  <c r="I47" i="45"/>
  <c r="C48" i="45"/>
  <c r="H48" i="45"/>
  <c r="I48" i="45"/>
  <c r="C49" i="45"/>
  <c r="H49" i="45"/>
  <c r="C50" i="45"/>
  <c r="E50" i="45"/>
  <c r="G50" i="45"/>
  <c r="H50" i="45" s="1"/>
  <c r="C51" i="45"/>
  <c r="H51" i="45"/>
  <c r="I51" i="45"/>
  <c r="C54" i="45"/>
  <c r="H54" i="45"/>
  <c r="I54" i="45"/>
  <c r="C55" i="45"/>
  <c r="H55" i="45"/>
  <c r="I55" i="45"/>
  <c r="C56" i="45"/>
  <c r="H56" i="45"/>
  <c r="I56" i="45"/>
  <c r="C57" i="45"/>
  <c r="H57" i="45"/>
  <c r="I57" i="45"/>
  <c r="C58" i="45"/>
  <c r="H58" i="45"/>
  <c r="I58" i="45"/>
  <c r="C59" i="45"/>
  <c r="H59" i="45"/>
  <c r="I59" i="45"/>
  <c r="C60" i="45"/>
  <c r="H60" i="45"/>
  <c r="I60" i="45"/>
  <c r="C61" i="45"/>
  <c r="H61" i="45"/>
  <c r="I61" i="45"/>
  <c r="C62" i="45"/>
  <c r="H62" i="45"/>
  <c r="I62" i="45"/>
  <c r="C63" i="45"/>
  <c r="H63" i="45"/>
  <c r="I63" i="45"/>
  <c r="C64" i="45"/>
  <c r="H64" i="45"/>
  <c r="I64" i="45"/>
  <c r="C65" i="45"/>
  <c r="H65" i="45"/>
  <c r="I65" i="45"/>
  <c r="C66" i="45"/>
  <c r="H66" i="45"/>
  <c r="I66" i="45"/>
  <c r="C67" i="45"/>
  <c r="H67" i="45"/>
  <c r="I67" i="45"/>
  <c r="C68" i="45"/>
  <c r="H68" i="45"/>
  <c r="I68" i="45"/>
  <c r="C69" i="45"/>
  <c r="H69" i="45"/>
  <c r="I69" i="45"/>
  <c r="C70" i="45"/>
  <c r="H70" i="45"/>
  <c r="I70" i="45"/>
  <c r="C71" i="45"/>
  <c r="H71" i="45"/>
  <c r="I71" i="45"/>
  <c r="V472" i="38" l="1"/>
  <c r="V436" i="38"/>
  <c r="V400" i="38"/>
  <c r="V364" i="38"/>
  <c r="V328" i="38"/>
  <c r="V292" i="38"/>
  <c r="V256" i="38"/>
  <c r="V220" i="38"/>
  <c r="V184" i="38"/>
  <c r="V148" i="38"/>
  <c r="V112" i="38"/>
  <c r="V76" i="38"/>
  <c r="V40" i="38"/>
  <c r="V454" i="38"/>
  <c r="V418" i="38"/>
  <c r="V382" i="38"/>
  <c r="V346" i="38"/>
  <c r="V310" i="38"/>
  <c r="V274" i="38"/>
  <c r="V238" i="38"/>
  <c r="V202" i="38"/>
  <c r="V166" i="38"/>
  <c r="V130" i="38"/>
  <c r="V94" i="38"/>
  <c r="V58" i="38"/>
  <c r="V22" i="38"/>
  <c r="H276" i="42" l="1"/>
  <c r="H275" i="42"/>
  <c r="H274" i="42"/>
  <c r="V437" i="38"/>
  <c r="V438" i="38" s="1"/>
  <c r="V439" i="38" s="1"/>
  <c r="V440" i="38" s="1"/>
  <c r="T437" i="38"/>
  <c r="T438" i="38" s="1"/>
  <c r="T439" i="38" s="1"/>
  <c r="T440" i="38" s="1"/>
  <c r="V419" i="38"/>
  <c r="V420" i="38" s="1"/>
  <c r="V421" i="38" s="1"/>
  <c r="V422" i="38" s="1"/>
  <c r="T419" i="38"/>
  <c r="T420" i="38" s="1"/>
  <c r="T421" i="38" s="1"/>
  <c r="T422" i="38" s="1"/>
  <c r="H437" i="38"/>
  <c r="H440" i="38"/>
  <c r="H419" i="38"/>
  <c r="H422" i="38"/>
  <c r="H401" i="38"/>
  <c r="H404" i="38"/>
  <c r="V401" i="38"/>
  <c r="V402" i="38" s="1"/>
  <c r="V403" i="38" s="1"/>
  <c r="V404" i="38" s="1"/>
  <c r="T401" i="38"/>
  <c r="T402" i="38" s="1"/>
  <c r="T403" i="38" s="1"/>
  <c r="T404" i="38" s="1"/>
  <c r="V383" i="38"/>
  <c r="V384" i="38" s="1"/>
  <c r="V385" i="38" s="1"/>
  <c r="V386" i="38" s="1"/>
  <c r="T383" i="38"/>
  <c r="T384" i="38" s="1"/>
  <c r="T385" i="38" s="1"/>
  <c r="T386" i="38" s="1"/>
  <c r="H383" i="38"/>
  <c r="H386" i="38"/>
  <c r="H365" i="38"/>
  <c r="H368" i="38"/>
  <c r="H347" i="38"/>
  <c r="H350" i="38"/>
  <c r="V365" i="38"/>
  <c r="V366" i="38" s="1"/>
  <c r="V367" i="38" s="1"/>
  <c r="V368" i="38" s="1"/>
  <c r="T365" i="38"/>
  <c r="T366" i="38" s="1"/>
  <c r="T367" i="38" s="1"/>
  <c r="T368" i="38" s="1"/>
  <c r="V347" i="38"/>
  <c r="V348" i="38" s="1"/>
  <c r="V349" i="38" s="1"/>
  <c r="V350" i="38" s="1"/>
  <c r="T347" i="38"/>
  <c r="T348" i="38" s="1"/>
  <c r="T349" i="38" s="1"/>
  <c r="T350" i="38" s="1"/>
  <c r="H329" i="38"/>
  <c r="H332" i="38"/>
  <c r="V329" i="38"/>
  <c r="V330" i="38" s="1"/>
  <c r="V331" i="38" s="1"/>
  <c r="V332" i="38" s="1"/>
  <c r="T329" i="38"/>
  <c r="T330" i="38" s="1"/>
  <c r="T331" i="38" s="1"/>
  <c r="T332" i="38" s="1"/>
  <c r="V311" i="38"/>
  <c r="V312" i="38" s="1"/>
  <c r="V313" i="38" s="1"/>
  <c r="V314" i="38" s="1"/>
  <c r="T311" i="38"/>
  <c r="T312" i="38" s="1"/>
  <c r="T313" i="38" s="1"/>
  <c r="T314" i="38" s="1"/>
  <c r="H311" i="38"/>
  <c r="H314" i="38"/>
  <c r="H293" i="38"/>
  <c r="H296" i="38"/>
  <c r="V293" i="38"/>
  <c r="V294" i="38" s="1"/>
  <c r="V295" i="38" s="1"/>
  <c r="V296" i="38" s="1"/>
  <c r="T293" i="38"/>
  <c r="T294" i="38" s="1"/>
  <c r="T295" i="38" s="1"/>
  <c r="T296" i="38" s="1"/>
  <c r="V275" i="38"/>
  <c r="V276" i="38" s="1"/>
  <c r="V277" i="38" s="1"/>
  <c r="V278" i="38" s="1"/>
  <c r="T275" i="38"/>
  <c r="T276" i="38" s="1"/>
  <c r="T277" i="38" s="1"/>
  <c r="T278" i="38" s="1"/>
  <c r="H275" i="38"/>
  <c r="H278" i="38"/>
  <c r="H257" i="38"/>
  <c r="H260" i="38"/>
  <c r="H239" i="38"/>
  <c r="H242" i="38"/>
  <c r="V257" i="38"/>
  <c r="V258" i="38" s="1"/>
  <c r="V259" i="38" s="1"/>
  <c r="V260" i="38" s="1"/>
  <c r="T257" i="38"/>
  <c r="T258" i="38" s="1"/>
  <c r="T259" i="38" s="1"/>
  <c r="T260" i="38" s="1"/>
  <c r="V239" i="38"/>
  <c r="V240" i="38" s="1"/>
  <c r="V241" i="38" s="1"/>
  <c r="V242" i="38" s="1"/>
  <c r="T239" i="38"/>
  <c r="T240" i="38" s="1"/>
  <c r="T241" i="38" s="1"/>
  <c r="T242" i="38" s="1"/>
  <c r="H221" i="38"/>
  <c r="H224" i="38"/>
  <c r="H203" i="38"/>
  <c r="H206" i="38"/>
  <c r="H17" i="44"/>
  <c r="H18" i="44"/>
  <c r="H19" i="44"/>
  <c r="V221" i="38"/>
  <c r="V222" i="38" s="1"/>
  <c r="V223" i="38" s="1"/>
  <c r="V224" i="38" s="1"/>
  <c r="T221" i="38"/>
  <c r="T222" i="38" s="1"/>
  <c r="T223" i="38" s="1"/>
  <c r="T224" i="38" s="1"/>
  <c r="V203" i="38"/>
  <c r="V204" i="38" s="1"/>
  <c r="V205" i="38" s="1"/>
  <c r="V206" i="38" s="1"/>
  <c r="T203" i="38"/>
  <c r="T204" i="38" s="1"/>
  <c r="T205" i="38" s="1"/>
  <c r="T206" i="38" s="1"/>
  <c r="V185" i="38"/>
  <c r="V186" i="38" s="1"/>
  <c r="V187" i="38" s="1"/>
  <c r="V188" i="38" s="1"/>
  <c r="T185" i="38"/>
  <c r="T186" i="38" s="1"/>
  <c r="T187" i="38" s="1"/>
  <c r="T188" i="38" s="1"/>
  <c r="H185" i="38"/>
  <c r="H188" i="38"/>
  <c r="V167" i="38"/>
  <c r="V168" i="38" s="1"/>
  <c r="V169" i="38" s="1"/>
  <c r="V170" i="38" s="1"/>
  <c r="T167" i="38"/>
  <c r="T168" i="38" s="1"/>
  <c r="T169" i="38" s="1"/>
  <c r="T170" i="38" s="1"/>
  <c r="H167" i="38"/>
  <c r="H170" i="38"/>
  <c r="H16" i="44"/>
  <c r="V149" i="38"/>
  <c r="V150" i="38" s="1"/>
  <c r="V151" i="38" s="1"/>
  <c r="V152" i="38" s="1"/>
  <c r="T149" i="38"/>
  <c r="T150" i="38" s="1"/>
  <c r="T151" i="38" s="1"/>
  <c r="T152" i="38" s="1"/>
  <c r="H149" i="38"/>
  <c r="V131" i="38"/>
  <c r="V132" i="38" s="1"/>
  <c r="V133" i="38" s="1"/>
  <c r="V134" i="38" s="1"/>
  <c r="T131" i="38"/>
  <c r="T132" i="38" s="1"/>
  <c r="T133" i="38" s="1"/>
  <c r="T134" i="38" s="1"/>
  <c r="H131" i="38"/>
  <c r="V113" i="38"/>
  <c r="V114" i="38" s="1"/>
  <c r="V115" i="38" s="1"/>
  <c r="V116" i="38" s="1"/>
  <c r="T113" i="38"/>
  <c r="T114" i="38" s="1"/>
  <c r="T115" i="38" s="1"/>
  <c r="T116" i="38" s="1"/>
  <c r="H113" i="38"/>
  <c r="V95" i="38"/>
  <c r="V96" i="38" s="1"/>
  <c r="V97" i="38" s="1"/>
  <c r="V98" i="38" s="1"/>
  <c r="T95" i="38"/>
  <c r="T96" i="38" s="1"/>
  <c r="T97" i="38" s="1"/>
  <c r="T98" i="38" s="1"/>
  <c r="H95" i="38"/>
  <c r="H77" i="38"/>
  <c r="V77" i="38"/>
  <c r="V78" i="38" s="1"/>
  <c r="V79" i="38" s="1"/>
  <c r="V80" i="38" s="1"/>
  <c r="T77" i="38"/>
  <c r="T78" i="38" s="1"/>
  <c r="T79" i="38" s="1"/>
  <c r="T80" i="38" s="1"/>
  <c r="H59" i="38"/>
  <c r="V59" i="38"/>
  <c r="V60" i="38" s="1"/>
  <c r="V61" i="38" s="1"/>
  <c r="V62" i="38" s="1"/>
  <c r="T59" i="38"/>
  <c r="T60" i="38" s="1"/>
  <c r="T61" i="38" s="1"/>
  <c r="T62" i="38" s="1"/>
  <c r="V41" i="38"/>
  <c r="V42" i="38" s="1"/>
  <c r="V43" i="38" s="1"/>
  <c r="V44" i="38" s="1"/>
  <c r="T41" i="38"/>
  <c r="T42" i="38" s="1"/>
  <c r="T43" i="38" s="1"/>
  <c r="T44" i="38" s="1"/>
  <c r="V23" i="38"/>
  <c r="V24" i="38" s="1"/>
  <c r="V25" i="38" s="1"/>
  <c r="V26" i="38" s="1"/>
  <c r="T23" i="38"/>
  <c r="T24" i="38" s="1"/>
  <c r="T25" i="38" s="1"/>
  <c r="T26" i="38" s="1"/>
  <c r="H23" i="38"/>
  <c r="H13" i="44"/>
  <c r="H14" i="44"/>
  <c r="H15" i="44"/>
  <c r="H12" i="44"/>
  <c r="H475" i="38"/>
  <c r="H460" i="38"/>
  <c r="H457" i="38"/>
  <c r="V475" i="38" l="1"/>
  <c r="V476" i="38" s="1"/>
  <c r="V477" i="38" s="1"/>
  <c r="V478" i="38" s="1"/>
  <c r="T475" i="38"/>
  <c r="T476" i="38" s="1"/>
  <c r="T477" i="38" s="1"/>
  <c r="T478" i="38" s="1"/>
  <c r="V457" i="38"/>
  <c r="V458" i="38" s="1"/>
  <c r="V459" i="38" s="1"/>
  <c r="V460" i="38" s="1"/>
  <c r="T457" i="38"/>
  <c r="T458" i="38" s="1"/>
  <c r="T459" i="38" s="1"/>
  <c r="T460" i="38" s="1"/>
  <c r="H548" i="42" l="1"/>
  <c r="H547" i="42"/>
  <c r="H549" i="42"/>
  <c r="H550" i="42"/>
  <c r="H551" i="42"/>
  <c r="H552" i="42"/>
  <c r="H553" i="42"/>
  <c r="H554" i="42"/>
  <c r="H555" i="42"/>
  <c r="H537" i="42"/>
  <c r="H538" i="42"/>
  <c r="H539" i="42"/>
  <c r="H540" i="42"/>
  <c r="H541" i="42"/>
  <c r="H542" i="42"/>
  <c r="H543" i="42"/>
  <c r="H544" i="42"/>
  <c r="H545" i="42"/>
  <c r="H546" i="42"/>
  <c r="H502" i="42"/>
  <c r="H503" i="42"/>
  <c r="H504" i="42"/>
  <c r="H505" i="42"/>
  <c r="H506" i="42"/>
  <c r="H507" i="42"/>
  <c r="H508" i="42"/>
  <c r="H509" i="42"/>
  <c r="H510" i="42"/>
  <c r="H511" i="42"/>
  <c r="H512" i="42"/>
  <c r="H513" i="42"/>
  <c r="H514" i="42"/>
  <c r="H515" i="42"/>
  <c r="H516" i="42"/>
  <c r="H517" i="42"/>
  <c r="H518" i="42"/>
  <c r="H519" i="42"/>
  <c r="H520" i="42"/>
  <c r="H521" i="42"/>
  <c r="H522" i="42"/>
  <c r="H523" i="42"/>
  <c r="H524" i="42"/>
  <c r="H525" i="42"/>
  <c r="H526" i="42"/>
  <c r="H527" i="42"/>
  <c r="H528" i="42"/>
  <c r="H529" i="42"/>
  <c r="H530" i="42"/>
  <c r="H531" i="42"/>
  <c r="H532" i="42"/>
  <c r="H533" i="42"/>
  <c r="H534" i="42"/>
  <c r="H535" i="42"/>
  <c r="H536" i="42"/>
  <c r="H457" i="42"/>
  <c r="H458" i="42"/>
  <c r="H459" i="42"/>
  <c r="H460" i="42"/>
  <c r="H461" i="42"/>
  <c r="H462" i="42"/>
  <c r="H463" i="42"/>
  <c r="H464" i="42"/>
  <c r="H465" i="42"/>
  <c r="H466" i="42"/>
  <c r="H467" i="42"/>
  <c r="H468" i="42"/>
  <c r="H469" i="42"/>
  <c r="H470" i="42"/>
  <c r="H471" i="42"/>
  <c r="H472" i="42"/>
  <c r="H473" i="42"/>
  <c r="H474" i="42"/>
  <c r="H475" i="42"/>
  <c r="H476" i="42"/>
  <c r="H477" i="42"/>
  <c r="H478" i="42"/>
  <c r="H479" i="42"/>
  <c r="H480" i="42"/>
  <c r="H481" i="42"/>
  <c r="H482" i="42"/>
  <c r="H483" i="42"/>
  <c r="H484" i="42"/>
  <c r="H485" i="42"/>
  <c r="H486" i="42"/>
  <c r="H487" i="42"/>
  <c r="H488" i="42"/>
  <c r="H489" i="42"/>
  <c r="H490" i="42"/>
  <c r="H491" i="42"/>
  <c r="H492" i="42"/>
  <c r="H493" i="42"/>
  <c r="H494" i="42"/>
  <c r="H495" i="42"/>
  <c r="H496" i="42"/>
  <c r="H497" i="42"/>
  <c r="H498" i="42"/>
  <c r="H499" i="42"/>
  <c r="H500" i="42"/>
  <c r="H501" i="42"/>
  <c r="H415" i="42"/>
  <c r="H416" i="42"/>
  <c r="H417" i="42"/>
  <c r="H418" i="42"/>
  <c r="H419" i="42"/>
  <c r="H420" i="42"/>
  <c r="H421" i="42"/>
  <c r="H422" i="42"/>
  <c r="H423" i="42"/>
  <c r="H424" i="42"/>
  <c r="H425" i="42"/>
  <c r="H426" i="42"/>
  <c r="H427" i="42"/>
  <c r="H428" i="42"/>
  <c r="H429" i="42"/>
  <c r="H430" i="42"/>
  <c r="H431" i="42"/>
  <c r="H432" i="42"/>
  <c r="H433" i="42"/>
  <c r="H434" i="42"/>
  <c r="H435" i="42"/>
  <c r="H436" i="42"/>
  <c r="H437" i="42"/>
  <c r="H438" i="42"/>
  <c r="H439" i="42"/>
  <c r="H440" i="42"/>
  <c r="H441" i="42"/>
  <c r="H442" i="42"/>
  <c r="H443" i="42"/>
  <c r="H444" i="42"/>
  <c r="H445" i="42"/>
  <c r="H446" i="42"/>
  <c r="H447" i="42"/>
  <c r="H448" i="42"/>
  <c r="H449" i="42"/>
  <c r="H450" i="42"/>
  <c r="H451" i="42"/>
  <c r="H452" i="42"/>
  <c r="H453" i="42"/>
  <c r="H454" i="42"/>
  <c r="H455" i="42"/>
  <c r="H456" i="42"/>
  <c r="H365" i="42"/>
  <c r="H366" i="42"/>
  <c r="H367" i="42"/>
  <c r="H368" i="42"/>
  <c r="H369" i="42"/>
  <c r="H370" i="42"/>
  <c r="H371" i="42"/>
  <c r="H372" i="42"/>
  <c r="H373" i="42"/>
  <c r="H374" i="42"/>
  <c r="H375" i="42"/>
  <c r="H376" i="42"/>
  <c r="H377" i="42"/>
  <c r="H378" i="42"/>
  <c r="H379" i="42"/>
  <c r="H380" i="42"/>
  <c r="H381" i="42"/>
  <c r="H382" i="42"/>
  <c r="H383" i="42"/>
  <c r="H384" i="42"/>
  <c r="H385" i="42"/>
  <c r="H386" i="42"/>
  <c r="H387" i="42"/>
  <c r="H388" i="42"/>
  <c r="H389" i="42"/>
  <c r="H390" i="42"/>
  <c r="H391" i="42"/>
  <c r="H392" i="42"/>
  <c r="H393" i="42"/>
  <c r="H394" i="42"/>
  <c r="H395" i="42"/>
  <c r="H396" i="42"/>
  <c r="H397" i="42"/>
  <c r="H398" i="42"/>
  <c r="H399" i="42"/>
  <c r="H400" i="42"/>
  <c r="H401" i="42"/>
  <c r="H402" i="42"/>
  <c r="H403" i="42"/>
  <c r="H404" i="42"/>
  <c r="H405" i="42"/>
  <c r="H406" i="42"/>
  <c r="H407" i="42"/>
  <c r="H408" i="42"/>
  <c r="H409" i="42"/>
  <c r="H410" i="42"/>
  <c r="H411" i="42"/>
  <c r="H412" i="42"/>
  <c r="H413" i="42"/>
  <c r="H414" i="42"/>
  <c r="H325" i="42"/>
  <c r="H326" i="42"/>
  <c r="H327" i="42"/>
  <c r="H328" i="42"/>
  <c r="H329" i="42"/>
  <c r="H330" i="42"/>
  <c r="H331" i="42"/>
  <c r="H332" i="42"/>
  <c r="H333" i="42"/>
  <c r="H334" i="42"/>
  <c r="H335" i="42"/>
  <c r="H336" i="42"/>
  <c r="H337" i="42"/>
  <c r="H338" i="42"/>
  <c r="H339" i="42"/>
  <c r="H340" i="42"/>
  <c r="H341" i="42"/>
  <c r="H342" i="42"/>
  <c r="H343" i="42"/>
  <c r="H344" i="42"/>
  <c r="H345" i="42"/>
  <c r="H346" i="42"/>
  <c r="H347" i="42"/>
  <c r="H348" i="42"/>
  <c r="H349" i="42"/>
  <c r="H350" i="42"/>
  <c r="H351" i="42"/>
  <c r="H352" i="42"/>
  <c r="H353" i="42"/>
  <c r="H354" i="42"/>
  <c r="H355" i="42"/>
  <c r="H356" i="42"/>
  <c r="H357" i="42"/>
  <c r="H358" i="42"/>
  <c r="H359" i="42"/>
  <c r="H360" i="42"/>
  <c r="H361" i="42"/>
  <c r="H362" i="42"/>
  <c r="H363" i="42"/>
  <c r="H364" i="42"/>
  <c r="H319" i="42"/>
  <c r="H279" i="42"/>
  <c r="H280" i="42"/>
  <c r="H281" i="42"/>
  <c r="H282" i="42"/>
  <c r="H283" i="42"/>
  <c r="H284" i="42"/>
  <c r="H285" i="42"/>
  <c r="H286" i="42"/>
  <c r="H287" i="42"/>
  <c r="H288" i="42"/>
  <c r="H289" i="42"/>
  <c r="H290" i="42"/>
  <c r="H291" i="42"/>
  <c r="H292" i="42"/>
  <c r="H293" i="42"/>
  <c r="H294" i="42"/>
  <c r="H295" i="42"/>
  <c r="H296" i="42"/>
  <c r="H297" i="42"/>
  <c r="H298" i="42"/>
  <c r="H299" i="42"/>
  <c r="H300" i="42"/>
  <c r="H301" i="42"/>
  <c r="H302" i="42"/>
  <c r="H303" i="42"/>
  <c r="H304" i="42"/>
  <c r="H305" i="42"/>
  <c r="H306" i="42"/>
  <c r="H307" i="42"/>
  <c r="H308" i="42"/>
  <c r="H309" i="42"/>
  <c r="H310" i="42"/>
  <c r="H311" i="42"/>
  <c r="H312" i="42"/>
  <c r="H313" i="42"/>
  <c r="H314" i="42"/>
  <c r="H315" i="42"/>
  <c r="H316" i="42"/>
  <c r="H317" i="42"/>
  <c r="H318" i="42"/>
  <c r="H320" i="42"/>
  <c r="H321" i="42"/>
  <c r="H322" i="42"/>
  <c r="H323" i="42"/>
  <c r="H324" i="42"/>
  <c r="H278" i="42"/>
  <c r="H277" i="42"/>
  <c r="H246" i="42"/>
  <c r="H238" i="42"/>
  <c r="H239" i="42"/>
  <c r="H240" i="42"/>
  <c r="H241" i="42"/>
  <c r="H242" i="42"/>
  <c r="H243" i="42"/>
  <c r="H244" i="42"/>
  <c r="H245" i="42"/>
  <c r="H247" i="42"/>
  <c r="H248" i="42"/>
  <c r="H249" i="42"/>
  <c r="H250" i="42"/>
  <c r="H251" i="42"/>
  <c r="H252" i="42"/>
  <c r="H253" i="42"/>
  <c r="H254" i="42"/>
  <c r="H255" i="42"/>
  <c r="H256" i="42"/>
  <c r="H257" i="42"/>
  <c r="H258" i="42"/>
  <c r="H259" i="42"/>
  <c r="H260" i="42"/>
  <c r="H261" i="42"/>
  <c r="H262" i="42"/>
  <c r="H263" i="42"/>
  <c r="H264" i="42"/>
  <c r="H265" i="42"/>
  <c r="H266" i="42"/>
  <c r="H267" i="42"/>
  <c r="H268" i="42"/>
  <c r="H269" i="42"/>
  <c r="H270" i="42"/>
  <c r="H271" i="42"/>
  <c r="H272" i="42"/>
  <c r="H273" i="42"/>
  <c r="H204" i="42"/>
  <c r="H197" i="42"/>
  <c r="H198" i="42"/>
  <c r="H199" i="42"/>
  <c r="H200" i="42"/>
  <c r="H201" i="42"/>
  <c r="H202" i="42"/>
  <c r="H203" i="42"/>
  <c r="H205" i="42"/>
  <c r="H206" i="42"/>
  <c r="H207" i="42"/>
  <c r="H208" i="42"/>
  <c r="H209" i="42"/>
  <c r="H210" i="42"/>
  <c r="H211" i="42"/>
  <c r="H212" i="42"/>
  <c r="H213" i="42"/>
  <c r="H214" i="42"/>
  <c r="H215" i="42"/>
  <c r="H216" i="42"/>
  <c r="H217" i="42"/>
  <c r="H218" i="42"/>
  <c r="H219" i="42"/>
  <c r="H220" i="42"/>
  <c r="H221" i="42"/>
  <c r="H222" i="42"/>
  <c r="H223" i="42"/>
  <c r="H224" i="42"/>
  <c r="H225" i="42"/>
  <c r="H226" i="42"/>
  <c r="H227" i="42"/>
  <c r="H228" i="42"/>
  <c r="H229" i="42"/>
  <c r="H230" i="42"/>
  <c r="H231" i="42"/>
  <c r="H232" i="42"/>
  <c r="H233" i="42"/>
  <c r="H234" i="42"/>
  <c r="H235" i="42"/>
  <c r="H236" i="42"/>
  <c r="H237" i="42"/>
  <c r="H190" i="42"/>
  <c r="H191" i="42"/>
  <c r="H192" i="42"/>
  <c r="H193" i="42"/>
  <c r="H194" i="42"/>
  <c r="H195" i="42"/>
  <c r="H196" i="42"/>
  <c r="H151" i="42"/>
  <c r="H152" i="42"/>
  <c r="H153" i="42"/>
  <c r="H154" i="42"/>
  <c r="H155" i="42"/>
  <c r="H156" i="42"/>
  <c r="H157" i="42"/>
  <c r="H158" i="42"/>
  <c r="H159" i="42"/>
  <c r="H160" i="42"/>
  <c r="H161" i="42"/>
  <c r="H162" i="42"/>
  <c r="H163" i="42"/>
  <c r="H164" i="42"/>
  <c r="H165" i="42"/>
  <c r="H166" i="42"/>
  <c r="H167" i="42"/>
  <c r="H168" i="42"/>
  <c r="H169" i="42"/>
  <c r="H170" i="42"/>
  <c r="H171" i="42"/>
  <c r="H172" i="42"/>
  <c r="H173" i="42"/>
  <c r="H174" i="42"/>
  <c r="H175" i="42"/>
  <c r="H176" i="42"/>
  <c r="H177" i="42"/>
  <c r="H178" i="42"/>
  <c r="H179" i="42"/>
  <c r="H180" i="42"/>
  <c r="H181" i="42"/>
  <c r="H182" i="42"/>
  <c r="H183" i="42"/>
  <c r="H184" i="42"/>
  <c r="H185" i="42"/>
  <c r="H186" i="42"/>
  <c r="H187" i="42"/>
  <c r="H188" i="42"/>
  <c r="H189" i="42"/>
  <c r="H93" i="42"/>
  <c r="H94" i="42"/>
  <c r="H95" i="42"/>
  <c r="H96" i="42"/>
  <c r="H97" i="42"/>
  <c r="H98" i="42"/>
  <c r="H99" i="42"/>
  <c r="H100" i="42"/>
  <c r="H101" i="42"/>
  <c r="H102" i="42"/>
  <c r="H103" i="42"/>
  <c r="H104" i="42"/>
  <c r="H105" i="42"/>
  <c r="H106" i="42"/>
  <c r="H107" i="42"/>
  <c r="H108" i="42"/>
  <c r="H109" i="42"/>
  <c r="H110" i="42"/>
  <c r="H111" i="42"/>
  <c r="H112" i="42"/>
  <c r="H113" i="42"/>
  <c r="H114" i="42"/>
  <c r="H115" i="42"/>
  <c r="H116" i="42"/>
  <c r="H117" i="42"/>
  <c r="H118" i="42"/>
  <c r="H119" i="42"/>
  <c r="H120" i="42"/>
  <c r="H121" i="42"/>
  <c r="H122" i="42"/>
  <c r="H123" i="42"/>
  <c r="H124" i="42"/>
  <c r="H125" i="42"/>
  <c r="H126" i="42"/>
  <c r="H127" i="42"/>
  <c r="H128" i="42"/>
  <c r="H129" i="42"/>
  <c r="H130" i="42"/>
  <c r="H131" i="42"/>
  <c r="H132" i="42"/>
  <c r="H133" i="42"/>
  <c r="H134" i="42"/>
  <c r="H135" i="42"/>
  <c r="H136" i="42"/>
  <c r="H137" i="42"/>
  <c r="H138" i="42"/>
  <c r="H139" i="42"/>
  <c r="H140" i="42"/>
  <c r="H141" i="42"/>
  <c r="H142" i="42"/>
  <c r="H143" i="42"/>
  <c r="H144" i="42"/>
  <c r="H145" i="42"/>
  <c r="H146" i="42"/>
  <c r="H147" i="42"/>
  <c r="H148" i="42"/>
  <c r="H149" i="42"/>
  <c r="H150" i="42"/>
  <c r="H87" i="42"/>
  <c r="H88" i="42"/>
  <c r="H89" i="42"/>
  <c r="H90" i="42"/>
  <c r="H91" i="42"/>
  <c r="H92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0" i="42"/>
  <c r="H71" i="42"/>
  <c r="H72" i="42"/>
  <c r="H73" i="42"/>
  <c r="H74" i="42"/>
  <c r="H75" i="42"/>
  <c r="H76" i="42"/>
  <c r="H77" i="42"/>
  <c r="H78" i="42"/>
  <c r="H79" i="42"/>
  <c r="H80" i="42"/>
  <c r="H81" i="42"/>
  <c r="H82" i="42"/>
  <c r="H83" i="42"/>
  <c r="H84" i="42"/>
  <c r="H85" i="42"/>
  <c r="H86" i="42"/>
  <c r="H39" i="42"/>
  <c r="H32" i="42"/>
  <c r="H21" i="42"/>
  <c r="H23" i="42"/>
  <c r="H12" i="42"/>
  <c r="H13" i="42"/>
  <c r="H14" i="42"/>
  <c r="H15" i="42"/>
  <c r="H16" i="42"/>
  <c r="H17" i="42"/>
  <c r="H18" i="42"/>
  <c r="H19" i="42"/>
  <c r="H20" i="42"/>
  <c r="H22" i="42"/>
  <c r="H24" i="42"/>
  <c r="H25" i="42"/>
  <c r="H26" i="42"/>
  <c r="H27" i="42"/>
  <c r="H28" i="42"/>
  <c r="H29" i="42"/>
  <c r="H30" i="42"/>
  <c r="H31" i="42"/>
  <c r="H33" i="42"/>
  <c r="H34" i="42"/>
  <c r="H35" i="42"/>
  <c r="H36" i="42"/>
  <c r="H37" i="42"/>
  <c r="H38" i="42"/>
  <c r="H40" i="42"/>
  <c r="H41" i="42"/>
  <c r="H42" i="42"/>
  <c r="H43" i="42"/>
  <c r="H44" i="42"/>
  <c r="H45" i="42"/>
  <c r="H46" i="42"/>
  <c r="H47" i="42"/>
  <c r="H48" i="42"/>
  <c r="H49" i="42"/>
  <c r="H50" i="42"/>
  <c r="H11" i="42"/>
  <c r="H10" i="42"/>
  <c r="H9" i="42"/>
  <c r="H8" i="42"/>
  <c r="H7" i="42"/>
  <c r="E475" i="38"/>
  <c r="E476" i="38" s="1"/>
  <c r="E477" i="38" s="1"/>
  <c r="E478" i="38" s="1"/>
  <c r="S469" i="38"/>
  <c r="S470" i="38" s="1"/>
  <c r="S471" i="38" s="1"/>
  <c r="T468" i="38"/>
  <c r="T469" i="38" s="1"/>
  <c r="T470" i="38" s="1"/>
  <c r="T471" i="38" s="1"/>
  <c r="T467" i="38"/>
  <c r="T472" i="38" s="1"/>
  <c r="Q467" i="38"/>
  <c r="Q468" i="38" s="1"/>
  <c r="Q469" i="38" s="1"/>
  <c r="Q470" i="38" s="1"/>
  <c r="Q471" i="38" s="1"/>
  <c r="N467" i="38"/>
  <c r="N468" i="38" s="1"/>
  <c r="N469" i="38" s="1"/>
  <c r="N470" i="38" s="1"/>
  <c r="N471" i="38" s="1"/>
  <c r="K467" i="38"/>
  <c r="K468" i="38" s="1"/>
  <c r="K469" i="38" s="1"/>
  <c r="K470" i="38" s="1"/>
  <c r="K471" i="38" s="1"/>
  <c r="K472" i="38" s="1"/>
  <c r="M466" i="38"/>
  <c r="M467" i="38" s="1"/>
  <c r="F466" i="38"/>
  <c r="T465" i="38"/>
  <c r="R465" i="38"/>
  <c r="H465" i="38"/>
  <c r="AC464" i="38"/>
  <c r="AB464" i="38"/>
  <c r="AA464" i="38"/>
  <c r="R464" i="38"/>
  <c r="E464" i="38"/>
  <c r="E466" i="38" s="1"/>
  <c r="E467" i="38" s="1"/>
  <c r="E468" i="38" s="1"/>
  <c r="E469" i="38" s="1"/>
  <c r="E470" i="38" s="1"/>
  <c r="E471" i="38" s="1"/>
  <c r="E472" i="38" s="1"/>
  <c r="T463" i="38"/>
  <c r="R463" i="38"/>
  <c r="H463" i="38"/>
  <c r="G464" i="38" s="1"/>
  <c r="H464" i="38" s="1"/>
  <c r="G466" i="38" s="1"/>
  <c r="E457" i="38"/>
  <c r="E458" i="38" s="1"/>
  <c r="E459" i="38" s="1"/>
  <c r="E460" i="38" s="1"/>
  <c r="S451" i="38"/>
  <c r="S452" i="38" s="1"/>
  <c r="S453" i="38" s="1"/>
  <c r="T450" i="38"/>
  <c r="T451" i="38" s="1"/>
  <c r="T452" i="38" s="1"/>
  <c r="T453" i="38" s="1"/>
  <c r="T449" i="38"/>
  <c r="T454" i="38" s="1"/>
  <c r="Q449" i="38"/>
  <c r="Q450" i="38" s="1"/>
  <c r="Q451" i="38" s="1"/>
  <c r="Q452" i="38" s="1"/>
  <c r="Q453" i="38" s="1"/>
  <c r="N449" i="38"/>
  <c r="N450" i="38" s="1"/>
  <c r="N451" i="38" s="1"/>
  <c r="N452" i="38" s="1"/>
  <c r="N453" i="38" s="1"/>
  <c r="K449" i="38"/>
  <c r="K450" i="38" s="1"/>
  <c r="K451" i="38" s="1"/>
  <c r="K452" i="38" s="1"/>
  <c r="K453" i="38" s="1"/>
  <c r="K454" i="38" s="1"/>
  <c r="F448" i="38"/>
  <c r="E448" i="38"/>
  <c r="E449" i="38" s="1"/>
  <c r="E450" i="38" s="1"/>
  <c r="E451" i="38" s="1"/>
  <c r="T447" i="38"/>
  <c r="R447" i="38"/>
  <c r="I447" i="38"/>
  <c r="H447" i="38"/>
  <c r="AC446" i="38"/>
  <c r="AB446" i="38"/>
  <c r="AA446" i="38"/>
  <c r="R446" i="38"/>
  <c r="M446" i="38"/>
  <c r="M448" i="38" s="1"/>
  <c r="M449" i="38" s="1"/>
  <c r="I446" i="38"/>
  <c r="T445" i="38"/>
  <c r="R445" i="38"/>
  <c r="I445" i="38"/>
  <c r="H445" i="38"/>
  <c r="S433" i="38"/>
  <c r="S434" i="38" s="1"/>
  <c r="S435" i="38" s="1"/>
  <c r="T432" i="38"/>
  <c r="T433" i="38" s="1"/>
  <c r="T434" i="38" s="1"/>
  <c r="T435" i="38" s="1"/>
  <c r="T431" i="38"/>
  <c r="T436" i="38" s="1"/>
  <c r="Q431" i="38"/>
  <c r="Q432" i="38" s="1"/>
  <c r="Q433" i="38" s="1"/>
  <c r="Q434" i="38" s="1"/>
  <c r="Q435" i="38" s="1"/>
  <c r="N431" i="38"/>
  <c r="N432" i="38" s="1"/>
  <c r="N433" i="38" s="1"/>
  <c r="N434" i="38" s="1"/>
  <c r="N435" i="38" s="1"/>
  <c r="K431" i="38"/>
  <c r="K432" i="38" s="1"/>
  <c r="K433" i="38" s="1"/>
  <c r="K434" i="38" s="1"/>
  <c r="K435" i="38" s="1"/>
  <c r="K436" i="38" s="1"/>
  <c r="M430" i="38"/>
  <c r="M431" i="38" s="1"/>
  <c r="F430" i="38"/>
  <c r="T429" i="38"/>
  <c r="R429" i="38"/>
  <c r="H429" i="38"/>
  <c r="AC428" i="38"/>
  <c r="AB428" i="38"/>
  <c r="AA428" i="38"/>
  <c r="R428" i="38"/>
  <c r="E428" i="38"/>
  <c r="E430" i="38" s="1"/>
  <c r="E431" i="38" s="1"/>
  <c r="E432" i="38" s="1"/>
  <c r="E433" i="38" s="1"/>
  <c r="E434" i="38" s="1"/>
  <c r="E435" i="38" s="1"/>
  <c r="T427" i="38"/>
  <c r="R427" i="38"/>
  <c r="H427" i="38"/>
  <c r="S415" i="38"/>
  <c r="S416" i="38" s="1"/>
  <c r="S417" i="38" s="1"/>
  <c r="T414" i="38"/>
  <c r="T415" i="38" s="1"/>
  <c r="T416" i="38" s="1"/>
  <c r="T417" i="38" s="1"/>
  <c r="T413" i="38"/>
  <c r="T418" i="38" s="1"/>
  <c r="Q413" i="38"/>
  <c r="Q414" i="38" s="1"/>
  <c r="Q415" i="38" s="1"/>
  <c r="Q416" i="38" s="1"/>
  <c r="Q417" i="38" s="1"/>
  <c r="N413" i="38"/>
  <c r="N414" i="38" s="1"/>
  <c r="N415" i="38" s="1"/>
  <c r="N416" i="38" s="1"/>
  <c r="N417" i="38" s="1"/>
  <c r="K413" i="38"/>
  <c r="K414" i="38" s="1"/>
  <c r="K415" i="38" s="1"/>
  <c r="K416" i="38" s="1"/>
  <c r="K417" i="38" s="1"/>
  <c r="K418" i="38" s="1"/>
  <c r="F412" i="38"/>
  <c r="E412" i="38"/>
  <c r="E413" i="38" s="1"/>
  <c r="E414" i="38" s="1"/>
  <c r="E415" i="38" s="1"/>
  <c r="E416" i="38" s="1"/>
  <c r="E417" i="38" s="1"/>
  <c r="T411" i="38"/>
  <c r="R411" i="38"/>
  <c r="I411" i="38"/>
  <c r="H411" i="38"/>
  <c r="AC410" i="38"/>
  <c r="AB410" i="38"/>
  <c r="AA410" i="38"/>
  <c r="R410" i="38"/>
  <c r="M410" i="38"/>
  <c r="M412" i="38" s="1"/>
  <c r="M413" i="38" s="1"/>
  <c r="I410" i="38"/>
  <c r="T409" i="38"/>
  <c r="R409" i="38"/>
  <c r="I409" i="38"/>
  <c r="H409" i="38"/>
  <c r="S397" i="38"/>
  <c r="S398" i="38" s="1"/>
  <c r="S399" i="38" s="1"/>
  <c r="T396" i="38"/>
  <c r="T397" i="38" s="1"/>
  <c r="T398" i="38" s="1"/>
  <c r="T399" i="38" s="1"/>
  <c r="T395" i="38"/>
  <c r="T400" i="38" s="1"/>
  <c r="Q395" i="38"/>
  <c r="Q396" i="38" s="1"/>
  <c r="Q397" i="38" s="1"/>
  <c r="Q398" i="38" s="1"/>
  <c r="Q399" i="38" s="1"/>
  <c r="N395" i="38"/>
  <c r="N396" i="38" s="1"/>
  <c r="N397" i="38" s="1"/>
  <c r="N398" i="38" s="1"/>
  <c r="N399" i="38" s="1"/>
  <c r="K395" i="38"/>
  <c r="K396" i="38" s="1"/>
  <c r="K397" i="38" s="1"/>
  <c r="K398" i="38" s="1"/>
  <c r="K399" i="38" s="1"/>
  <c r="K400" i="38" s="1"/>
  <c r="M394" i="38"/>
  <c r="M395" i="38" s="1"/>
  <c r="F394" i="38"/>
  <c r="T393" i="38"/>
  <c r="R393" i="38"/>
  <c r="H393" i="38"/>
  <c r="AC392" i="38"/>
  <c r="AB392" i="38"/>
  <c r="AA392" i="38"/>
  <c r="R392" i="38"/>
  <c r="E392" i="38"/>
  <c r="E394" i="38" s="1"/>
  <c r="E395" i="38" s="1"/>
  <c r="E396" i="38" s="1"/>
  <c r="E397" i="38" s="1"/>
  <c r="E398" i="38" s="1"/>
  <c r="E399" i="38" s="1"/>
  <c r="T391" i="38"/>
  <c r="R391" i="38"/>
  <c r="H391" i="38"/>
  <c r="G392" i="38" s="1"/>
  <c r="H392" i="38" s="1"/>
  <c r="G394" i="38" s="1"/>
  <c r="S379" i="38"/>
  <c r="S380" i="38" s="1"/>
  <c r="S381" i="38" s="1"/>
  <c r="T378" i="38"/>
  <c r="T379" i="38" s="1"/>
  <c r="T380" i="38" s="1"/>
  <c r="T381" i="38" s="1"/>
  <c r="T377" i="38"/>
  <c r="T382" i="38" s="1"/>
  <c r="Q377" i="38"/>
  <c r="Q378" i="38" s="1"/>
  <c r="Q379" i="38" s="1"/>
  <c r="Q380" i="38" s="1"/>
  <c r="Q381" i="38" s="1"/>
  <c r="N377" i="38"/>
  <c r="N378" i="38" s="1"/>
  <c r="N379" i="38" s="1"/>
  <c r="N380" i="38" s="1"/>
  <c r="N381" i="38" s="1"/>
  <c r="K377" i="38"/>
  <c r="K378" i="38" s="1"/>
  <c r="K379" i="38" s="1"/>
  <c r="K380" i="38" s="1"/>
  <c r="K381" i="38" s="1"/>
  <c r="K382" i="38" s="1"/>
  <c r="F376" i="38"/>
  <c r="E376" i="38"/>
  <c r="T375" i="38"/>
  <c r="R375" i="38"/>
  <c r="I375" i="38"/>
  <c r="H375" i="38"/>
  <c r="AC374" i="38"/>
  <c r="AB374" i="38"/>
  <c r="AA374" i="38"/>
  <c r="R374" i="38"/>
  <c r="M374" i="38"/>
  <c r="M376" i="38" s="1"/>
  <c r="M377" i="38" s="1"/>
  <c r="I374" i="38"/>
  <c r="T373" i="38"/>
  <c r="R373" i="38"/>
  <c r="I373" i="38"/>
  <c r="H373" i="38"/>
  <c r="S361" i="38"/>
  <c r="S362" i="38" s="1"/>
  <c r="S363" i="38" s="1"/>
  <c r="T360" i="38"/>
  <c r="T361" i="38" s="1"/>
  <c r="T362" i="38" s="1"/>
  <c r="T363" i="38" s="1"/>
  <c r="T359" i="38"/>
  <c r="T364" i="38" s="1"/>
  <c r="Q359" i="38"/>
  <c r="Q360" i="38" s="1"/>
  <c r="Q361" i="38" s="1"/>
  <c r="Q362" i="38" s="1"/>
  <c r="Q363" i="38" s="1"/>
  <c r="N359" i="38"/>
  <c r="N360" i="38" s="1"/>
  <c r="N361" i="38" s="1"/>
  <c r="N362" i="38" s="1"/>
  <c r="N363" i="38" s="1"/>
  <c r="K359" i="38"/>
  <c r="K360" i="38" s="1"/>
  <c r="K361" i="38" s="1"/>
  <c r="K362" i="38" s="1"/>
  <c r="K363" i="38" s="1"/>
  <c r="K364" i="38" s="1"/>
  <c r="M358" i="38"/>
  <c r="M359" i="38" s="1"/>
  <c r="F358" i="38"/>
  <c r="T357" i="38"/>
  <c r="R357" i="38"/>
  <c r="H357" i="38"/>
  <c r="AC356" i="38"/>
  <c r="AB356" i="38"/>
  <c r="AA356" i="38"/>
  <c r="R356" i="38"/>
  <c r="E356" i="38"/>
  <c r="E358" i="38" s="1"/>
  <c r="E359" i="38" s="1"/>
  <c r="E360" i="38" s="1"/>
  <c r="E361" i="38" s="1"/>
  <c r="E362" i="38" s="1"/>
  <c r="E363" i="38" s="1"/>
  <c r="T355" i="38"/>
  <c r="R355" i="38"/>
  <c r="H355" i="38"/>
  <c r="S343" i="38"/>
  <c r="S344" i="38" s="1"/>
  <c r="S345" i="38" s="1"/>
  <c r="T342" i="38"/>
  <c r="T343" i="38" s="1"/>
  <c r="T344" i="38" s="1"/>
  <c r="T345" i="38" s="1"/>
  <c r="T341" i="38"/>
  <c r="T346" i="38" s="1"/>
  <c r="Q341" i="38"/>
  <c r="Q342" i="38" s="1"/>
  <c r="Q343" i="38" s="1"/>
  <c r="Q344" i="38" s="1"/>
  <c r="Q345" i="38" s="1"/>
  <c r="N341" i="38"/>
  <c r="N342" i="38" s="1"/>
  <c r="N343" i="38" s="1"/>
  <c r="N344" i="38" s="1"/>
  <c r="N345" i="38" s="1"/>
  <c r="K341" i="38"/>
  <c r="K342" i="38" s="1"/>
  <c r="K343" i="38" s="1"/>
  <c r="K344" i="38" s="1"/>
  <c r="K345" i="38" s="1"/>
  <c r="K346" i="38" s="1"/>
  <c r="F340" i="38"/>
  <c r="E340" i="38"/>
  <c r="E341" i="38" s="1"/>
  <c r="E342" i="38" s="1"/>
  <c r="E343" i="38" s="1"/>
  <c r="E344" i="38" s="1"/>
  <c r="E345" i="38" s="1"/>
  <c r="T339" i="38"/>
  <c r="R339" i="38"/>
  <c r="I339" i="38"/>
  <c r="H339" i="38"/>
  <c r="AC338" i="38"/>
  <c r="AB338" i="38"/>
  <c r="AA338" i="38"/>
  <c r="R338" i="38"/>
  <c r="M338" i="38"/>
  <c r="M340" i="38" s="1"/>
  <c r="M341" i="38" s="1"/>
  <c r="I338" i="38"/>
  <c r="T337" i="38"/>
  <c r="R337" i="38"/>
  <c r="I337" i="38"/>
  <c r="H337" i="38"/>
  <c r="S325" i="38"/>
  <c r="S326" i="38" s="1"/>
  <c r="S327" i="38" s="1"/>
  <c r="T324" i="38"/>
  <c r="T325" i="38" s="1"/>
  <c r="T326" i="38" s="1"/>
  <c r="T327" i="38" s="1"/>
  <c r="T323" i="38"/>
  <c r="T328" i="38" s="1"/>
  <c r="Q323" i="38"/>
  <c r="Q324" i="38" s="1"/>
  <c r="Q325" i="38" s="1"/>
  <c r="Q326" i="38" s="1"/>
  <c r="Q327" i="38" s="1"/>
  <c r="N323" i="38"/>
  <c r="N324" i="38" s="1"/>
  <c r="N325" i="38" s="1"/>
  <c r="N326" i="38" s="1"/>
  <c r="N327" i="38" s="1"/>
  <c r="K323" i="38"/>
  <c r="K324" i="38" s="1"/>
  <c r="K325" i="38" s="1"/>
  <c r="K326" i="38" s="1"/>
  <c r="K327" i="38" s="1"/>
  <c r="K328" i="38" s="1"/>
  <c r="M322" i="38"/>
  <c r="M323" i="38" s="1"/>
  <c r="F322" i="38"/>
  <c r="T321" i="38"/>
  <c r="R321" i="38"/>
  <c r="H321" i="38"/>
  <c r="AC320" i="38"/>
  <c r="AB320" i="38"/>
  <c r="AA320" i="38"/>
  <c r="R320" i="38"/>
  <c r="E320" i="38"/>
  <c r="E322" i="38" s="1"/>
  <c r="E323" i="38" s="1"/>
  <c r="E324" i="38" s="1"/>
  <c r="E325" i="38" s="1"/>
  <c r="E326" i="38" s="1"/>
  <c r="E327" i="38" s="1"/>
  <c r="T319" i="38"/>
  <c r="R319" i="38"/>
  <c r="H319" i="38"/>
  <c r="S307" i="38"/>
  <c r="S308" i="38" s="1"/>
  <c r="S309" i="38" s="1"/>
  <c r="T306" i="38"/>
  <c r="T307" i="38" s="1"/>
  <c r="T308" i="38" s="1"/>
  <c r="T309" i="38" s="1"/>
  <c r="T305" i="38"/>
  <c r="T310" i="38" s="1"/>
  <c r="Q305" i="38"/>
  <c r="Q306" i="38" s="1"/>
  <c r="Q307" i="38" s="1"/>
  <c r="Q308" i="38" s="1"/>
  <c r="Q309" i="38" s="1"/>
  <c r="N305" i="38"/>
  <c r="N306" i="38" s="1"/>
  <c r="N307" i="38" s="1"/>
  <c r="N308" i="38" s="1"/>
  <c r="N309" i="38" s="1"/>
  <c r="K305" i="38"/>
  <c r="K306" i="38" s="1"/>
  <c r="K307" i="38" s="1"/>
  <c r="K308" i="38" s="1"/>
  <c r="K309" i="38" s="1"/>
  <c r="K310" i="38" s="1"/>
  <c r="F304" i="38"/>
  <c r="E304" i="38"/>
  <c r="E305" i="38" s="1"/>
  <c r="E306" i="38" s="1"/>
  <c r="E307" i="38" s="1"/>
  <c r="E308" i="38" s="1"/>
  <c r="E309" i="38" s="1"/>
  <c r="T303" i="38"/>
  <c r="R303" i="38"/>
  <c r="I303" i="38"/>
  <c r="H303" i="38"/>
  <c r="AC302" i="38"/>
  <c r="AB302" i="38"/>
  <c r="AA302" i="38"/>
  <c r="R302" i="38"/>
  <c r="M302" i="38"/>
  <c r="M304" i="38" s="1"/>
  <c r="M305" i="38" s="1"/>
  <c r="I302" i="38"/>
  <c r="T301" i="38"/>
  <c r="R301" i="38"/>
  <c r="I301" i="38"/>
  <c r="H301" i="38"/>
  <c r="S289" i="38"/>
  <c r="S290" i="38" s="1"/>
  <c r="S291" i="38" s="1"/>
  <c r="T288" i="38"/>
  <c r="T289" i="38" s="1"/>
  <c r="T290" i="38" s="1"/>
  <c r="T291" i="38" s="1"/>
  <c r="T287" i="38"/>
  <c r="T292" i="38" s="1"/>
  <c r="Q287" i="38"/>
  <c r="Q288" i="38" s="1"/>
  <c r="Q289" i="38" s="1"/>
  <c r="Q290" i="38" s="1"/>
  <c r="Q291" i="38" s="1"/>
  <c r="N287" i="38"/>
  <c r="N288" i="38" s="1"/>
  <c r="N289" i="38" s="1"/>
  <c r="N290" i="38" s="1"/>
  <c r="N291" i="38" s="1"/>
  <c r="K287" i="38"/>
  <c r="K288" i="38" s="1"/>
  <c r="K289" i="38" s="1"/>
  <c r="K290" i="38" s="1"/>
  <c r="K291" i="38" s="1"/>
  <c r="K292" i="38" s="1"/>
  <c r="M286" i="38"/>
  <c r="M287" i="38" s="1"/>
  <c r="F286" i="38"/>
  <c r="T285" i="38"/>
  <c r="R285" i="38"/>
  <c r="H285" i="38"/>
  <c r="AC284" i="38"/>
  <c r="AB284" i="38"/>
  <c r="AA284" i="38"/>
  <c r="R284" i="38"/>
  <c r="E284" i="38"/>
  <c r="E286" i="38" s="1"/>
  <c r="E287" i="38" s="1"/>
  <c r="E288" i="38" s="1"/>
  <c r="E289" i="38" s="1"/>
  <c r="E290" i="38" s="1"/>
  <c r="E291" i="38" s="1"/>
  <c r="T283" i="38"/>
  <c r="R283" i="38"/>
  <c r="H283" i="38"/>
  <c r="T286" i="38" s="1"/>
  <c r="S271" i="38"/>
  <c r="S272" i="38" s="1"/>
  <c r="S273" i="38" s="1"/>
  <c r="T270" i="38"/>
  <c r="T271" i="38" s="1"/>
  <c r="T272" i="38" s="1"/>
  <c r="T273" i="38" s="1"/>
  <c r="T269" i="38"/>
  <c r="T274" i="38" s="1"/>
  <c r="Q269" i="38"/>
  <c r="Q270" i="38" s="1"/>
  <c r="Q271" i="38" s="1"/>
  <c r="Q272" i="38" s="1"/>
  <c r="Q273" i="38" s="1"/>
  <c r="N269" i="38"/>
  <c r="N270" i="38" s="1"/>
  <c r="N271" i="38" s="1"/>
  <c r="N272" i="38" s="1"/>
  <c r="N273" i="38" s="1"/>
  <c r="K269" i="38"/>
  <c r="K270" i="38" s="1"/>
  <c r="K271" i="38" s="1"/>
  <c r="K272" i="38" s="1"/>
  <c r="K273" i="38" s="1"/>
  <c r="K274" i="38" s="1"/>
  <c r="F268" i="38"/>
  <c r="E268" i="38"/>
  <c r="E269" i="38" s="1"/>
  <c r="E270" i="38" s="1"/>
  <c r="E271" i="38" s="1"/>
  <c r="E272" i="38" s="1"/>
  <c r="E273" i="38" s="1"/>
  <c r="T267" i="38"/>
  <c r="R267" i="38"/>
  <c r="I267" i="38"/>
  <c r="H267" i="38"/>
  <c r="AC266" i="38"/>
  <c r="AB266" i="38"/>
  <c r="AA266" i="38"/>
  <c r="R266" i="38"/>
  <c r="M266" i="38"/>
  <c r="M268" i="38" s="1"/>
  <c r="M269" i="38" s="1"/>
  <c r="I266" i="38"/>
  <c r="T265" i="38"/>
  <c r="R265" i="38"/>
  <c r="I265" i="38"/>
  <c r="H265" i="38"/>
  <c r="S253" i="38"/>
  <c r="S254" i="38" s="1"/>
  <c r="S255" i="38" s="1"/>
  <c r="T252" i="38"/>
  <c r="T253" i="38" s="1"/>
  <c r="T254" i="38" s="1"/>
  <c r="T255" i="38" s="1"/>
  <c r="T251" i="38"/>
  <c r="T256" i="38" s="1"/>
  <c r="Q251" i="38"/>
  <c r="Q252" i="38" s="1"/>
  <c r="Q253" i="38" s="1"/>
  <c r="Q254" i="38" s="1"/>
  <c r="Q255" i="38" s="1"/>
  <c r="N251" i="38"/>
  <c r="N252" i="38" s="1"/>
  <c r="N253" i="38" s="1"/>
  <c r="N254" i="38" s="1"/>
  <c r="N255" i="38" s="1"/>
  <c r="K251" i="38"/>
  <c r="K252" i="38" s="1"/>
  <c r="K253" i="38" s="1"/>
  <c r="K254" i="38" s="1"/>
  <c r="K255" i="38" s="1"/>
  <c r="K256" i="38" s="1"/>
  <c r="M250" i="38"/>
  <c r="M251" i="38" s="1"/>
  <c r="F250" i="38"/>
  <c r="T249" i="38"/>
  <c r="R249" i="38"/>
  <c r="H249" i="38"/>
  <c r="AC248" i="38"/>
  <c r="AB248" i="38"/>
  <c r="AA248" i="38"/>
  <c r="R248" i="38"/>
  <c r="E248" i="38"/>
  <c r="E250" i="38" s="1"/>
  <c r="E251" i="38" s="1"/>
  <c r="E252" i="38" s="1"/>
  <c r="E253" i="38" s="1"/>
  <c r="E254" i="38" s="1"/>
  <c r="E255" i="38" s="1"/>
  <c r="T247" i="38"/>
  <c r="R247" i="38"/>
  <c r="H247" i="38"/>
  <c r="G248" i="38" s="1"/>
  <c r="H248" i="38" s="1"/>
  <c r="G250" i="38" s="1"/>
  <c r="S235" i="38"/>
  <c r="S236" i="38" s="1"/>
  <c r="S237" i="38" s="1"/>
  <c r="T234" i="38"/>
  <c r="T235" i="38" s="1"/>
  <c r="T236" i="38" s="1"/>
  <c r="T237" i="38" s="1"/>
  <c r="T233" i="38"/>
  <c r="T238" i="38" s="1"/>
  <c r="Q233" i="38"/>
  <c r="Q234" i="38" s="1"/>
  <c r="Q235" i="38" s="1"/>
  <c r="Q236" i="38" s="1"/>
  <c r="Q237" i="38" s="1"/>
  <c r="N233" i="38"/>
  <c r="N234" i="38" s="1"/>
  <c r="N235" i="38" s="1"/>
  <c r="N236" i="38" s="1"/>
  <c r="N237" i="38" s="1"/>
  <c r="K233" i="38"/>
  <c r="K234" i="38" s="1"/>
  <c r="K235" i="38" s="1"/>
  <c r="K236" i="38" s="1"/>
  <c r="K237" i="38" s="1"/>
  <c r="K238" i="38" s="1"/>
  <c r="F232" i="38"/>
  <c r="E232" i="38"/>
  <c r="T231" i="38"/>
  <c r="R231" i="38"/>
  <c r="I231" i="38"/>
  <c r="H231" i="38"/>
  <c r="AC230" i="38"/>
  <c r="AB230" i="38"/>
  <c r="AA230" i="38"/>
  <c r="R230" i="38"/>
  <c r="M230" i="38"/>
  <c r="M232" i="38" s="1"/>
  <c r="M233" i="38" s="1"/>
  <c r="I230" i="38"/>
  <c r="T229" i="38"/>
  <c r="R229" i="38"/>
  <c r="I229" i="38"/>
  <c r="H229" i="38"/>
  <c r="S217" i="38"/>
  <c r="S218" i="38" s="1"/>
  <c r="S219" i="38" s="1"/>
  <c r="T216" i="38"/>
  <c r="T217" i="38" s="1"/>
  <c r="T218" i="38" s="1"/>
  <c r="T219" i="38" s="1"/>
  <c r="T215" i="38"/>
  <c r="T220" i="38" s="1"/>
  <c r="Q215" i="38"/>
  <c r="Q216" i="38" s="1"/>
  <c r="Q217" i="38" s="1"/>
  <c r="Q218" i="38" s="1"/>
  <c r="Q219" i="38" s="1"/>
  <c r="N215" i="38"/>
  <c r="N216" i="38" s="1"/>
  <c r="N217" i="38" s="1"/>
  <c r="N218" i="38" s="1"/>
  <c r="N219" i="38" s="1"/>
  <c r="K215" i="38"/>
  <c r="K216" i="38" s="1"/>
  <c r="K217" i="38" s="1"/>
  <c r="K218" i="38" s="1"/>
  <c r="K219" i="38" s="1"/>
  <c r="K220" i="38" s="1"/>
  <c r="M214" i="38"/>
  <c r="M215" i="38" s="1"/>
  <c r="F214" i="38"/>
  <c r="T213" i="38"/>
  <c r="R213" i="38"/>
  <c r="H213" i="38"/>
  <c r="AC212" i="38"/>
  <c r="AB212" i="38"/>
  <c r="AA212" i="38"/>
  <c r="R212" i="38"/>
  <c r="E212" i="38"/>
  <c r="E214" i="38" s="1"/>
  <c r="E215" i="38" s="1"/>
  <c r="E216" i="38" s="1"/>
  <c r="E217" i="38" s="1"/>
  <c r="E218" i="38" s="1"/>
  <c r="E219" i="38" s="1"/>
  <c r="T211" i="38"/>
  <c r="R211" i="38"/>
  <c r="H211" i="38"/>
  <c r="S199" i="38"/>
  <c r="S200" i="38" s="1"/>
  <c r="S201" i="38" s="1"/>
  <c r="T198" i="38"/>
  <c r="T199" i="38" s="1"/>
  <c r="T200" i="38" s="1"/>
  <c r="T201" i="38" s="1"/>
  <c r="T197" i="38"/>
  <c r="T202" i="38" s="1"/>
  <c r="Q197" i="38"/>
  <c r="Q198" i="38" s="1"/>
  <c r="Q199" i="38" s="1"/>
  <c r="Q200" i="38" s="1"/>
  <c r="Q201" i="38" s="1"/>
  <c r="N197" i="38"/>
  <c r="N198" i="38" s="1"/>
  <c r="N199" i="38" s="1"/>
  <c r="N200" i="38" s="1"/>
  <c r="N201" i="38" s="1"/>
  <c r="K197" i="38"/>
  <c r="K198" i="38" s="1"/>
  <c r="K199" i="38" s="1"/>
  <c r="K200" i="38" s="1"/>
  <c r="K201" i="38" s="1"/>
  <c r="K202" i="38" s="1"/>
  <c r="F196" i="38"/>
  <c r="E196" i="38"/>
  <c r="T195" i="38"/>
  <c r="R195" i="38"/>
  <c r="I195" i="38"/>
  <c r="H195" i="38"/>
  <c r="AC194" i="38"/>
  <c r="AB194" i="38"/>
  <c r="AA194" i="38"/>
  <c r="R194" i="38"/>
  <c r="M194" i="38"/>
  <c r="M196" i="38" s="1"/>
  <c r="M197" i="38" s="1"/>
  <c r="I194" i="38"/>
  <c r="T193" i="38"/>
  <c r="R193" i="38"/>
  <c r="I193" i="38"/>
  <c r="H193" i="38"/>
  <c r="S181" i="38"/>
  <c r="S182" i="38" s="1"/>
  <c r="S183" i="38" s="1"/>
  <c r="T180" i="38"/>
  <c r="T181" i="38" s="1"/>
  <c r="T182" i="38" s="1"/>
  <c r="T183" i="38" s="1"/>
  <c r="T179" i="38"/>
  <c r="T184" i="38" s="1"/>
  <c r="Q179" i="38"/>
  <c r="Q180" i="38" s="1"/>
  <c r="Q181" i="38" s="1"/>
  <c r="Q182" i="38" s="1"/>
  <c r="Q183" i="38" s="1"/>
  <c r="N179" i="38"/>
  <c r="N180" i="38" s="1"/>
  <c r="N181" i="38" s="1"/>
  <c r="N182" i="38" s="1"/>
  <c r="N183" i="38" s="1"/>
  <c r="K179" i="38"/>
  <c r="K180" i="38" s="1"/>
  <c r="K181" i="38" s="1"/>
  <c r="K182" i="38" s="1"/>
  <c r="K183" i="38" s="1"/>
  <c r="K184" i="38" s="1"/>
  <c r="M178" i="38"/>
  <c r="M179" i="38" s="1"/>
  <c r="F178" i="38"/>
  <c r="T177" i="38"/>
  <c r="R177" i="38"/>
  <c r="H177" i="38"/>
  <c r="AC176" i="38"/>
  <c r="AB176" i="38"/>
  <c r="AA176" i="38"/>
  <c r="R176" i="38"/>
  <c r="E176" i="38"/>
  <c r="E178" i="38" s="1"/>
  <c r="E179" i="38" s="1"/>
  <c r="E180" i="38" s="1"/>
  <c r="E181" i="38" s="1"/>
  <c r="E182" i="38" s="1"/>
  <c r="E183" i="38" s="1"/>
  <c r="T175" i="38"/>
  <c r="R175" i="38"/>
  <c r="H175" i="38"/>
  <c r="S163" i="38"/>
  <c r="S164" i="38" s="1"/>
  <c r="S165" i="38" s="1"/>
  <c r="T162" i="38"/>
  <c r="T163" i="38" s="1"/>
  <c r="T164" i="38" s="1"/>
  <c r="T165" i="38" s="1"/>
  <c r="T161" i="38"/>
  <c r="T166" i="38" s="1"/>
  <c r="Q161" i="38"/>
  <c r="Q162" i="38" s="1"/>
  <c r="Q163" i="38" s="1"/>
  <c r="Q164" i="38" s="1"/>
  <c r="Q165" i="38" s="1"/>
  <c r="N161" i="38"/>
  <c r="N162" i="38" s="1"/>
  <c r="N163" i="38" s="1"/>
  <c r="N164" i="38" s="1"/>
  <c r="N165" i="38" s="1"/>
  <c r="K161" i="38"/>
  <c r="K162" i="38" s="1"/>
  <c r="K163" i="38" s="1"/>
  <c r="K164" i="38" s="1"/>
  <c r="K165" i="38" s="1"/>
  <c r="K166" i="38" s="1"/>
  <c r="F160" i="38"/>
  <c r="E160" i="38"/>
  <c r="E161" i="38" s="1"/>
  <c r="E162" i="38" s="1"/>
  <c r="E163" i="38" s="1"/>
  <c r="E164" i="38" s="1"/>
  <c r="E165" i="38" s="1"/>
  <c r="T159" i="38"/>
  <c r="R159" i="38"/>
  <c r="I159" i="38"/>
  <c r="H159" i="38"/>
  <c r="AC158" i="38"/>
  <c r="AB158" i="38"/>
  <c r="AA158" i="38"/>
  <c r="R158" i="38"/>
  <c r="M158" i="38"/>
  <c r="M160" i="38" s="1"/>
  <c r="M161" i="38" s="1"/>
  <c r="I158" i="38"/>
  <c r="T157" i="38"/>
  <c r="R157" i="38"/>
  <c r="I157" i="38"/>
  <c r="H157" i="38"/>
  <c r="S145" i="38"/>
  <c r="S146" i="38" s="1"/>
  <c r="S147" i="38" s="1"/>
  <c r="T144" i="38"/>
  <c r="T145" i="38" s="1"/>
  <c r="T146" i="38" s="1"/>
  <c r="T147" i="38" s="1"/>
  <c r="T143" i="38"/>
  <c r="T148" i="38" s="1"/>
  <c r="Q143" i="38"/>
  <c r="Q144" i="38" s="1"/>
  <c r="Q145" i="38" s="1"/>
  <c r="Q146" i="38" s="1"/>
  <c r="Q147" i="38" s="1"/>
  <c r="N143" i="38"/>
  <c r="N144" i="38" s="1"/>
  <c r="N145" i="38" s="1"/>
  <c r="N146" i="38" s="1"/>
  <c r="N147" i="38" s="1"/>
  <c r="K143" i="38"/>
  <c r="K144" i="38" s="1"/>
  <c r="K145" i="38" s="1"/>
  <c r="K146" i="38" s="1"/>
  <c r="K147" i="38" s="1"/>
  <c r="K148" i="38" s="1"/>
  <c r="M142" i="38"/>
  <c r="M143" i="38" s="1"/>
  <c r="F142" i="38"/>
  <c r="T141" i="38"/>
  <c r="R141" i="38"/>
  <c r="H141" i="38"/>
  <c r="AC140" i="38"/>
  <c r="AB140" i="38"/>
  <c r="AA140" i="38"/>
  <c r="R140" i="38"/>
  <c r="E140" i="38"/>
  <c r="E142" i="38" s="1"/>
  <c r="E143" i="38" s="1"/>
  <c r="E144" i="38" s="1"/>
  <c r="E145" i="38" s="1"/>
  <c r="E146" i="38" s="1"/>
  <c r="E147" i="38" s="1"/>
  <c r="E148" i="38" s="1"/>
  <c r="T139" i="38"/>
  <c r="R139" i="38"/>
  <c r="H139" i="38"/>
  <c r="S127" i="38"/>
  <c r="S128" i="38" s="1"/>
  <c r="S129" i="38" s="1"/>
  <c r="T126" i="38"/>
  <c r="T127" i="38" s="1"/>
  <c r="T128" i="38" s="1"/>
  <c r="T129" i="38" s="1"/>
  <c r="T125" i="38"/>
  <c r="T130" i="38" s="1"/>
  <c r="Q125" i="38"/>
  <c r="Q126" i="38" s="1"/>
  <c r="Q127" i="38" s="1"/>
  <c r="Q128" i="38" s="1"/>
  <c r="Q129" i="38" s="1"/>
  <c r="N125" i="38"/>
  <c r="N126" i="38" s="1"/>
  <c r="N127" i="38" s="1"/>
  <c r="N128" i="38" s="1"/>
  <c r="N129" i="38" s="1"/>
  <c r="K125" i="38"/>
  <c r="K126" i="38" s="1"/>
  <c r="K127" i="38" s="1"/>
  <c r="K128" i="38" s="1"/>
  <c r="K129" i="38" s="1"/>
  <c r="K130" i="38" s="1"/>
  <c r="F124" i="38"/>
  <c r="E124" i="38"/>
  <c r="T123" i="38"/>
  <c r="R123" i="38"/>
  <c r="I123" i="38"/>
  <c r="H123" i="38"/>
  <c r="AC122" i="38"/>
  <c r="AB122" i="38"/>
  <c r="AA122" i="38"/>
  <c r="R122" i="38"/>
  <c r="M122" i="38"/>
  <c r="M124" i="38" s="1"/>
  <c r="M125" i="38" s="1"/>
  <c r="I122" i="38"/>
  <c r="T121" i="38"/>
  <c r="R121" i="38"/>
  <c r="I121" i="38"/>
  <c r="H121" i="38"/>
  <c r="S109" i="38"/>
  <c r="S110" i="38" s="1"/>
  <c r="S111" i="38" s="1"/>
  <c r="T108" i="38"/>
  <c r="T109" i="38" s="1"/>
  <c r="T110" i="38" s="1"/>
  <c r="T111" i="38" s="1"/>
  <c r="T107" i="38"/>
  <c r="T112" i="38" s="1"/>
  <c r="Q107" i="38"/>
  <c r="Q108" i="38" s="1"/>
  <c r="Q109" i="38" s="1"/>
  <c r="Q110" i="38" s="1"/>
  <c r="Q111" i="38" s="1"/>
  <c r="N107" i="38"/>
  <c r="N108" i="38" s="1"/>
  <c r="N109" i="38" s="1"/>
  <c r="N110" i="38" s="1"/>
  <c r="N111" i="38" s="1"/>
  <c r="K107" i="38"/>
  <c r="K108" i="38" s="1"/>
  <c r="K109" i="38" s="1"/>
  <c r="K110" i="38" s="1"/>
  <c r="K111" i="38" s="1"/>
  <c r="K112" i="38" s="1"/>
  <c r="M106" i="38"/>
  <c r="M107" i="38" s="1"/>
  <c r="F106" i="38"/>
  <c r="T105" i="38"/>
  <c r="R105" i="38"/>
  <c r="H105" i="38"/>
  <c r="AC104" i="38"/>
  <c r="AB104" i="38"/>
  <c r="AA104" i="38"/>
  <c r="R104" i="38"/>
  <c r="E104" i="38"/>
  <c r="E106" i="38" s="1"/>
  <c r="E107" i="38" s="1"/>
  <c r="E108" i="38" s="1"/>
  <c r="E109" i="38" s="1"/>
  <c r="E110" i="38" s="1"/>
  <c r="E111" i="38" s="1"/>
  <c r="E112" i="38" s="1"/>
  <c r="T103" i="38"/>
  <c r="R103" i="38"/>
  <c r="H103" i="38"/>
  <c r="S91" i="38"/>
  <c r="S92" i="38" s="1"/>
  <c r="S93" i="38" s="1"/>
  <c r="T90" i="38"/>
  <c r="T91" i="38" s="1"/>
  <c r="T92" i="38" s="1"/>
  <c r="T93" i="38" s="1"/>
  <c r="T89" i="38"/>
  <c r="T94" i="38" s="1"/>
  <c r="Q89" i="38"/>
  <c r="Q90" i="38" s="1"/>
  <c r="Q91" i="38" s="1"/>
  <c r="Q92" i="38" s="1"/>
  <c r="Q93" i="38" s="1"/>
  <c r="N89" i="38"/>
  <c r="N90" i="38" s="1"/>
  <c r="N91" i="38" s="1"/>
  <c r="N92" i="38" s="1"/>
  <c r="N93" i="38" s="1"/>
  <c r="K89" i="38"/>
  <c r="K90" i="38" s="1"/>
  <c r="K91" i="38" s="1"/>
  <c r="K92" i="38" s="1"/>
  <c r="K93" i="38" s="1"/>
  <c r="K94" i="38" s="1"/>
  <c r="F88" i="38"/>
  <c r="E88" i="38"/>
  <c r="T87" i="38"/>
  <c r="R87" i="38"/>
  <c r="I87" i="38"/>
  <c r="H87" i="38"/>
  <c r="AC86" i="38"/>
  <c r="AB86" i="38"/>
  <c r="AA86" i="38"/>
  <c r="R86" i="38"/>
  <c r="M86" i="38"/>
  <c r="M88" i="38" s="1"/>
  <c r="M89" i="38" s="1"/>
  <c r="I86" i="38"/>
  <c r="T85" i="38"/>
  <c r="R85" i="38"/>
  <c r="I85" i="38"/>
  <c r="H85" i="38"/>
  <c r="S73" i="38"/>
  <c r="S74" i="38" s="1"/>
  <c r="S75" i="38" s="1"/>
  <c r="T72" i="38"/>
  <c r="T73" i="38" s="1"/>
  <c r="T74" i="38" s="1"/>
  <c r="T75" i="38" s="1"/>
  <c r="T71" i="38"/>
  <c r="T76" i="38" s="1"/>
  <c r="Q71" i="38"/>
  <c r="Q72" i="38" s="1"/>
  <c r="Q73" i="38" s="1"/>
  <c r="Q74" i="38" s="1"/>
  <c r="Q75" i="38" s="1"/>
  <c r="N71" i="38"/>
  <c r="N72" i="38" s="1"/>
  <c r="N73" i="38" s="1"/>
  <c r="N74" i="38" s="1"/>
  <c r="N75" i="38" s="1"/>
  <c r="K71" i="38"/>
  <c r="K72" i="38" s="1"/>
  <c r="K73" i="38" s="1"/>
  <c r="K74" i="38" s="1"/>
  <c r="K75" i="38" s="1"/>
  <c r="K76" i="38" s="1"/>
  <c r="M70" i="38"/>
  <c r="M71" i="38" s="1"/>
  <c r="F70" i="38"/>
  <c r="T69" i="38"/>
  <c r="R69" i="38"/>
  <c r="H69" i="38"/>
  <c r="AC68" i="38"/>
  <c r="AB68" i="38"/>
  <c r="AA68" i="38"/>
  <c r="R68" i="38"/>
  <c r="E68" i="38"/>
  <c r="E70" i="38" s="1"/>
  <c r="E71" i="38" s="1"/>
  <c r="E72" i="38" s="1"/>
  <c r="E73" i="38" s="1"/>
  <c r="E74" i="38" s="1"/>
  <c r="E75" i="38" s="1"/>
  <c r="E76" i="38" s="1"/>
  <c r="T67" i="38"/>
  <c r="R67" i="38"/>
  <c r="H67" i="38"/>
  <c r="G68" i="38" s="1"/>
  <c r="H68" i="38" s="1"/>
  <c r="G70" i="38" s="1"/>
  <c r="S55" i="38"/>
  <c r="S56" i="38" s="1"/>
  <c r="S57" i="38" s="1"/>
  <c r="T54" i="38"/>
  <c r="T55" i="38" s="1"/>
  <c r="T56" i="38" s="1"/>
  <c r="T57" i="38" s="1"/>
  <c r="T53" i="38"/>
  <c r="T58" i="38" s="1"/>
  <c r="Q53" i="38"/>
  <c r="Q54" i="38" s="1"/>
  <c r="Q55" i="38" s="1"/>
  <c r="Q56" i="38" s="1"/>
  <c r="Q57" i="38" s="1"/>
  <c r="N53" i="38"/>
  <c r="N54" i="38" s="1"/>
  <c r="N55" i="38" s="1"/>
  <c r="N56" i="38" s="1"/>
  <c r="N57" i="38" s="1"/>
  <c r="K53" i="38"/>
  <c r="K54" i="38" s="1"/>
  <c r="K55" i="38" s="1"/>
  <c r="K56" i="38" s="1"/>
  <c r="K57" i="38" s="1"/>
  <c r="K58" i="38" s="1"/>
  <c r="F52" i="38"/>
  <c r="E52" i="38"/>
  <c r="T51" i="38"/>
  <c r="R51" i="38"/>
  <c r="I51" i="38"/>
  <c r="H51" i="38"/>
  <c r="AC50" i="38"/>
  <c r="AB50" i="38"/>
  <c r="AA50" i="38"/>
  <c r="R50" i="38"/>
  <c r="M50" i="38"/>
  <c r="M52" i="38" s="1"/>
  <c r="M53" i="38" s="1"/>
  <c r="I50" i="38"/>
  <c r="T49" i="38"/>
  <c r="R49" i="38"/>
  <c r="I49" i="38"/>
  <c r="H49" i="38"/>
  <c r="I15" i="38"/>
  <c r="I14" i="38"/>
  <c r="I13" i="38"/>
  <c r="E452" i="38" l="1"/>
  <c r="E453" i="38" s="1"/>
  <c r="E454" i="38" s="1"/>
  <c r="C356" i="38"/>
  <c r="T356" i="38" s="1"/>
  <c r="E294" i="38"/>
  <c r="E295" i="38" s="1"/>
  <c r="E296" i="38" s="1"/>
  <c r="E292" i="38"/>
  <c r="E366" i="38"/>
  <c r="E367" i="38" s="1"/>
  <c r="E368" i="38" s="1"/>
  <c r="E364" i="38"/>
  <c r="E168" i="38"/>
  <c r="E169" i="38" s="1"/>
  <c r="E170" i="38" s="1"/>
  <c r="E166" i="38"/>
  <c r="E186" i="38"/>
  <c r="E187" i="38" s="1"/>
  <c r="E188" i="38" s="1"/>
  <c r="E184" i="38"/>
  <c r="E402" i="38"/>
  <c r="E403" i="38" s="1"/>
  <c r="E404" i="38" s="1"/>
  <c r="E400" i="38"/>
  <c r="E420" i="38"/>
  <c r="E421" i="38" s="1"/>
  <c r="E422" i="38" s="1"/>
  <c r="E418" i="38"/>
  <c r="E258" i="38"/>
  <c r="E259" i="38" s="1"/>
  <c r="E260" i="38" s="1"/>
  <c r="E256" i="38"/>
  <c r="E276" i="38"/>
  <c r="E277" i="38" s="1"/>
  <c r="E278" i="38" s="1"/>
  <c r="E274" i="38"/>
  <c r="E330" i="38"/>
  <c r="E331" i="38" s="1"/>
  <c r="E332" i="38" s="1"/>
  <c r="E328" i="38"/>
  <c r="E348" i="38"/>
  <c r="E349" i="38" s="1"/>
  <c r="E350" i="38" s="1"/>
  <c r="E346" i="38"/>
  <c r="E222" i="38"/>
  <c r="E223" i="38" s="1"/>
  <c r="E224" i="38" s="1"/>
  <c r="E220" i="38"/>
  <c r="E312" i="38"/>
  <c r="E313" i="38" s="1"/>
  <c r="E314" i="38" s="1"/>
  <c r="E310" i="38"/>
  <c r="E438" i="38"/>
  <c r="E439" i="38" s="1"/>
  <c r="E440" i="38" s="1"/>
  <c r="E436" i="38"/>
  <c r="G104" i="38"/>
  <c r="H104" i="38" s="1"/>
  <c r="G106" i="38" s="1"/>
  <c r="H106" i="38" s="1"/>
  <c r="C248" i="38"/>
  <c r="C253" i="38" s="1"/>
  <c r="C338" i="38"/>
  <c r="T338" i="38" s="1"/>
  <c r="C212" i="38"/>
  <c r="C217" i="38" s="1"/>
  <c r="T448" i="38"/>
  <c r="C68" i="38"/>
  <c r="C70" i="38" s="1"/>
  <c r="C76" i="38" s="1"/>
  <c r="C86" i="38"/>
  <c r="C91" i="38" s="1"/>
  <c r="C176" i="38"/>
  <c r="C178" i="38" s="1"/>
  <c r="C184" i="38" s="1"/>
  <c r="C302" i="38"/>
  <c r="C307" i="38" s="1"/>
  <c r="E89" i="38"/>
  <c r="E90" i="38" s="1"/>
  <c r="E91" i="38" s="1"/>
  <c r="E92" i="38" s="1"/>
  <c r="E93" i="38" s="1"/>
  <c r="E94" i="38" s="1"/>
  <c r="C194" i="38"/>
  <c r="C196" i="38" s="1"/>
  <c r="C392" i="38"/>
  <c r="C397" i="38" s="1"/>
  <c r="C464" i="38"/>
  <c r="C466" i="38" s="1"/>
  <c r="C472" i="38" s="1"/>
  <c r="C410" i="38"/>
  <c r="C415" i="38" s="1"/>
  <c r="M144" i="38"/>
  <c r="M145" i="38" s="1"/>
  <c r="M146" i="38" s="1"/>
  <c r="M147" i="38" s="1"/>
  <c r="M148" i="38" s="1"/>
  <c r="M216" i="38"/>
  <c r="M217" i="38" s="1"/>
  <c r="M218" i="38" s="1"/>
  <c r="M219" i="38" s="1"/>
  <c r="M220" i="38" s="1"/>
  <c r="M288" i="38"/>
  <c r="M289" i="38" s="1"/>
  <c r="M290" i="38" s="1"/>
  <c r="M291" i="38" s="1"/>
  <c r="M292" i="38" s="1"/>
  <c r="M324" i="38"/>
  <c r="M325" i="38" s="1"/>
  <c r="M326" i="38" s="1"/>
  <c r="M327" i="38" s="1"/>
  <c r="M328" i="38" s="1"/>
  <c r="C50" i="38"/>
  <c r="T50" i="38" s="1"/>
  <c r="C122" i="38"/>
  <c r="C127" i="38" s="1"/>
  <c r="C140" i="38"/>
  <c r="C142" i="38" s="1"/>
  <c r="C148" i="38" s="1"/>
  <c r="C158" i="38"/>
  <c r="C160" i="38" s="1"/>
  <c r="C166" i="38" s="1"/>
  <c r="C230" i="38"/>
  <c r="C232" i="38" s="1"/>
  <c r="C238" i="38" s="1"/>
  <c r="C266" i="38"/>
  <c r="C268" i="38" s="1"/>
  <c r="C274" i="38" s="1"/>
  <c r="C284" i="38"/>
  <c r="C289" i="38" s="1"/>
  <c r="C320" i="38"/>
  <c r="C322" i="38" s="1"/>
  <c r="E377" i="38"/>
  <c r="E378" i="38" s="1"/>
  <c r="E379" i="38" s="1"/>
  <c r="E380" i="38" s="1"/>
  <c r="E381" i="38" s="1"/>
  <c r="C446" i="38"/>
  <c r="C448" i="38" s="1"/>
  <c r="C454" i="38" s="1"/>
  <c r="G140" i="38"/>
  <c r="H140" i="38" s="1"/>
  <c r="G142" i="38" s="1"/>
  <c r="H142" i="38" s="1"/>
  <c r="C104" i="38"/>
  <c r="C109" i="38" s="1"/>
  <c r="G122" i="38"/>
  <c r="H122" i="38" s="1"/>
  <c r="G124" i="38" s="1"/>
  <c r="H124" i="38" s="1"/>
  <c r="E125" i="38"/>
  <c r="E126" i="38" s="1"/>
  <c r="E127" i="38" s="1"/>
  <c r="E128" i="38" s="1"/>
  <c r="E129" i="38" s="1"/>
  <c r="E130" i="38" s="1"/>
  <c r="E233" i="38"/>
  <c r="E234" i="38" s="1"/>
  <c r="E235" i="38" s="1"/>
  <c r="E236" i="38" s="1"/>
  <c r="E237" i="38" s="1"/>
  <c r="T268" i="38"/>
  <c r="E53" i="38"/>
  <c r="E54" i="38" s="1"/>
  <c r="E55" i="38" s="1"/>
  <c r="E56" i="38" s="1"/>
  <c r="E57" i="38" s="1"/>
  <c r="E58" i="38" s="1"/>
  <c r="C374" i="38"/>
  <c r="C379" i="38" s="1"/>
  <c r="C428" i="38"/>
  <c r="C430" i="38" s="1"/>
  <c r="C436" i="38" s="1"/>
  <c r="G446" i="38"/>
  <c r="H446" i="38" s="1"/>
  <c r="G448" i="38" s="1"/>
  <c r="H466" i="38"/>
  <c r="G467" i="38"/>
  <c r="M450" i="38"/>
  <c r="M451" i="38" s="1"/>
  <c r="M452" i="38" s="1"/>
  <c r="M453" i="38" s="1"/>
  <c r="M454" i="38" s="1"/>
  <c r="M468" i="38"/>
  <c r="M469" i="38" s="1"/>
  <c r="M470" i="38" s="1"/>
  <c r="M471" i="38" s="1"/>
  <c r="M472" i="38" s="1"/>
  <c r="T466" i="38"/>
  <c r="G410" i="38"/>
  <c r="H410" i="38" s="1"/>
  <c r="G412" i="38" s="1"/>
  <c r="T412" i="38"/>
  <c r="M414" i="38"/>
  <c r="M415" i="38" s="1"/>
  <c r="M416" i="38" s="1"/>
  <c r="M417" i="38" s="1"/>
  <c r="M418" i="38" s="1"/>
  <c r="M432" i="38"/>
  <c r="M433" i="38" s="1"/>
  <c r="M434" i="38" s="1"/>
  <c r="M435" i="38" s="1"/>
  <c r="M436" i="38" s="1"/>
  <c r="G428" i="38"/>
  <c r="H428" i="38" s="1"/>
  <c r="G430" i="38" s="1"/>
  <c r="T430" i="38"/>
  <c r="G374" i="38"/>
  <c r="H374" i="38" s="1"/>
  <c r="G376" i="38" s="1"/>
  <c r="T376" i="38"/>
  <c r="M396" i="38"/>
  <c r="M397" i="38" s="1"/>
  <c r="M398" i="38" s="1"/>
  <c r="M399" i="38" s="1"/>
  <c r="M400" i="38" s="1"/>
  <c r="G395" i="38"/>
  <c r="M378" i="38"/>
  <c r="M379" i="38" s="1"/>
  <c r="M380" i="38" s="1"/>
  <c r="M381" i="38" s="1"/>
  <c r="M382" i="38" s="1"/>
  <c r="H394" i="38"/>
  <c r="T394" i="38"/>
  <c r="G356" i="38"/>
  <c r="H356" i="38" s="1"/>
  <c r="G358" i="38" s="1"/>
  <c r="G359" i="38" s="1"/>
  <c r="T358" i="38"/>
  <c r="G338" i="38"/>
  <c r="H338" i="38" s="1"/>
  <c r="G340" i="38" s="1"/>
  <c r="M360" i="38"/>
  <c r="M361" i="38" s="1"/>
  <c r="M362" i="38" s="1"/>
  <c r="M363" i="38" s="1"/>
  <c r="M364" i="38" s="1"/>
  <c r="M342" i="38"/>
  <c r="M343" i="38" s="1"/>
  <c r="M344" i="38" s="1"/>
  <c r="M345" i="38" s="1"/>
  <c r="M346" i="38" s="1"/>
  <c r="T340" i="38"/>
  <c r="G320" i="38"/>
  <c r="H320" i="38" s="1"/>
  <c r="G322" i="38" s="1"/>
  <c r="G323" i="38" s="1"/>
  <c r="T322" i="38"/>
  <c r="G302" i="38"/>
  <c r="H302" i="38" s="1"/>
  <c r="G304" i="38" s="1"/>
  <c r="M306" i="38"/>
  <c r="M307" i="38" s="1"/>
  <c r="M308" i="38" s="1"/>
  <c r="M309" i="38" s="1"/>
  <c r="M310" i="38" s="1"/>
  <c r="T304" i="38"/>
  <c r="G284" i="38"/>
  <c r="H284" i="38" s="1"/>
  <c r="G286" i="38" s="1"/>
  <c r="H286" i="38" s="1"/>
  <c r="M270" i="38"/>
  <c r="M271" i="38" s="1"/>
  <c r="M272" i="38" s="1"/>
  <c r="M273" i="38" s="1"/>
  <c r="M274" i="38" s="1"/>
  <c r="G266" i="38"/>
  <c r="H266" i="38" s="1"/>
  <c r="G268" i="38" s="1"/>
  <c r="T232" i="38"/>
  <c r="G230" i="38"/>
  <c r="H230" i="38" s="1"/>
  <c r="G232" i="38" s="1"/>
  <c r="M252" i="38"/>
  <c r="M253" i="38" s="1"/>
  <c r="M254" i="38" s="1"/>
  <c r="M255" i="38" s="1"/>
  <c r="M256" i="38" s="1"/>
  <c r="M234" i="38"/>
  <c r="M235" i="38" s="1"/>
  <c r="M236" i="38" s="1"/>
  <c r="M237" i="38" s="1"/>
  <c r="M238" i="38" s="1"/>
  <c r="G251" i="38"/>
  <c r="H250" i="38"/>
  <c r="T250" i="38"/>
  <c r="T214" i="38"/>
  <c r="G212" i="38"/>
  <c r="H212" i="38" s="1"/>
  <c r="G214" i="38" s="1"/>
  <c r="G215" i="38" s="1"/>
  <c r="M198" i="38"/>
  <c r="M199" i="38" s="1"/>
  <c r="M200" i="38" s="1"/>
  <c r="M201" i="38" s="1"/>
  <c r="M202" i="38" s="1"/>
  <c r="G194" i="38"/>
  <c r="H194" i="38" s="1"/>
  <c r="G196" i="38" s="1"/>
  <c r="H196" i="38" s="1"/>
  <c r="T196" i="38"/>
  <c r="E197" i="38"/>
  <c r="E198" i="38" s="1"/>
  <c r="E199" i="38" s="1"/>
  <c r="E200" i="38" s="1"/>
  <c r="E201" i="38" s="1"/>
  <c r="T178" i="38"/>
  <c r="G176" i="38"/>
  <c r="H176" i="38" s="1"/>
  <c r="G178" i="38" s="1"/>
  <c r="G179" i="38" s="1"/>
  <c r="G158" i="38"/>
  <c r="H158" i="38" s="1"/>
  <c r="G160" i="38" s="1"/>
  <c r="M180" i="38"/>
  <c r="M181" i="38" s="1"/>
  <c r="M182" i="38" s="1"/>
  <c r="M183" i="38" s="1"/>
  <c r="M184" i="38" s="1"/>
  <c r="M162" i="38"/>
  <c r="M163" i="38" s="1"/>
  <c r="M164" i="38" s="1"/>
  <c r="M165" i="38" s="1"/>
  <c r="M166" i="38" s="1"/>
  <c r="T160" i="38"/>
  <c r="T124" i="38"/>
  <c r="M126" i="38"/>
  <c r="M127" i="38" s="1"/>
  <c r="M128" i="38" s="1"/>
  <c r="M129" i="38" s="1"/>
  <c r="M130" i="38" s="1"/>
  <c r="T142" i="38"/>
  <c r="G86" i="38"/>
  <c r="H86" i="38" s="1"/>
  <c r="G88" i="38" s="1"/>
  <c r="H88" i="38" s="1"/>
  <c r="T88" i="38"/>
  <c r="M108" i="38"/>
  <c r="M109" i="38" s="1"/>
  <c r="M110" i="38" s="1"/>
  <c r="M111" i="38" s="1"/>
  <c r="M112" i="38" s="1"/>
  <c r="M90" i="38"/>
  <c r="M91" i="38" s="1"/>
  <c r="M92" i="38" s="1"/>
  <c r="M93" i="38" s="1"/>
  <c r="M94" i="38" s="1"/>
  <c r="T106" i="38"/>
  <c r="T52" i="38"/>
  <c r="G50" i="38"/>
  <c r="H50" i="38" s="1"/>
  <c r="G52" i="38" s="1"/>
  <c r="G53" i="38" s="1"/>
  <c r="M72" i="38"/>
  <c r="M73" i="38" s="1"/>
  <c r="M74" i="38" s="1"/>
  <c r="M75" i="38" s="1"/>
  <c r="M76" i="38" s="1"/>
  <c r="G71" i="38"/>
  <c r="M54" i="38"/>
  <c r="M55" i="38" s="1"/>
  <c r="M56" i="38" s="1"/>
  <c r="M57" i="38" s="1"/>
  <c r="M58" i="38" s="1"/>
  <c r="H70" i="38"/>
  <c r="T70" i="38"/>
  <c r="E240" i="38" l="1"/>
  <c r="E241" i="38" s="1"/>
  <c r="E242" i="38" s="1"/>
  <c r="E238" i="38"/>
  <c r="E384" i="38"/>
  <c r="E385" i="38" s="1"/>
  <c r="E386" i="38" s="1"/>
  <c r="E382" i="38"/>
  <c r="C201" i="38"/>
  <c r="C202" i="38"/>
  <c r="E202" i="38"/>
  <c r="V322" i="38"/>
  <c r="Z322" i="38" s="1"/>
  <c r="C328" i="38"/>
  <c r="G107" i="38"/>
  <c r="H107" i="38" s="1"/>
  <c r="C324" i="38"/>
  <c r="T68" i="38"/>
  <c r="C451" i="38"/>
  <c r="C200" i="38"/>
  <c r="C361" i="38"/>
  <c r="C73" i="38"/>
  <c r="T248" i="38"/>
  <c r="C250" i="38"/>
  <c r="C325" i="38"/>
  <c r="C343" i="38"/>
  <c r="C358" i="38"/>
  <c r="T302" i="38"/>
  <c r="T464" i="38"/>
  <c r="T86" i="38"/>
  <c r="C163" i="38"/>
  <c r="V196" i="38"/>
  <c r="Z196" i="38" s="1"/>
  <c r="C394" i="38"/>
  <c r="T122" i="38"/>
  <c r="C52" i="38"/>
  <c r="G125" i="38"/>
  <c r="G126" i="38" s="1"/>
  <c r="T176" i="38"/>
  <c r="C55" i="38"/>
  <c r="C88" i="38"/>
  <c r="C197" i="38"/>
  <c r="C235" i="38"/>
  <c r="C340" i="38"/>
  <c r="C124" i="38"/>
  <c r="C181" i="38"/>
  <c r="C214" i="38"/>
  <c r="T212" i="38"/>
  <c r="C199" i="38"/>
  <c r="C198" i="38"/>
  <c r="T230" i="38"/>
  <c r="T266" i="38"/>
  <c r="T392" i="38"/>
  <c r="C376" i="38"/>
  <c r="T446" i="38"/>
  <c r="C271" i="38"/>
  <c r="T374" i="38"/>
  <c r="T194" i="38"/>
  <c r="C207" i="38"/>
  <c r="C208" i="38" s="1"/>
  <c r="H376" i="38"/>
  <c r="H232" i="38"/>
  <c r="C145" i="38"/>
  <c r="G143" i="38"/>
  <c r="G144" i="38" s="1"/>
  <c r="C304" i="38"/>
  <c r="C469" i="38"/>
  <c r="T140" i="38"/>
  <c r="H178" i="38"/>
  <c r="C286" i="38"/>
  <c r="T284" i="38"/>
  <c r="T428" i="38"/>
  <c r="T410" i="38"/>
  <c r="C106" i="38"/>
  <c r="C412" i="38"/>
  <c r="C326" i="38"/>
  <c r="T320" i="38"/>
  <c r="C323" i="38"/>
  <c r="C327" i="38"/>
  <c r="T104" i="38"/>
  <c r="T158" i="38"/>
  <c r="C333" i="38"/>
  <c r="C334" i="38" s="1"/>
  <c r="C433" i="38"/>
  <c r="H448" i="38"/>
  <c r="G449" i="38"/>
  <c r="H449" i="38" s="1"/>
  <c r="C471" i="38"/>
  <c r="C468" i="38"/>
  <c r="V466" i="38"/>
  <c r="Z466" i="38" s="1"/>
  <c r="C473" i="38"/>
  <c r="C474" i="38" s="1"/>
  <c r="C467" i="38"/>
  <c r="C470" i="38"/>
  <c r="G468" i="38"/>
  <c r="H467" i="38"/>
  <c r="C449" i="38"/>
  <c r="C452" i="38"/>
  <c r="C453" i="38"/>
  <c r="C450" i="38"/>
  <c r="V448" i="38"/>
  <c r="Z448" i="38" s="1"/>
  <c r="C455" i="38"/>
  <c r="C456" i="38" s="1"/>
  <c r="G413" i="38"/>
  <c r="G414" i="38" s="1"/>
  <c r="H412" i="38"/>
  <c r="G431" i="38"/>
  <c r="H430" i="38"/>
  <c r="C435" i="38"/>
  <c r="C432" i="38"/>
  <c r="V430" i="38"/>
  <c r="Z430" i="38" s="1"/>
  <c r="C441" i="38"/>
  <c r="C442" i="38" s="1"/>
  <c r="C431" i="38"/>
  <c r="C434" i="38"/>
  <c r="G377" i="38"/>
  <c r="G378" i="38" s="1"/>
  <c r="H395" i="38"/>
  <c r="G396" i="38"/>
  <c r="H358" i="38"/>
  <c r="G341" i="38"/>
  <c r="G342" i="38" s="1"/>
  <c r="H340" i="38"/>
  <c r="G360" i="38"/>
  <c r="H359" i="38"/>
  <c r="H322" i="38"/>
  <c r="H304" i="38"/>
  <c r="G305" i="38"/>
  <c r="G306" i="38" s="1"/>
  <c r="G324" i="38"/>
  <c r="H323" i="38"/>
  <c r="G287" i="38"/>
  <c r="G288" i="38" s="1"/>
  <c r="G269" i="38"/>
  <c r="C273" i="38"/>
  <c r="C270" i="38"/>
  <c r="V268" i="38"/>
  <c r="Z268" i="38" s="1"/>
  <c r="C269" i="38"/>
  <c r="C272" i="38"/>
  <c r="C279" i="38"/>
  <c r="C280" i="38" s="1"/>
  <c r="H268" i="38"/>
  <c r="G233" i="38"/>
  <c r="G234" i="38" s="1"/>
  <c r="C233" i="38"/>
  <c r="C236" i="38"/>
  <c r="C243" i="38"/>
  <c r="C244" i="38" s="1"/>
  <c r="C237" i="38"/>
  <c r="C234" i="38"/>
  <c r="V232" i="38"/>
  <c r="Z232" i="38" s="1"/>
  <c r="G252" i="38"/>
  <c r="H251" i="38"/>
  <c r="H214" i="38"/>
  <c r="G216" i="38"/>
  <c r="H215" i="38"/>
  <c r="G197" i="38"/>
  <c r="H160" i="38"/>
  <c r="G161" i="38"/>
  <c r="G162" i="38" s="1"/>
  <c r="C183" i="38"/>
  <c r="C180" i="38"/>
  <c r="V178" i="38"/>
  <c r="Z178" i="38" s="1"/>
  <c r="C189" i="38"/>
  <c r="C190" i="38" s="1"/>
  <c r="C179" i="38"/>
  <c r="C182" i="38"/>
  <c r="G180" i="38"/>
  <c r="H179" i="38"/>
  <c r="C161" i="38"/>
  <c r="C164" i="38"/>
  <c r="C165" i="38"/>
  <c r="C162" i="38"/>
  <c r="V160" i="38"/>
  <c r="Z160" i="38" s="1"/>
  <c r="C171" i="38"/>
  <c r="C172" i="38" s="1"/>
  <c r="C147" i="38"/>
  <c r="C144" i="38"/>
  <c r="V142" i="38"/>
  <c r="Z142" i="38" s="1"/>
  <c r="C146" i="38"/>
  <c r="C153" i="38"/>
  <c r="C154" i="38" s="1"/>
  <c r="C143" i="38"/>
  <c r="G89" i="38"/>
  <c r="G90" i="38" s="1"/>
  <c r="G108" i="38"/>
  <c r="H52" i="38"/>
  <c r="H71" i="38"/>
  <c r="G72" i="38"/>
  <c r="G54" i="38"/>
  <c r="H53" i="38"/>
  <c r="C75" i="38"/>
  <c r="C72" i="38"/>
  <c r="V70" i="38"/>
  <c r="Z70" i="38" s="1"/>
  <c r="C74" i="38"/>
  <c r="C81" i="38"/>
  <c r="C82" i="38" s="1"/>
  <c r="C71" i="38"/>
  <c r="C380" i="38" l="1"/>
  <c r="C382" i="38"/>
  <c r="C255" i="38"/>
  <c r="C256" i="38"/>
  <c r="C225" i="38"/>
  <c r="C226" i="38" s="1"/>
  <c r="C220" i="38"/>
  <c r="C398" i="38"/>
  <c r="C400" i="38"/>
  <c r="C414" i="38"/>
  <c r="C418" i="38"/>
  <c r="C135" i="38"/>
  <c r="C136" i="38" s="1"/>
  <c r="C130" i="38"/>
  <c r="C93" i="38"/>
  <c r="C94" i="38"/>
  <c r="C56" i="38"/>
  <c r="C58" i="38"/>
  <c r="C360" i="38"/>
  <c r="C364" i="38"/>
  <c r="C111" i="38"/>
  <c r="C112" i="38"/>
  <c r="C290" i="38"/>
  <c r="C292" i="38"/>
  <c r="C305" i="38"/>
  <c r="C310" i="38"/>
  <c r="C345" i="38"/>
  <c r="C346" i="38"/>
  <c r="C363" i="38"/>
  <c r="C54" i="38"/>
  <c r="C92" i="38"/>
  <c r="C261" i="38"/>
  <c r="C262" i="38" s="1"/>
  <c r="H143" i="38"/>
  <c r="C359" i="38"/>
  <c r="C369" i="38"/>
  <c r="C370" i="38" s="1"/>
  <c r="C216" i="38"/>
  <c r="V358" i="38"/>
  <c r="Z358" i="38" s="1"/>
  <c r="C362" i="38"/>
  <c r="C57" i="38"/>
  <c r="C89" i="38"/>
  <c r="V250" i="38"/>
  <c r="Z250" i="38" s="1"/>
  <c r="C351" i="38"/>
  <c r="C352" i="38" s="1"/>
  <c r="C53" i="38"/>
  <c r="C99" i="38"/>
  <c r="C100" i="38" s="1"/>
  <c r="C254" i="38"/>
  <c r="C252" i="38"/>
  <c r="V88" i="38"/>
  <c r="Z88" i="38" s="1"/>
  <c r="C251" i="38"/>
  <c r="C63" i="38"/>
  <c r="C64" i="38" s="1"/>
  <c r="C90" i="38"/>
  <c r="C344" i="38"/>
  <c r="V52" i="38"/>
  <c r="Z52" i="38" s="1"/>
  <c r="C219" i="38"/>
  <c r="C218" i="38"/>
  <c r="C215" i="38"/>
  <c r="V214" i="38"/>
  <c r="Z214" i="38" s="1"/>
  <c r="V340" i="38"/>
  <c r="Z340" i="38" s="1"/>
  <c r="C341" i="38"/>
  <c r="V124" i="38"/>
  <c r="Z124" i="38" s="1"/>
  <c r="C128" i="38"/>
  <c r="C417" i="38"/>
  <c r="C378" i="38"/>
  <c r="C377" i="38"/>
  <c r="V394" i="38"/>
  <c r="Z394" i="38" s="1"/>
  <c r="C381" i="38"/>
  <c r="C395" i="38"/>
  <c r="C396" i="38"/>
  <c r="C387" i="38"/>
  <c r="C388" i="38" s="1"/>
  <c r="C405" i="38"/>
  <c r="C406" i="38" s="1"/>
  <c r="C399" i="38"/>
  <c r="V376" i="38"/>
  <c r="Z376" i="38" s="1"/>
  <c r="C126" i="38"/>
  <c r="C413" i="38"/>
  <c r="C423" i="38"/>
  <c r="C424" i="38" s="1"/>
  <c r="C129" i="38"/>
  <c r="H125" i="38"/>
  <c r="C342" i="38"/>
  <c r="C416" i="38"/>
  <c r="C125" i="38"/>
  <c r="V412" i="38"/>
  <c r="Z412" i="38" s="1"/>
  <c r="C117" i="38"/>
  <c r="C118" i="38" s="1"/>
  <c r="C306" i="38"/>
  <c r="V286" i="38"/>
  <c r="Z286" i="38" s="1"/>
  <c r="H287" i="38"/>
  <c r="C287" i="38"/>
  <c r="V106" i="38"/>
  <c r="Z106" i="38" s="1"/>
  <c r="C288" i="38"/>
  <c r="C309" i="38"/>
  <c r="H377" i="38"/>
  <c r="C107" i="38"/>
  <c r="C108" i="38"/>
  <c r="C291" i="38"/>
  <c r="C315" i="38"/>
  <c r="C316" i="38" s="1"/>
  <c r="C308" i="38"/>
  <c r="C110" i="38"/>
  <c r="V304" i="38"/>
  <c r="Z304" i="38" s="1"/>
  <c r="H305" i="38"/>
  <c r="H341" i="38"/>
  <c r="G450" i="38"/>
  <c r="H450" i="38" s="1"/>
  <c r="H233" i="38"/>
  <c r="H413" i="38"/>
  <c r="G469" i="38"/>
  <c r="H468" i="38"/>
  <c r="G432" i="38"/>
  <c r="H431" i="38"/>
  <c r="G415" i="38"/>
  <c r="H414" i="38"/>
  <c r="G397" i="38"/>
  <c r="H396" i="38"/>
  <c r="H378" i="38"/>
  <c r="G379" i="38"/>
  <c r="G361" i="38"/>
  <c r="H360" i="38"/>
  <c r="G343" i="38"/>
  <c r="H342" i="38"/>
  <c r="G307" i="38"/>
  <c r="H306" i="38"/>
  <c r="G325" i="38"/>
  <c r="H324" i="38"/>
  <c r="G270" i="38"/>
  <c r="H269" i="38"/>
  <c r="H288" i="38"/>
  <c r="G289" i="38"/>
  <c r="G253" i="38"/>
  <c r="H252" i="38"/>
  <c r="G235" i="38"/>
  <c r="H234" i="38"/>
  <c r="H197" i="38"/>
  <c r="G198" i="38"/>
  <c r="H216" i="38"/>
  <c r="G217" i="38"/>
  <c r="H161" i="38"/>
  <c r="G181" i="38"/>
  <c r="H180" i="38"/>
  <c r="G163" i="38"/>
  <c r="H162" i="38"/>
  <c r="G145" i="38"/>
  <c r="H144" i="38"/>
  <c r="H126" i="38"/>
  <c r="G127" i="38"/>
  <c r="H89" i="38"/>
  <c r="G109" i="38"/>
  <c r="H108" i="38"/>
  <c r="H90" i="38"/>
  <c r="G91" i="38"/>
  <c r="G73" i="38"/>
  <c r="H72" i="38"/>
  <c r="H54" i="38"/>
  <c r="G55" i="38"/>
  <c r="G451" i="38" l="1"/>
  <c r="H451" i="38" s="1"/>
  <c r="G470" i="38"/>
  <c r="H469" i="38"/>
  <c r="G433" i="38"/>
  <c r="H432" i="38"/>
  <c r="G416" i="38"/>
  <c r="H415" i="38"/>
  <c r="G380" i="38"/>
  <c r="H379" i="38"/>
  <c r="H397" i="38"/>
  <c r="G398" i="38"/>
  <c r="H343" i="38"/>
  <c r="G344" i="38"/>
  <c r="G362" i="38"/>
  <c r="H361" i="38"/>
  <c r="G326" i="38"/>
  <c r="H325" i="38"/>
  <c r="H307" i="38"/>
  <c r="G308" i="38"/>
  <c r="H289" i="38"/>
  <c r="G290" i="38"/>
  <c r="G271" i="38"/>
  <c r="H270" i="38"/>
  <c r="G236" i="38"/>
  <c r="H235" i="38"/>
  <c r="G254" i="38"/>
  <c r="H253" i="38"/>
  <c r="G199" i="38"/>
  <c r="H198" i="38"/>
  <c r="G218" i="38"/>
  <c r="H217" i="38"/>
  <c r="H163" i="38"/>
  <c r="G164" i="38"/>
  <c r="G182" i="38"/>
  <c r="H181" i="38"/>
  <c r="H127" i="38"/>
  <c r="G128" i="38"/>
  <c r="G146" i="38"/>
  <c r="H145" i="38"/>
  <c r="H91" i="38"/>
  <c r="G92" i="38"/>
  <c r="H109" i="38"/>
  <c r="G110" i="38"/>
  <c r="G56" i="38"/>
  <c r="H55" i="38"/>
  <c r="G74" i="38"/>
  <c r="H73" i="38"/>
  <c r="G452" i="38" l="1"/>
  <c r="G453" i="38" s="1"/>
  <c r="H470" i="38"/>
  <c r="G471" i="38"/>
  <c r="G417" i="38"/>
  <c r="H416" i="38"/>
  <c r="H433" i="38"/>
  <c r="G434" i="38"/>
  <c r="H398" i="38"/>
  <c r="G399" i="38"/>
  <c r="G381" i="38"/>
  <c r="H380" i="38"/>
  <c r="H362" i="38"/>
  <c r="G363" i="38"/>
  <c r="G345" i="38"/>
  <c r="H344" i="38"/>
  <c r="G309" i="38"/>
  <c r="H308" i="38"/>
  <c r="H326" i="38"/>
  <c r="G327" i="38"/>
  <c r="G272" i="38"/>
  <c r="H271" i="38"/>
  <c r="G291" i="38"/>
  <c r="H290" i="38"/>
  <c r="H254" i="38"/>
  <c r="G255" i="38"/>
  <c r="G237" i="38"/>
  <c r="H236" i="38"/>
  <c r="G219" i="38"/>
  <c r="H218" i="38"/>
  <c r="H199" i="38"/>
  <c r="G200" i="38"/>
  <c r="H182" i="38"/>
  <c r="G183" i="38"/>
  <c r="G165" i="38"/>
  <c r="H164" i="38"/>
  <c r="H146" i="38"/>
  <c r="G147" i="38"/>
  <c r="G129" i="38"/>
  <c r="H128" i="38"/>
  <c r="H110" i="38"/>
  <c r="G111" i="38"/>
  <c r="G93" i="38"/>
  <c r="H92" i="38"/>
  <c r="H74" i="38"/>
  <c r="G75" i="38"/>
  <c r="G57" i="38"/>
  <c r="H56" i="38"/>
  <c r="H309" i="38" l="1"/>
  <c r="G310" i="38"/>
  <c r="H310" i="38" s="1"/>
  <c r="H327" i="38"/>
  <c r="G328" i="38"/>
  <c r="H328" i="38" s="1"/>
  <c r="H471" i="38"/>
  <c r="G472" i="38"/>
  <c r="H472" i="38" s="1"/>
  <c r="H219" i="38"/>
  <c r="G220" i="38"/>
  <c r="H220" i="38" s="1"/>
  <c r="H417" i="38"/>
  <c r="G418" i="38"/>
  <c r="H418" i="38" s="1"/>
  <c r="H57" i="38"/>
  <c r="G58" i="38"/>
  <c r="H58" i="38" s="1"/>
  <c r="H93" i="38"/>
  <c r="G94" i="38"/>
  <c r="H94" i="38" s="1"/>
  <c r="H129" i="38"/>
  <c r="G130" i="38"/>
  <c r="H130" i="38" s="1"/>
  <c r="H165" i="38"/>
  <c r="G166" i="38"/>
  <c r="H166" i="38" s="1"/>
  <c r="H237" i="38"/>
  <c r="G238" i="38"/>
  <c r="H238" i="38" s="1"/>
  <c r="H291" i="38"/>
  <c r="G292" i="38"/>
  <c r="H292" i="38" s="1"/>
  <c r="H345" i="38"/>
  <c r="G346" i="38"/>
  <c r="H346" i="38" s="1"/>
  <c r="H381" i="38"/>
  <c r="G382" i="38"/>
  <c r="H382" i="38" s="1"/>
  <c r="H75" i="38"/>
  <c r="G76" i="38"/>
  <c r="H76" i="38" s="1"/>
  <c r="H111" i="38"/>
  <c r="G112" i="38"/>
  <c r="H112" i="38" s="1"/>
  <c r="H147" i="38"/>
  <c r="G148" i="38"/>
  <c r="H148" i="38" s="1"/>
  <c r="H183" i="38"/>
  <c r="G184" i="38"/>
  <c r="H184" i="38" s="1"/>
  <c r="H255" i="38"/>
  <c r="G256" i="38"/>
  <c r="H256" i="38" s="1"/>
  <c r="H363" i="38"/>
  <c r="G364" i="38"/>
  <c r="H364" i="38" s="1"/>
  <c r="H399" i="38"/>
  <c r="G400" i="38"/>
  <c r="H400" i="38" s="1"/>
  <c r="H453" i="38"/>
  <c r="G454" i="38"/>
  <c r="H454" i="38" s="1"/>
  <c r="H452" i="38"/>
  <c r="H434" i="38"/>
  <c r="G435" i="38"/>
  <c r="H272" i="38"/>
  <c r="G273" i="38"/>
  <c r="H200" i="38"/>
  <c r="G201" i="38"/>
  <c r="I288" i="41"/>
  <c r="I287" i="41"/>
  <c r="I285" i="41"/>
  <c r="I284" i="41"/>
  <c r="I282" i="41"/>
  <c r="I281" i="41"/>
  <c r="I279" i="41"/>
  <c r="I267" i="41"/>
  <c r="I144" i="41"/>
  <c r="I143" i="41"/>
  <c r="I12" i="41"/>
  <c r="I11" i="41"/>
  <c r="H288" i="41"/>
  <c r="H287" i="41"/>
  <c r="H285" i="41"/>
  <c r="H284" i="41"/>
  <c r="H282" i="41"/>
  <c r="H281" i="41"/>
  <c r="H279" i="41"/>
  <c r="H278" i="41"/>
  <c r="H276" i="41"/>
  <c r="H275" i="41"/>
  <c r="H273" i="41"/>
  <c r="H272" i="41"/>
  <c r="H270" i="41"/>
  <c r="H269" i="41"/>
  <c r="H266" i="41"/>
  <c r="H267" i="41"/>
  <c r="H265" i="41"/>
  <c r="H264" i="41"/>
  <c r="H261" i="41"/>
  <c r="H260" i="41"/>
  <c r="H258" i="41"/>
  <c r="H257" i="41"/>
  <c r="H255" i="41"/>
  <c r="H254" i="41"/>
  <c r="H252" i="41"/>
  <c r="H251" i="41"/>
  <c r="H249" i="41"/>
  <c r="H248" i="41"/>
  <c r="H246" i="41"/>
  <c r="H245" i="41"/>
  <c r="H243" i="41"/>
  <c r="H242" i="41"/>
  <c r="H240" i="41"/>
  <c r="H239" i="41"/>
  <c r="H237" i="41"/>
  <c r="H236" i="41"/>
  <c r="H234" i="41"/>
  <c r="H233" i="41"/>
  <c r="H231" i="41"/>
  <c r="H230" i="41"/>
  <c r="H228" i="41"/>
  <c r="H227" i="41"/>
  <c r="H225" i="41"/>
  <c r="H224" i="41"/>
  <c r="H222" i="41"/>
  <c r="H221" i="41"/>
  <c r="H219" i="41"/>
  <c r="H218" i="41"/>
  <c r="H216" i="41"/>
  <c r="H215" i="41"/>
  <c r="H213" i="41"/>
  <c r="H212" i="41"/>
  <c r="H210" i="41"/>
  <c r="H209" i="41"/>
  <c r="H207" i="41"/>
  <c r="H206" i="41"/>
  <c r="H204" i="41"/>
  <c r="H203" i="41"/>
  <c r="H201" i="41"/>
  <c r="H200" i="41"/>
  <c r="H198" i="41"/>
  <c r="H197" i="41"/>
  <c r="H196" i="41"/>
  <c r="H194" i="41"/>
  <c r="H193" i="41"/>
  <c r="H191" i="41"/>
  <c r="H190" i="41"/>
  <c r="H189" i="41"/>
  <c r="H187" i="41"/>
  <c r="H186" i="41"/>
  <c r="H184" i="41"/>
  <c r="H183" i="41"/>
  <c r="H181" i="41"/>
  <c r="H180" i="41"/>
  <c r="H178" i="41"/>
  <c r="H177" i="41"/>
  <c r="H175" i="41"/>
  <c r="H174" i="41"/>
  <c r="H172" i="41"/>
  <c r="H171" i="41"/>
  <c r="H169" i="41"/>
  <c r="H168" i="41"/>
  <c r="H166" i="41"/>
  <c r="H165" i="41"/>
  <c r="H163" i="41"/>
  <c r="H162" i="41"/>
  <c r="H160" i="41"/>
  <c r="H159" i="41"/>
  <c r="H136" i="41"/>
  <c r="H135" i="41"/>
  <c r="H133" i="41"/>
  <c r="H132" i="41"/>
  <c r="H130" i="41"/>
  <c r="H129" i="41"/>
  <c r="H127" i="41"/>
  <c r="H126" i="41"/>
  <c r="H125" i="41"/>
  <c r="H123" i="41"/>
  <c r="H122" i="41"/>
  <c r="H120" i="41"/>
  <c r="H119" i="41"/>
  <c r="H117" i="41"/>
  <c r="H116" i="41"/>
  <c r="H114" i="41"/>
  <c r="H113" i="41"/>
  <c r="H111" i="41"/>
  <c r="H110" i="41"/>
  <c r="H105" i="41"/>
  <c r="H104" i="41"/>
  <c r="H102" i="41"/>
  <c r="H108" i="41"/>
  <c r="H107" i="41"/>
  <c r="H101" i="41"/>
  <c r="H99" i="41"/>
  <c r="H98" i="41"/>
  <c r="H96" i="41"/>
  <c r="H95" i="41"/>
  <c r="H93" i="41"/>
  <c r="H92" i="41"/>
  <c r="H90" i="41"/>
  <c r="H89" i="41"/>
  <c r="H87" i="41"/>
  <c r="H86" i="41"/>
  <c r="H84" i="41"/>
  <c r="H83" i="41"/>
  <c r="H40" i="41"/>
  <c r="H39" i="41"/>
  <c r="H81" i="41"/>
  <c r="H80" i="41"/>
  <c r="H78" i="41"/>
  <c r="H77" i="41"/>
  <c r="H75" i="41"/>
  <c r="H74" i="41"/>
  <c r="H72" i="41"/>
  <c r="H71" i="41"/>
  <c r="H69" i="41"/>
  <c r="H68" i="41"/>
  <c r="H66" i="41"/>
  <c r="H65" i="41"/>
  <c r="H63" i="41"/>
  <c r="H62" i="41"/>
  <c r="H61" i="41"/>
  <c r="H59" i="41"/>
  <c r="H58" i="41"/>
  <c r="H56" i="41"/>
  <c r="H55" i="41"/>
  <c r="H54" i="41"/>
  <c r="H52" i="41"/>
  <c r="H51" i="41"/>
  <c r="H49" i="41"/>
  <c r="H48" i="41"/>
  <c r="H46" i="41"/>
  <c r="H45" i="41"/>
  <c r="H43" i="41"/>
  <c r="H42" i="41"/>
  <c r="H37" i="41"/>
  <c r="H36" i="41"/>
  <c r="H34" i="41"/>
  <c r="H33" i="41"/>
  <c r="H31" i="41"/>
  <c r="H30" i="41"/>
  <c r="H28" i="41"/>
  <c r="H27" i="41"/>
  <c r="H157" i="41"/>
  <c r="H156" i="41"/>
  <c r="H155" i="41"/>
  <c r="H153" i="41"/>
  <c r="H152" i="41"/>
  <c r="H150" i="41"/>
  <c r="H149" i="41"/>
  <c r="H147" i="41"/>
  <c r="H146" i="41"/>
  <c r="H144" i="41"/>
  <c r="H143" i="41"/>
  <c r="H142" i="41"/>
  <c r="H141" i="41"/>
  <c r="H139" i="41"/>
  <c r="H138" i="41"/>
  <c r="H25" i="41"/>
  <c r="H24" i="41"/>
  <c r="H23" i="41"/>
  <c r="H21" i="41"/>
  <c r="H20" i="41"/>
  <c r="H18" i="41"/>
  <c r="H17" i="41"/>
  <c r="H15" i="41"/>
  <c r="H14" i="41"/>
  <c r="H12" i="41"/>
  <c r="H11" i="41"/>
  <c r="H10" i="41"/>
  <c r="H9" i="41"/>
  <c r="H7" i="41"/>
  <c r="H6" i="41"/>
  <c r="H201" i="38" l="1"/>
  <c r="G202" i="38"/>
  <c r="H202" i="38" s="1"/>
  <c r="H435" i="38"/>
  <c r="G436" i="38"/>
  <c r="H436" i="38" s="1"/>
  <c r="H273" i="38"/>
  <c r="G274" i="38"/>
  <c r="H274" i="38" s="1"/>
  <c r="G20" i="39"/>
  <c r="J26" i="39" l="1"/>
  <c r="K26" i="39" s="1"/>
  <c r="G26" i="39"/>
  <c r="J20" i="39"/>
  <c r="K20" i="39" s="1"/>
  <c r="G21" i="39"/>
  <c r="G17" i="39"/>
  <c r="G13" i="39"/>
  <c r="J19" i="39"/>
  <c r="K19" i="39" s="1"/>
  <c r="J15" i="39"/>
  <c r="K15" i="39" s="1"/>
  <c r="J11" i="39"/>
  <c r="K11" i="39" s="1"/>
  <c r="G14" i="39"/>
  <c r="J16" i="39"/>
  <c r="K16" i="39" s="1"/>
  <c r="G16" i="39"/>
  <c r="G12" i="39"/>
  <c r="J18" i="39"/>
  <c r="K18" i="39" s="1"/>
  <c r="J14" i="39"/>
  <c r="K14" i="39" s="1"/>
  <c r="G18" i="39"/>
  <c r="J12" i="39"/>
  <c r="K12" i="39" s="1"/>
  <c r="G19" i="39"/>
  <c r="G15" i="39"/>
  <c r="G11" i="39"/>
  <c r="J17" i="39"/>
  <c r="K17" i="39" s="1"/>
  <c r="J13" i="39"/>
  <c r="K13" i="39" s="1"/>
  <c r="J27" i="39" l="1"/>
  <c r="K27" i="39" s="1"/>
  <c r="G27" i="39"/>
  <c r="J28" i="39" l="1"/>
  <c r="K28" i="39" s="1"/>
  <c r="G28" i="39"/>
  <c r="G29" i="39" l="1"/>
  <c r="J29" i="39"/>
  <c r="K29" i="39" s="1"/>
  <c r="J25" i="39"/>
  <c r="K25" i="39" s="1"/>
  <c r="J10" i="39"/>
  <c r="K10" i="39" s="1"/>
  <c r="G30" i="39" l="1"/>
  <c r="J30" i="39"/>
  <c r="K30" i="39" s="1"/>
  <c r="G25" i="39"/>
  <c r="G10" i="39"/>
  <c r="J31" i="39" l="1"/>
  <c r="K31" i="39" s="1"/>
  <c r="G31" i="39"/>
  <c r="D4" i="1"/>
  <c r="J32" i="39" l="1"/>
  <c r="K32" i="39" s="1"/>
  <c r="G32" i="39"/>
  <c r="G33" i="39" l="1"/>
  <c r="J33" i="39"/>
  <c r="K33" i="39" s="1"/>
  <c r="H13" i="38" l="1"/>
  <c r="R13" i="38"/>
  <c r="T13" i="38"/>
  <c r="E16" i="38"/>
  <c r="M14" i="38"/>
  <c r="M16" i="38" s="1"/>
  <c r="M17" i="38" s="1"/>
  <c r="R14" i="38"/>
  <c r="AA14" i="38"/>
  <c r="AB14" i="38"/>
  <c r="AC14" i="38"/>
  <c r="H15" i="38"/>
  <c r="R15" i="38"/>
  <c r="T15" i="38"/>
  <c r="F16" i="38"/>
  <c r="T17" i="38"/>
  <c r="T22" i="38" s="1"/>
  <c r="K17" i="38"/>
  <c r="K18" i="38" s="1"/>
  <c r="K19" i="38" s="1"/>
  <c r="K20" i="38" s="1"/>
  <c r="K21" i="38" s="1"/>
  <c r="K22" i="38" s="1"/>
  <c r="N17" i="38"/>
  <c r="N18" i="38" s="1"/>
  <c r="N19" i="38" s="1"/>
  <c r="N20" i="38" s="1"/>
  <c r="N21" i="38" s="1"/>
  <c r="Q17" i="38"/>
  <c r="Q18" i="38" s="1"/>
  <c r="Q19" i="38" s="1"/>
  <c r="Q20" i="38" s="1"/>
  <c r="Q21" i="38" s="1"/>
  <c r="T18" i="38"/>
  <c r="T19" i="38" s="1"/>
  <c r="T20" i="38" s="1"/>
  <c r="T21" i="38" s="1"/>
  <c r="S19" i="38"/>
  <c r="S20" i="38" s="1"/>
  <c r="S21" i="38" s="1"/>
  <c r="H31" i="38"/>
  <c r="R31" i="38"/>
  <c r="T31" i="38"/>
  <c r="E32" i="38"/>
  <c r="E34" i="38" s="1"/>
  <c r="E35" i="38" s="1"/>
  <c r="E36" i="38" s="1"/>
  <c r="E37" i="38" s="1"/>
  <c r="E38" i="38" s="1"/>
  <c r="E39" i="38" s="1"/>
  <c r="E40" i="38" s="1"/>
  <c r="R32" i="38"/>
  <c r="AA32" i="38"/>
  <c r="AB32" i="38"/>
  <c r="AC32" i="38"/>
  <c r="H33" i="38"/>
  <c r="R33" i="38"/>
  <c r="T33" i="38"/>
  <c r="F34" i="38"/>
  <c r="M34" i="38"/>
  <c r="M35" i="38" s="1"/>
  <c r="K35" i="38"/>
  <c r="K36" i="38" s="1"/>
  <c r="K37" i="38" s="1"/>
  <c r="K38" i="38" s="1"/>
  <c r="K39" i="38" s="1"/>
  <c r="K40" i="38" s="1"/>
  <c r="N35" i="38"/>
  <c r="N36" i="38" s="1"/>
  <c r="N37" i="38" s="1"/>
  <c r="N38" i="38" s="1"/>
  <c r="N39" i="38" s="1"/>
  <c r="Q35" i="38"/>
  <c r="Q36" i="38" s="1"/>
  <c r="Q37" i="38" s="1"/>
  <c r="Q38" i="38" s="1"/>
  <c r="Q39" i="38" s="1"/>
  <c r="T35" i="38"/>
  <c r="T40" i="38" s="1"/>
  <c r="T36" i="38"/>
  <c r="T37" i="38" s="1"/>
  <c r="T38" i="38" s="1"/>
  <c r="T39" i="38" s="1"/>
  <c r="S37" i="38"/>
  <c r="S38" i="38" s="1"/>
  <c r="S39" i="38" s="1"/>
  <c r="T34" i="38" l="1"/>
  <c r="C14" i="38"/>
  <c r="C19" i="38" s="1"/>
  <c r="H14" i="38"/>
  <c r="G16" i="38" s="1"/>
  <c r="T16" i="38"/>
  <c r="E17" i="38"/>
  <c r="E18" i="38" s="1"/>
  <c r="E19" i="38" s="1"/>
  <c r="E20" i="38" s="1"/>
  <c r="C297" i="38"/>
  <c r="C298" i="38" s="1"/>
  <c r="M36" i="38"/>
  <c r="M37" i="38" s="1"/>
  <c r="M38" i="38" s="1"/>
  <c r="M39" i="38" s="1"/>
  <c r="M40" i="38" s="1"/>
  <c r="M18" i="38"/>
  <c r="M19" i="38" s="1"/>
  <c r="M20" i="38" s="1"/>
  <c r="M21" i="38" s="1"/>
  <c r="M22" i="38" s="1"/>
  <c r="C32" i="38"/>
  <c r="G32" i="38"/>
  <c r="H32" i="38" s="1"/>
  <c r="G34" i="38" s="1"/>
  <c r="E21" i="38" l="1"/>
  <c r="E22" i="38" s="1"/>
  <c r="T14" i="38"/>
  <c r="G17" i="38"/>
  <c r="G18" i="38" s="1"/>
  <c r="H16" i="38"/>
  <c r="C16" i="38"/>
  <c r="G35" i="38"/>
  <c r="H34" i="38"/>
  <c r="C34" i="38"/>
  <c r="C40" i="38" s="1"/>
  <c r="C37" i="38"/>
  <c r="T32" i="38"/>
  <c r="C20" i="38" l="1"/>
  <c r="C22" i="38"/>
  <c r="H17" i="38"/>
  <c r="C21" i="38"/>
  <c r="C18" i="38"/>
  <c r="C27" i="38"/>
  <c r="C28" i="38" s="1"/>
  <c r="C17" i="38"/>
  <c r="V16" i="38"/>
  <c r="Z16" i="38" s="1"/>
  <c r="G36" i="38"/>
  <c r="H35" i="38"/>
  <c r="H18" i="38"/>
  <c r="G19" i="38"/>
  <c r="V34" i="38"/>
  <c r="Z34" i="38" s="1"/>
  <c r="C36" i="38"/>
  <c r="C35" i="38"/>
  <c r="C45" i="38"/>
  <c r="C46" i="38" s="1"/>
  <c r="C38" i="38"/>
  <c r="C39" i="38"/>
  <c r="H19" i="38" l="1"/>
  <c r="G20" i="38"/>
  <c r="G37" i="38"/>
  <c r="H36" i="38"/>
  <c r="H20" i="38" l="1"/>
  <c r="G21" i="38"/>
  <c r="H37" i="38"/>
  <c r="G38" i="38"/>
  <c r="H21" i="38" l="1"/>
  <c r="G22" i="38"/>
  <c r="H22" i="38" s="1"/>
  <c r="H38" i="38"/>
  <c r="G39" i="38"/>
  <c r="H39" i="38" l="1"/>
  <c r="G40" i="38"/>
  <c r="H40" i="38" s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CHOPADE Manoj</author>
  </authors>
  <commentList>
    <comment ref="I1" authorId="0" shapeId="0" xr:uid="{2142C83D-7CC0-4D26-AED0-7ED3C8C67156}">
      <text>
        <r>
          <rPr>
            <b/>
            <sz val="8"/>
            <color indexed="8"/>
            <rFont val="Tahoma"/>
            <family val="2"/>
          </rPr>
          <t>Setting this to 1 will place a Marker Pin at the end of the segment path up to that position.
Currently Broken - See Bug 40766</t>
        </r>
      </text>
    </comment>
    <comment ref="A9" authorId="1" shapeId="0" xr:uid="{B97DD09F-E58E-4E93-9385-82A1CFAB2366}">
      <text>
        <r>
          <rPr>
            <b/>
            <sz val="9"/>
            <color indexed="81"/>
            <rFont val="Tahoma"/>
            <charset val="1"/>
          </rPr>
          <t>Unused columns: FEATURE, ERROR, SEGNAME, SEGLEN, SCALE LEN, DIFF (METERS)</t>
        </r>
      </text>
    </comment>
    <comment ref="A24" authorId="1" shapeId="0" xr:uid="{A2D610D6-267F-4271-855C-5F1309CB0795}">
      <text>
        <r>
          <rPr>
            <b/>
            <sz val="9"/>
            <color indexed="81"/>
            <rFont val="Tahoma"/>
            <charset val="1"/>
          </rPr>
          <t>Unused columns: FEATURE, ERROR, SEGNAME, SEGLEN, SCALE LEN, DIFF (METERS)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Cooper</author>
    <author>CHOPADE Manoj</author>
  </authors>
  <commentList>
    <comment ref="D3" authorId="0" shapeId="0" xr:uid="{506E6A47-E182-4F23-8533-5B62E0B44BD8}">
      <text>
        <r>
          <rPr>
            <b/>
            <sz val="8"/>
            <color indexed="81"/>
            <rFont val="Tahoma"/>
            <family val="2"/>
          </rPr>
          <t>Andy Cooper:</t>
        </r>
        <r>
          <rPr>
            <sz val="8"/>
            <color indexed="81"/>
            <rFont val="Tahoma"/>
            <family val="2"/>
          </rPr>
          <t xml:space="preserve">
Set to FEATURE to enable</t>
        </r>
      </text>
    </comment>
    <comment ref="A11" authorId="1" shapeId="0" xr:uid="{3FA3F2FA-09B0-40CA-94F7-BB9D2153BA1A}">
      <text>
        <r>
          <rPr>
            <b/>
            <sz val="9"/>
            <color indexed="81"/>
            <rFont val="Tahoma"/>
            <charset val="1"/>
          </rPr>
          <t>Unused columns: CORRECTION, CHAINAGE, Z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Cooper</author>
    <author>CHOPADE Manoj</author>
  </authors>
  <commentList>
    <comment ref="D3" authorId="0" shapeId="0" xr:uid="{41E916FC-7E9B-4DED-B0C9-CF6F344F2483}">
      <text>
        <r>
          <rPr>
            <b/>
            <sz val="8"/>
            <color indexed="81"/>
            <rFont val="Tahoma"/>
            <family val="2"/>
          </rPr>
          <t>Andy Cooper:</t>
        </r>
        <r>
          <rPr>
            <sz val="8"/>
            <color indexed="81"/>
            <rFont val="Tahoma"/>
            <family val="2"/>
          </rPr>
          <t xml:space="preserve">
Set to FEATURE to enable</t>
        </r>
      </text>
    </comment>
    <comment ref="A11" authorId="1" shapeId="0" xr:uid="{4B519DC5-82D0-4F2A-A0BB-A560F6A9387D}">
      <text>
        <r>
          <rPr>
            <b/>
            <sz val="9"/>
            <color indexed="81"/>
            <rFont val="Tahoma"/>
            <charset val="1"/>
          </rPr>
          <t>Unused columns: CORRECTION, CHAINAGE, Z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CHOPADE Manoj</author>
    <author/>
  </authors>
  <commentList>
    <comment ref="A5" authorId="0" shapeId="0" xr:uid="{D8652792-1717-4940-9417-7FFB025C11DB}">
      <text>
        <r>
          <rPr>
            <b/>
            <sz val="9"/>
            <color indexed="81"/>
            <rFont val="Tahoma"/>
            <charset val="1"/>
          </rPr>
          <t>Unused columns: CORRECTION, CHAINAGE, Z</t>
        </r>
      </text>
    </comment>
    <comment ref="K5" authorId="1" shapeId="0" xr:uid="{82E364E2-3600-4131-B5DC-2E90F05BE954}">
      <text>
        <r>
          <rPr>
            <b/>
            <sz val="8"/>
            <color indexed="8"/>
            <rFont val="Tahoma"/>
            <family val="2"/>
          </rPr>
          <t>Set to BOTH if the feature is visible from both directions on the path</t>
        </r>
      </text>
    </comment>
    <comment ref="M5" authorId="1" shapeId="0" xr:uid="{87B43F80-D84D-4B96-8CEE-DCFFB2E3936F}">
      <text>
        <r>
          <rPr>
            <b/>
            <sz val="8"/>
            <color indexed="8"/>
            <rFont val="Tahoma"/>
            <family val="2"/>
          </rPr>
          <t>Default is Facing Path Direction. Set this to 1 when you want to be facing the other way</t>
        </r>
      </text>
    </comment>
    <comment ref="N5" authorId="1" shapeId="0" xr:uid="{D361A105-267F-4DC6-B50B-346129553D25}">
      <text>
        <r>
          <rPr>
            <sz val="8"/>
            <color indexed="8"/>
            <rFont val="Tahoma"/>
            <family val="2"/>
          </rPr>
          <t xml:space="preserve">Positive is to Right (Facing Beta Or  Facing Alpha when Reversed)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CHOPADE Manoj</author>
  </authors>
  <commentList>
    <comment ref="A6" authorId="0" shapeId="0" xr:uid="{8FE71A4F-C8CF-4200-AF08-BA816E813C35}">
      <text>
        <r>
          <rPr>
            <b/>
            <sz val="9"/>
            <color indexed="81"/>
            <rFont val="Tahoma"/>
            <charset val="1"/>
          </rPr>
          <t>Unused columns: CORRECTION
(M), CHAINAGE, LABEL_2, LABEL_02, HEIGHTADJUST, DIFFSPEED, STDSPEED, POLEENABLE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CHOPADE Manoj</author>
  </authors>
  <commentList>
    <comment ref="A4" authorId="0" shapeId="0" xr:uid="{7DDEA45A-FEFA-4F16-9AA8-DAD0E78A50DB}">
      <text>
        <r>
          <rPr>
            <b/>
            <sz val="9"/>
            <color indexed="81"/>
            <rFont val="Tahoma"/>
            <charset val="1"/>
          </rPr>
          <t>Unused columns: CORRECTION, CHAINAGE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Cooper</author>
    <author>CHOPADE Manoj</author>
  </authors>
  <commentList>
    <comment ref="D3" authorId="0" shapeId="0" xr:uid="{261657AE-FC12-4257-A1CC-0C70A2009B56}">
      <text>
        <r>
          <rPr>
            <b/>
            <sz val="8"/>
            <color indexed="81"/>
            <rFont val="Tahoma"/>
            <family val="2"/>
          </rPr>
          <t>Andy Cooper:</t>
        </r>
        <r>
          <rPr>
            <sz val="8"/>
            <color indexed="81"/>
            <rFont val="Tahoma"/>
            <family val="2"/>
          </rPr>
          <t xml:space="preserve">
Set to FEATURE to enable</t>
        </r>
      </text>
    </comment>
    <comment ref="A11" authorId="1" shapeId="0" xr:uid="{248D05A3-39A8-42DE-A11F-E47BB115F623}">
      <text>
        <r>
          <rPr>
            <b/>
            <sz val="9"/>
            <color indexed="81"/>
            <rFont val="Tahoma"/>
            <charset val="1"/>
          </rPr>
          <t>Unused columns: CORRECTION, CHAINAGE, Z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Cooper</author>
    <author>CHOPADE Manoj</author>
  </authors>
  <commentList>
    <comment ref="D3" authorId="0" shapeId="0" xr:uid="{A18C4298-7689-49EC-BFFA-C291117A8605}">
      <text>
        <r>
          <rPr>
            <b/>
            <sz val="8"/>
            <color indexed="81"/>
            <rFont val="Tahoma"/>
            <family val="2"/>
          </rPr>
          <t>Andy Cooper:</t>
        </r>
        <r>
          <rPr>
            <sz val="8"/>
            <color indexed="81"/>
            <rFont val="Tahoma"/>
            <family val="2"/>
          </rPr>
          <t xml:space="preserve">
Set to FEATURE to enable</t>
        </r>
      </text>
    </comment>
    <comment ref="A11" authorId="1" shapeId="0" xr:uid="{19CF1889-329C-4136-A1BC-5DDE20044B28}">
      <text>
        <r>
          <rPr>
            <b/>
            <sz val="9"/>
            <color indexed="81"/>
            <rFont val="Tahoma"/>
            <charset val="1"/>
          </rPr>
          <t>Unused columns: CORRECTION, CHAINAGE, Z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CHOPADE Manoj</author>
  </authors>
  <commentList>
    <comment ref="A6" authorId="0" shapeId="0" xr:uid="{7A7232B0-51D9-4811-A4F5-1E96FC862BEB}">
      <text>
        <r>
          <rPr>
            <b/>
            <sz val="9"/>
            <color indexed="81"/>
            <rFont val="Tahoma"/>
            <charset val="1"/>
          </rPr>
          <t>Unused columns: CORRECTION
(M), CHAINAGE, LABEL, LABEL_2, LABEL_02, HEIGHTADJUST, LABEL1, LABEL2, DIFFSPEED, STDSPEED, POLEENABLE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CHOPADE Manoj</author>
  </authors>
  <commentList>
    <comment ref="A6" authorId="0" shapeId="0" xr:uid="{4471C55C-A0A1-4729-A329-332DCEE5CEB3}">
      <text>
        <r>
          <rPr>
            <b/>
            <sz val="9"/>
            <color indexed="81"/>
            <rFont val="Tahoma"/>
            <charset val="1"/>
          </rPr>
          <t>Unused columns: CORRECTION
(M), CHAINAGE, LABEL, LABEL_2, LABEL_02, HEIGHTADJUST, LABEL1, LABEL2, DIFFSPEED, STDSPEED, POLEENABLE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Cooper</author>
    <author>CHOPADE Manoj</author>
  </authors>
  <commentList>
    <comment ref="D3" authorId="0" shapeId="0" xr:uid="{D00708D8-6D06-46BD-A2C8-72AE667E3A8A}">
      <text>
        <r>
          <rPr>
            <b/>
            <sz val="8"/>
            <color indexed="81"/>
            <rFont val="Tahoma"/>
            <family val="2"/>
          </rPr>
          <t>Andy Cooper:</t>
        </r>
        <r>
          <rPr>
            <sz val="8"/>
            <color indexed="81"/>
            <rFont val="Tahoma"/>
            <family val="2"/>
          </rPr>
          <t xml:space="preserve">
Set to FEATURE to enable</t>
        </r>
      </text>
    </comment>
    <comment ref="A11" authorId="1" shapeId="0" xr:uid="{2AB7A675-0654-437B-91D8-B7413A5C026C}">
      <text>
        <r>
          <rPr>
            <b/>
            <sz val="9"/>
            <color indexed="81"/>
            <rFont val="Tahoma"/>
            <charset val="1"/>
          </rPr>
          <t>Unused columns: CORRECTION, CHAINAGE, Z, DISTINCT ID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CHOPADE Manoj</author>
  </authors>
  <commentList>
    <comment ref="A6" authorId="0" shapeId="0" xr:uid="{3F87AFDF-96AE-4458-9F37-F928AEE0D948}">
      <text>
        <r>
          <rPr>
            <b/>
            <sz val="9"/>
            <color indexed="81"/>
            <rFont val="Tahoma"/>
            <charset val="1"/>
          </rPr>
          <t>Unused columns: CORRECTION
(M), CHAINAGE, LABEL, LABEL_2, LABEL_02, HEIGHTADJUST, LABEL1, LABEL2, DIFFSPEED, STDSPEED, POLEENABLE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B43F46-2A87-48E4-B137-80C4C80CD0F3}" keepAlive="1" name="Query - qry_feature_definitions" description="Connection to the 'qry_feature_definitions' query in the workbook." type="5" refreshedVersion="6" saveData="1">
    <dbPr connection="Provider=Microsoft.Mashup.OleDb.1;Data Source=$Workbook$;Location=qry_feature_definitions;Extended Properties=&quot;&quot;" command="SELECT * FROM [qry_feature_definitions]"/>
  </connection>
</connections>
</file>

<file path=xl/sharedStrings.xml><?xml version="1.0" encoding="utf-8"?>
<sst xmlns="http://schemas.openxmlformats.org/spreadsheetml/2006/main" count="34609" uniqueCount="4421">
  <si>
    <t>Description</t>
  </si>
  <si>
    <t>HEADER</t>
  </si>
  <si>
    <t>Name</t>
  </si>
  <si>
    <t>Value</t>
  </si>
  <si>
    <t>WORLD_DESCRIPTION</t>
  </si>
  <si>
    <t>Title</t>
  </si>
  <si>
    <t>Segment Name</t>
  </si>
  <si>
    <t>Offset</t>
  </si>
  <si>
    <t>State</t>
  </si>
  <si>
    <t>Path</t>
  </si>
  <si>
    <t>Scaled Offset</t>
  </si>
  <si>
    <t>Error</t>
  </si>
  <si>
    <t>From Alpha</t>
  </si>
  <si>
    <t>Chainage</t>
  </si>
  <si>
    <t>Type</t>
  </si>
  <si>
    <t>Orientation</t>
  </si>
  <si>
    <t>Flip</t>
  </si>
  <si>
    <t>FEATURE_RULE</t>
  </si>
  <si>
    <t>ID</t>
  </si>
  <si>
    <t>AUTO_ID</t>
  </si>
  <si>
    <t>Reverse</t>
  </si>
  <si>
    <t>X</t>
  </si>
  <si>
    <t>Y</t>
  </si>
  <si>
    <t>Heading</t>
  </si>
  <si>
    <t>Pitch</t>
  </si>
  <si>
    <t>Initial State</t>
  </si>
  <si>
    <t>Green</t>
  </si>
  <si>
    <t>Location</t>
  </si>
  <si>
    <t>Placement</t>
  </si>
  <si>
    <t>Z</t>
  </si>
  <si>
    <t>Correction
(m)</t>
  </si>
  <si>
    <t>Date</t>
  </si>
  <si>
    <t>COMMENT_BLOCK</t>
  </si>
  <si>
    <t>MPHTOm/s</t>
  </si>
  <si>
    <t>Enable Markers</t>
  </si>
  <si>
    <t>Red</t>
  </si>
  <si>
    <t>Enable Mid Markers</t>
  </si>
  <si>
    <t>Enable Passengers</t>
  </si>
  <si>
    <t>KMHTOm/s</t>
  </si>
  <si>
    <t>COMMENT_BLOCK_END</t>
  </si>
  <si>
    <t>Correction</t>
  </si>
  <si>
    <t>Width</t>
  </si>
  <si>
    <t>Path Offset</t>
  </si>
  <si>
    <t>Path Orientation</t>
  </si>
  <si>
    <t>Path From Alpha</t>
  </si>
  <si>
    <t>H</t>
  </si>
  <si>
    <t>P</t>
  </si>
  <si>
    <t>R</t>
  </si>
  <si>
    <t>Enable Features</t>
  </si>
  <si>
    <t>label_02</t>
  </si>
  <si>
    <t>HeightAdjust</t>
  </si>
  <si>
    <t>Marker Pin</t>
  </si>
  <si>
    <t>None</t>
  </si>
  <si>
    <t>Platform Passenger - Pram</t>
  </si>
  <si>
    <t>Platform Passenger - Intoxicated</t>
  </si>
  <si>
    <t>Platform Passenger - Arriving</t>
  </si>
  <si>
    <t>Parent ID</t>
  </si>
  <si>
    <t>Platform Passenger - Alighting</t>
  </si>
  <si>
    <t>ContentName</t>
  </si>
  <si>
    <t>Platform Passenger - Boarding</t>
  </si>
  <si>
    <t>Station Name</t>
  </si>
  <si>
    <t>Station Code</t>
  </si>
  <si>
    <t>Platform Name</t>
  </si>
  <si>
    <t>Length</t>
  </si>
  <si>
    <t>BOTH</t>
  </si>
  <si>
    <t>Platform</t>
  </si>
  <si>
    <t>PoleEnable</t>
  </si>
  <si>
    <t>BallEnable</t>
  </si>
  <si>
    <t>MarkerLabel</t>
  </si>
  <si>
    <t>Station</t>
  </si>
  <si>
    <t>Label1</t>
  </si>
  <si>
    <t>Label2</t>
  </si>
  <si>
    <t>DiffSpeed</t>
  </si>
  <si>
    <t>StdSpeed</t>
  </si>
  <si>
    <t>Main Line</t>
  </si>
  <si>
    <t>Follow</t>
  </si>
  <si>
    <t>PATH</t>
  </si>
  <si>
    <t>Feature</t>
  </si>
  <si>
    <t>SegName</t>
  </si>
  <si>
    <t>SegLen</t>
  </si>
  <si>
    <t>Scale Len</t>
  </si>
  <si>
    <t>Diff (Meters)</t>
  </si>
  <si>
    <t>Track_20_Track_1</t>
  </si>
  <si>
    <t>Track_20_1_Track_1</t>
  </si>
  <si>
    <t>Track_20_2_Track_1</t>
  </si>
  <si>
    <t>7P3102</t>
  </si>
  <si>
    <t>7P3106</t>
  </si>
  <si>
    <t>Track_20_3_Track_1</t>
  </si>
  <si>
    <t>7P3502</t>
  </si>
  <si>
    <t>Track_20_4_Track_3</t>
  </si>
  <si>
    <t>7P3504</t>
  </si>
  <si>
    <t>Track_20_5_Track_3</t>
  </si>
  <si>
    <t>Track_20_Track_2</t>
  </si>
  <si>
    <t>7P3104</t>
  </si>
  <si>
    <t>7P3503</t>
  </si>
  <si>
    <t>7P3501</t>
  </si>
  <si>
    <t>7P3105</t>
  </si>
  <si>
    <t>7P3103</t>
  </si>
  <si>
    <t>7P3101</t>
  </si>
  <si>
    <t>7P4306</t>
  </si>
  <si>
    <t>7P4304</t>
  </si>
  <si>
    <t>7P4302</t>
  </si>
  <si>
    <t>7P4301</t>
  </si>
  <si>
    <t>7P4308</t>
  </si>
  <si>
    <t>2AP4402</t>
  </si>
  <si>
    <t>2AP4401</t>
  </si>
  <si>
    <t>Track_10_Track_1</t>
  </si>
  <si>
    <t>SCALED_PATH</t>
  </si>
  <si>
    <t>Segment</t>
  </si>
  <si>
    <t>Segment Offset</t>
  </si>
  <si>
    <t>Scale</t>
  </si>
  <si>
    <t>Segment Length</t>
  </si>
  <si>
    <t>Points</t>
  </si>
  <si>
    <t>Points State</t>
  </si>
  <si>
    <t>Points Alias</t>
  </si>
  <si>
    <t>BEGIN</t>
  </si>
  <si>
    <t>Track_20_1_Track_2</t>
  </si>
  <si>
    <t>Track_20_2_Track_2</t>
  </si>
  <si>
    <t>Track_20_3_Track_3</t>
  </si>
  <si>
    <t>Track_20_Track_3</t>
  </si>
  <si>
    <t>END</t>
  </si>
  <si>
    <t>Track_10_1_Track_1</t>
  </si>
  <si>
    <t>Track_10_2_Track_2</t>
  </si>
  <si>
    <t>Track_10_3</t>
  </si>
  <si>
    <t>Track_10_4</t>
  </si>
  <si>
    <t>Track_10_5</t>
  </si>
  <si>
    <t>Track_10_Track_2</t>
  </si>
  <si>
    <t>Track_10_1_Track_2</t>
  </si>
  <si>
    <t>Track_10_Track_3</t>
  </si>
  <si>
    <t>FEATURE</t>
  </si>
  <si>
    <t>7RS3101</t>
  </si>
  <si>
    <t>7BS3112</t>
  </si>
  <si>
    <t>Label</t>
  </si>
  <si>
    <t>_Signal</t>
  </si>
  <si>
    <t>ID_70000</t>
  </si>
  <si>
    <t>7RS3108</t>
  </si>
  <si>
    <t>7RS3103</t>
  </si>
  <si>
    <t>7RS3106</t>
  </si>
  <si>
    <t>7BS3110</t>
  </si>
  <si>
    <t>7RS3105</t>
  </si>
  <si>
    <t>7RS3104</t>
  </si>
  <si>
    <t>7RS3107</t>
  </si>
  <si>
    <t>7RS3102</t>
  </si>
  <si>
    <t>Label_2</t>
  </si>
  <si>
    <t>7MB3201</t>
  </si>
  <si>
    <t>_Signal_Marker</t>
  </si>
  <si>
    <t>7MB3304</t>
  </si>
  <si>
    <t>7MB3303</t>
  </si>
  <si>
    <t>7MB3302</t>
  </si>
  <si>
    <t>7MB3301</t>
  </si>
  <si>
    <t>7RS3501</t>
  </si>
  <si>
    <t>7RS3508</t>
  </si>
  <si>
    <t>7RS3503</t>
  </si>
  <si>
    <t>7RS3506</t>
  </si>
  <si>
    <t>7RS3505</t>
  </si>
  <si>
    <t>7RS3504</t>
  </si>
  <si>
    <t>7RS3507</t>
  </si>
  <si>
    <t>7RS3502</t>
  </si>
  <si>
    <t>7MB3704</t>
  </si>
  <si>
    <t>7MB3702</t>
  </si>
  <si>
    <t>7MB3701</t>
  </si>
  <si>
    <t>7MB3703</t>
  </si>
  <si>
    <t>7MB3904</t>
  </si>
  <si>
    <t>7MB3903</t>
  </si>
  <si>
    <t>7MB3902</t>
  </si>
  <si>
    <t>7MB3901</t>
  </si>
  <si>
    <t>7MB4104</t>
  </si>
  <si>
    <t>7MB4103</t>
  </si>
  <si>
    <t>7MB4102</t>
  </si>
  <si>
    <t>7MB4101</t>
  </si>
  <si>
    <t>7MB4304</t>
  </si>
  <si>
    <t>7RS4301</t>
  </si>
  <si>
    <t>7RS4303</t>
  </si>
  <si>
    <t>7RS4304</t>
  </si>
  <si>
    <t>2ARS4401</t>
  </si>
  <si>
    <t>7RS4302</t>
  </si>
  <si>
    <t>2ARS4405</t>
  </si>
  <si>
    <t>7BS4310</t>
  </si>
  <si>
    <t>7RS4306</t>
  </si>
  <si>
    <t>7BS4307</t>
  </si>
  <si>
    <t>Track_12</t>
  </si>
  <si>
    <t>7RS4308</t>
  </si>
  <si>
    <t>7BS4305</t>
  </si>
  <si>
    <t>Branch Line</t>
  </si>
  <si>
    <t>Track_11_1</t>
  </si>
  <si>
    <t>PATH_MMRBEM_7_UP</t>
  </si>
  <si>
    <t>PATH_MMRBEM_7_DOWN</t>
  </si>
  <si>
    <t>MMRBEM_7_UP</t>
  </si>
  <si>
    <t>MMRBEM_7_DOWN</t>
  </si>
  <si>
    <t>Chainage1</t>
  </si>
  <si>
    <t>Chainage2</t>
  </si>
  <si>
    <t>Line Abbreviation</t>
  </si>
  <si>
    <t>Track Circuit</t>
  </si>
  <si>
    <t>ID_71000</t>
  </si>
  <si>
    <t>7T3101</t>
  </si>
  <si>
    <t>7T3103</t>
  </si>
  <si>
    <t>Track_8</t>
  </si>
  <si>
    <t>Track_9</t>
  </si>
  <si>
    <t>7T3105</t>
  </si>
  <si>
    <t>7T3107</t>
  </si>
  <si>
    <t>7T3109</t>
  </si>
  <si>
    <t>7T3111</t>
  </si>
  <si>
    <t>Track_7</t>
  </si>
  <si>
    <t>7T3102</t>
  </si>
  <si>
    <t>7T3104</t>
  </si>
  <si>
    <t>7T3106</t>
  </si>
  <si>
    <t>7T3108</t>
  </si>
  <si>
    <t>7T3110</t>
  </si>
  <si>
    <t>7T3112</t>
  </si>
  <si>
    <t>7T3113</t>
  </si>
  <si>
    <t>7T3201</t>
  </si>
  <si>
    <t>7T3203</t>
  </si>
  <si>
    <t>7T3301</t>
  </si>
  <si>
    <t>7T3401</t>
  </si>
  <si>
    <t>7T3403</t>
  </si>
  <si>
    <t>7T3405</t>
  </si>
  <si>
    <t>7T3501</t>
  </si>
  <si>
    <t>7T3503</t>
  </si>
  <si>
    <t>Track_6</t>
  </si>
  <si>
    <t>7T3505</t>
  </si>
  <si>
    <t>7T3507</t>
  </si>
  <si>
    <t>Track_5</t>
  </si>
  <si>
    <t>7T3509</t>
  </si>
  <si>
    <t>7T3511</t>
  </si>
  <si>
    <t>7T3601</t>
  </si>
  <si>
    <t>7T3603</t>
  </si>
  <si>
    <t>7T3701</t>
  </si>
  <si>
    <t>7T3701A</t>
  </si>
  <si>
    <t>7T3301A</t>
  </si>
  <si>
    <t>7T3801</t>
  </si>
  <si>
    <t>7T3803</t>
  </si>
  <si>
    <t>7T3805</t>
  </si>
  <si>
    <t>7T3901</t>
  </si>
  <si>
    <t>7T3903</t>
  </si>
  <si>
    <t>7T4001</t>
  </si>
  <si>
    <t>7T4003</t>
  </si>
  <si>
    <t>7T4101</t>
  </si>
  <si>
    <t>7T4101A</t>
  </si>
  <si>
    <t>7T4201</t>
  </si>
  <si>
    <t>7T4203</t>
  </si>
  <si>
    <t>7T4205</t>
  </si>
  <si>
    <t>7T4301</t>
  </si>
  <si>
    <t>7T4303</t>
  </si>
  <si>
    <t>7T4305</t>
  </si>
  <si>
    <t>Track_3</t>
  </si>
  <si>
    <t>7T4307</t>
  </si>
  <si>
    <t>7T4307A</t>
  </si>
  <si>
    <t>2AT4401</t>
  </si>
  <si>
    <t>Both</t>
  </si>
  <si>
    <t>7T3114</t>
  </si>
  <si>
    <t>7T3116</t>
  </si>
  <si>
    <t>7T3202</t>
  </si>
  <si>
    <t>7T3204</t>
  </si>
  <si>
    <t>7T3302</t>
  </si>
  <si>
    <t>7T3302A</t>
  </si>
  <si>
    <t>7T3402</t>
  </si>
  <si>
    <t>7T3404</t>
  </si>
  <si>
    <t>7T3406</t>
  </si>
  <si>
    <t>7T3502</t>
  </si>
  <si>
    <t>7T3504</t>
  </si>
  <si>
    <t>7T3506</t>
  </si>
  <si>
    <t>7T3508</t>
  </si>
  <si>
    <t>7T3510</t>
  </si>
  <si>
    <t>7T3512</t>
  </si>
  <si>
    <t>7T3602</t>
  </si>
  <si>
    <t>7T3604</t>
  </si>
  <si>
    <t>7T3702</t>
  </si>
  <si>
    <t>7T3702A</t>
  </si>
  <si>
    <t>7T3802</t>
  </si>
  <si>
    <t>7T3804</t>
  </si>
  <si>
    <t>7T3806</t>
  </si>
  <si>
    <t>7T3902</t>
  </si>
  <si>
    <t>7T3904</t>
  </si>
  <si>
    <t>7T4002</t>
  </si>
  <si>
    <t>7T4004</t>
  </si>
  <si>
    <t>7T4102</t>
  </si>
  <si>
    <t>7T4102A</t>
  </si>
  <si>
    <t>7T4202</t>
  </si>
  <si>
    <t>7T4204</t>
  </si>
  <si>
    <t>7T4206</t>
  </si>
  <si>
    <t>7T4302</t>
  </si>
  <si>
    <t>7T4304</t>
  </si>
  <si>
    <t>7T4306</t>
  </si>
  <si>
    <t>Track_4</t>
  </si>
  <si>
    <t>7T4308</t>
  </si>
  <si>
    <t>7T4310</t>
  </si>
  <si>
    <t>7T4310A</t>
  </si>
  <si>
    <t>2AT4402</t>
  </si>
  <si>
    <t>7T4320</t>
  </si>
  <si>
    <t>7T4322</t>
  </si>
  <si>
    <t>7T4324</t>
  </si>
  <si>
    <t>7T4321</t>
  </si>
  <si>
    <t>GUN</t>
  </si>
  <si>
    <t>Gundavali</t>
  </si>
  <si>
    <t>Gundavali_S1</t>
  </si>
  <si>
    <t>Gundavali_E1</t>
  </si>
  <si>
    <t>ID_75000</t>
  </si>
  <si>
    <t>Gundavali_S2</t>
  </si>
  <si>
    <t>Gundavali_E2</t>
  </si>
  <si>
    <t>Mogra</t>
  </si>
  <si>
    <t>Mogra_S1</t>
  </si>
  <si>
    <t>Mogra_E1</t>
  </si>
  <si>
    <t>MOG</t>
  </si>
  <si>
    <t>Mogra_S2</t>
  </si>
  <si>
    <t>Mogra_E2</t>
  </si>
  <si>
    <t>Jogeshwari (East)</t>
  </si>
  <si>
    <t>Jogeshwari (East)_S1</t>
  </si>
  <si>
    <t>Jogeshwari (East)_E1</t>
  </si>
  <si>
    <t>JOE</t>
  </si>
  <si>
    <t>Jogeshwari (East)_S2</t>
  </si>
  <si>
    <t>Jogeshwari (East)_E2</t>
  </si>
  <si>
    <t>Goregaon (East)</t>
  </si>
  <si>
    <t>Goregaon (East)_S1</t>
  </si>
  <si>
    <t>Goregaon (East)_E1</t>
  </si>
  <si>
    <t>Goregaon (East)_S2</t>
  </si>
  <si>
    <t>Goregaon (East)_E2</t>
  </si>
  <si>
    <t>GOE</t>
  </si>
  <si>
    <t>Aarey</t>
  </si>
  <si>
    <t>Aarey_S1</t>
  </si>
  <si>
    <t>Aarey_E1</t>
  </si>
  <si>
    <t>Aarey_S2</t>
  </si>
  <si>
    <t>Aarey_E2</t>
  </si>
  <si>
    <t>AAR</t>
  </si>
  <si>
    <t>Dindoshi</t>
  </si>
  <si>
    <t>Dindoshi_S1</t>
  </si>
  <si>
    <t>Dindoshi_E1</t>
  </si>
  <si>
    <t>Dindoshi_S2</t>
  </si>
  <si>
    <t>Dindoshi_E2</t>
  </si>
  <si>
    <t>DIN</t>
  </si>
  <si>
    <t>Kurar</t>
  </si>
  <si>
    <t>Kurar_S1</t>
  </si>
  <si>
    <t>Kurar_E1</t>
  </si>
  <si>
    <t>Kurar_S2</t>
  </si>
  <si>
    <t>Kurar_E2</t>
  </si>
  <si>
    <t>KUR</t>
  </si>
  <si>
    <t>Akurli</t>
  </si>
  <si>
    <t>Akurli_S1</t>
  </si>
  <si>
    <t>Akurli_E1</t>
  </si>
  <si>
    <t>Akurli_S2</t>
  </si>
  <si>
    <t>Akurli_E2</t>
  </si>
  <si>
    <t>AKU</t>
  </si>
  <si>
    <t>Poisar</t>
  </si>
  <si>
    <t>Poisar_S1</t>
  </si>
  <si>
    <t>Poisar_E1</t>
  </si>
  <si>
    <t>Poisar_S2</t>
  </si>
  <si>
    <t>Poisar_E2</t>
  </si>
  <si>
    <t>POI</t>
  </si>
  <si>
    <t>Magathane</t>
  </si>
  <si>
    <t>Magathane_S1</t>
  </si>
  <si>
    <t>Magathane_E1</t>
  </si>
  <si>
    <t>Magathane_S2</t>
  </si>
  <si>
    <t>Magathane_E2</t>
  </si>
  <si>
    <t>MAG</t>
  </si>
  <si>
    <t>Devipada</t>
  </si>
  <si>
    <t>Devipada_S1</t>
  </si>
  <si>
    <t>Devipada_E1</t>
  </si>
  <si>
    <t>Devipada_S2</t>
  </si>
  <si>
    <t>Devipada_E2</t>
  </si>
  <si>
    <t>DEV</t>
  </si>
  <si>
    <t>Rashtriya udyan</t>
  </si>
  <si>
    <t>Rashtriya udyan_S1</t>
  </si>
  <si>
    <t>Rashtriya udyan_E1</t>
  </si>
  <si>
    <t>Rashtriya udyan_S2</t>
  </si>
  <si>
    <t>Rashtriya udyan_E2</t>
  </si>
  <si>
    <t>RAU</t>
  </si>
  <si>
    <t>Ovaripada</t>
  </si>
  <si>
    <t>Ovaripada_S1</t>
  </si>
  <si>
    <t>Ovaripada_E1</t>
  </si>
  <si>
    <t>Ovaripada_S2</t>
  </si>
  <si>
    <t>Ovaripada_E2</t>
  </si>
  <si>
    <t>OVA</t>
  </si>
  <si>
    <t>BC_4002</t>
  </si>
  <si>
    <t>BC_2001</t>
  </si>
  <si>
    <t>BC_2003</t>
  </si>
  <si>
    <t>BC_2005</t>
  </si>
  <si>
    <t>BC_4006</t>
  </si>
  <si>
    <t>BC_4011</t>
  </si>
  <si>
    <t>BC_1007</t>
  </si>
  <si>
    <t>BC_1009</t>
  </si>
  <si>
    <t>BC_1013</t>
  </si>
  <si>
    <t>BC_4014</t>
  </si>
  <si>
    <t>BC_2028</t>
  </si>
  <si>
    <t>BC_2030</t>
  </si>
  <si>
    <t>BC_2032</t>
  </si>
  <si>
    <t>BC_2034</t>
  </si>
  <si>
    <t>BC_2036</t>
  </si>
  <si>
    <t>BC_2045</t>
  </si>
  <si>
    <t>BC_2047</t>
  </si>
  <si>
    <t>BC_2039</t>
  </si>
  <si>
    <t>BC_4020</t>
  </si>
  <si>
    <t>BC_1020</t>
  </si>
  <si>
    <t>BC_1022</t>
  </si>
  <si>
    <t>BC_5000</t>
  </si>
  <si>
    <t>BC_4039</t>
  </si>
  <si>
    <t>BC_4043</t>
  </si>
  <si>
    <t>BC_4510</t>
  </si>
  <si>
    <t>BC_5007</t>
  </si>
  <si>
    <t>BC_5020</t>
  </si>
  <si>
    <t>BC_4016</t>
  </si>
  <si>
    <t>BC_4046</t>
  </si>
  <si>
    <t>BC_5022</t>
  </si>
  <si>
    <t>BC_5026</t>
  </si>
  <si>
    <t>BC_1089</t>
  </si>
  <si>
    <t>BC_4132</t>
  </si>
  <si>
    <t>BC_2115</t>
  </si>
  <si>
    <t>BC_2117</t>
  </si>
  <si>
    <t>BC_2119</t>
  </si>
  <si>
    <t>BC_2121</t>
  </si>
  <si>
    <t>BC_4134</t>
  </si>
  <si>
    <t>BC_2124</t>
  </si>
  <si>
    <t>BC_2126</t>
  </si>
  <si>
    <t>BC_2128</t>
  </si>
  <si>
    <t>BC_2130</t>
  </si>
  <si>
    <t>BC_1090</t>
  </si>
  <si>
    <t>BC_4136</t>
  </si>
  <si>
    <t>BC_1092</t>
  </si>
  <si>
    <t>BC_1094</t>
  </si>
  <si>
    <t>BC_5038</t>
  </si>
  <si>
    <t>BC_5042</t>
  </si>
  <si>
    <t>BC_5043</t>
  </si>
  <si>
    <t>BC_5045</t>
  </si>
  <si>
    <t>BC_5048</t>
  </si>
  <si>
    <t>BC_5051</t>
  </si>
  <si>
    <t>BC_1105</t>
  </si>
  <si>
    <t>BC_1107</t>
  </si>
  <si>
    <t>BC_4145</t>
  </si>
  <si>
    <t>BC_2153</t>
  </si>
  <si>
    <t>BC_2155</t>
  </si>
  <si>
    <t>BC_2157</t>
  </si>
  <si>
    <t>BC_2160</t>
  </si>
  <si>
    <t>BC_4147</t>
  </si>
  <si>
    <t>BC_2162</t>
  </si>
  <si>
    <t>BC_2164</t>
  </si>
  <si>
    <t>BC_2167</t>
  </si>
  <si>
    <t>BC_2169</t>
  </si>
  <si>
    <t>BC_4150</t>
  </si>
  <si>
    <t>BC_1114</t>
  </si>
  <si>
    <t>BC_1116</t>
  </si>
  <si>
    <t>BC_5058</t>
  </si>
  <si>
    <t>BC_5060</t>
  </si>
  <si>
    <t>BC_5064</t>
  </si>
  <si>
    <t>BC_1122</t>
  </si>
  <si>
    <t>BC_1124</t>
  </si>
  <si>
    <t>BC_4158</t>
  </si>
  <si>
    <t>BC_2190</t>
  </si>
  <si>
    <t>BC_2192</t>
  </si>
  <si>
    <t>BC_2194</t>
  </si>
  <si>
    <t>BC_2196</t>
  </si>
  <si>
    <t>BC_4161</t>
  </si>
  <si>
    <t>BC_2198</t>
  </si>
  <si>
    <t>BC_2200</t>
  </si>
  <si>
    <t>BC_2202</t>
  </si>
  <si>
    <t>BC_2204</t>
  </si>
  <si>
    <t>BC_4163</t>
  </si>
  <si>
    <t>BC_1131</t>
  </si>
  <si>
    <t>BC_1133</t>
  </si>
  <si>
    <t>BC_5071</t>
  </si>
  <si>
    <t>BC_5073</t>
  </si>
  <si>
    <t>BC_5077</t>
  </si>
  <si>
    <t>BC_5082</t>
  </si>
  <si>
    <t>BC_5088</t>
  </si>
  <si>
    <t>BC_4515</t>
  </si>
  <si>
    <t>BC_4178</t>
  </si>
  <si>
    <t>BC_4181</t>
  </si>
  <si>
    <t>BC_4184</t>
  </si>
  <si>
    <t>BC_5090</t>
  </si>
  <si>
    <t>BC_1148</t>
  </si>
  <si>
    <t>BC_1149</t>
  </si>
  <si>
    <t>BC_4187</t>
  </si>
  <si>
    <t>BC_2250</t>
  </si>
  <si>
    <t>BC_2253</t>
  </si>
  <si>
    <t>BC_2255</t>
  </si>
  <si>
    <t>BC_2257</t>
  </si>
  <si>
    <t>BC_4189</t>
  </si>
  <si>
    <t>BC_2259</t>
  </si>
  <si>
    <t>BC_2261</t>
  </si>
  <si>
    <t>BC_2263</t>
  </si>
  <si>
    <t>BC_2265</t>
  </si>
  <si>
    <t>BC_4191</t>
  </si>
  <si>
    <t>BC_1158</t>
  </si>
  <si>
    <t>BC_1160</t>
  </si>
  <si>
    <t>BC_5097</t>
  </si>
  <si>
    <t>BC_4197</t>
  </si>
  <si>
    <t>BC_4201</t>
  </si>
  <si>
    <t>BC_4205</t>
  </si>
  <si>
    <t>BC_4517</t>
  </si>
  <si>
    <t>BC_5098</t>
  </si>
  <si>
    <t>BC_5105</t>
  </si>
  <si>
    <t>BC_1166</t>
  </si>
  <si>
    <t>BC_1168</t>
  </si>
  <si>
    <t>BC_4207</t>
  </si>
  <si>
    <t>BC_2288</t>
  </si>
  <si>
    <t>BC_2291</t>
  </si>
  <si>
    <t>BC_2293</t>
  </si>
  <si>
    <t>BC_2296</t>
  </si>
  <si>
    <t>BC_4210</t>
  </si>
  <si>
    <t>BC_2298</t>
  </si>
  <si>
    <t>BC_2301</t>
  </si>
  <si>
    <t>BC_2303</t>
  </si>
  <si>
    <t>BC_2306</t>
  </si>
  <si>
    <t>BC_4213</t>
  </si>
  <si>
    <t>BC_1174</t>
  </si>
  <si>
    <t>BC_1176</t>
  </si>
  <si>
    <t>BC_5114</t>
  </si>
  <si>
    <t>BC_5118</t>
  </si>
  <si>
    <t>BC_1184</t>
  </si>
  <si>
    <t>BC_1186</t>
  </si>
  <si>
    <t>BC_4228</t>
  </si>
  <si>
    <t>BC_4232</t>
  </si>
  <si>
    <t>BC_4235</t>
  </si>
  <si>
    <t>BC_4248</t>
  </si>
  <si>
    <t>BC_4252</t>
  </si>
  <si>
    <t>BC_4256</t>
  </si>
  <si>
    <t>BC_4263</t>
  </si>
  <si>
    <t>BC_4266</t>
  </si>
  <si>
    <t>BC_4269</t>
  </si>
  <si>
    <t>BC_2000</t>
  </si>
  <si>
    <t>BC_2002</t>
  </si>
  <si>
    <t>BC_2004</t>
  </si>
  <si>
    <t>BC_2029</t>
  </si>
  <si>
    <t>BC_2031</t>
  </si>
  <si>
    <t>BC_2033</t>
  </si>
  <si>
    <t>BC_2037</t>
  </si>
  <si>
    <t>BC_2329</t>
  </si>
  <si>
    <t>BC_2331</t>
  </si>
  <si>
    <t>BC_2334</t>
  </si>
  <si>
    <t>BC_2337</t>
  </si>
  <si>
    <t>BC_2341</t>
  </si>
  <si>
    <t>BC_2343</t>
  </si>
  <si>
    <t>BC_2345</t>
  </si>
  <si>
    <t>BC_2347</t>
  </si>
  <si>
    <t>BC_1193</t>
  </si>
  <si>
    <t>BC_1195</t>
  </si>
  <si>
    <t>BC_5123</t>
  </si>
  <si>
    <t>BC_5126</t>
  </si>
  <si>
    <t>BC_5136</t>
  </si>
  <si>
    <t>BC_5142</t>
  </si>
  <si>
    <t>BC_1202</t>
  </si>
  <si>
    <t>BC_1205</t>
  </si>
  <si>
    <t>BC_2377</t>
  </si>
  <si>
    <t>BC_2379</t>
  </si>
  <si>
    <t>BC_2381</t>
  </si>
  <si>
    <t>BC_2384</t>
  </si>
  <si>
    <t>BC_2386</t>
  </si>
  <si>
    <t>BC_2388</t>
  </si>
  <si>
    <t>BC_2390</t>
  </si>
  <si>
    <t>BC_2394</t>
  </si>
  <si>
    <t>BC_1212</t>
  </si>
  <si>
    <t>BC_1216</t>
  </si>
  <si>
    <t>BC_5153</t>
  </si>
  <si>
    <t>BC_5155</t>
  </si>
  <si>
    <t>BC_1222</t>
  </si>
  <si>
    <t>BC_1224</t>
  </si>
  <si>
    <t>BC_2416</t>
  </si>
  <si>
    <t>BC_2418</t>
  </si>
  <si>
    <t>BC_2420</t>
  </si>
  <si>
    <t>BC_2422</t>
  </si>
  <si>
    <t>BC_2424</t>
  </si>
  <si>
    <t>BC_2426</t>
  </si>
  <si>
    <t>BC_2428</t>
  </si>
  <si>
    <t>BC_2434</t>
  </si>
  <si>
    <t>BC_1226</t>
  </si>
  <si>
    <t>BC_1228</t>
  </si>
  <si>
    <t>BC_5186</t>
  </si>
  <si>
    <t>BC_5190</t>
  </si>
  <si>
    <t>BC_5192</t>
  </si>
  <si>
    <t>BC_5195</t>
  </si>
  <si>
    <t>BC_5199</t>
  </si>
  <si>
    <t>BC_5204</t>
  </si>
  <si>
    <t>BC_1240</t>
  </si>
  <si>
    <t>BC_1244</t>
  </si>
  <si>
    <t>BC_4277</t>
  </si>
  <si>
    <t>BC_2453</t>
  </si>
  <si>
    <t>BC_2455</t>
  </si>
  <si>
    <t>BC_2457</t>
  </si>
  <si>
    <t>BC_4279</t>
  </si>
  <si>
    <t>BC_2461</t>
  </si>
  <si>
    <t>BC_2464</t>
  </si>
  <si>
    <t>BC_2466</t>
  </si>
  <si>
    <t>BC_2468</t>
  </si>
  <si>
    <t>BC_2459</t>
  </si>
  <si>
    <t>BC_4281</t>
  </si>
  <si>
    <t>BC_1247</t>
  </si>
  <si>
    <t>BC_1250</t>
  </si>
  <si>
    <t>BC_5212</t>
  </si>
  <si>
    <t>BC_5214</t>
  </si>
  <si>
    <t>BC_1257</t>
  </si>
  <si>
    <t>BC_1259</t>
  </si>
  <si>
    <t>BC_4289</t>
  </si>
  <si>
    <t>BC_2489</t>
  </si>
  <si>
    <t>BC_2492</t>
  </si>
  <si>
    <t>BC_2494</t>
  </si>
  <si>
    <t>BC_2496</t>
  </si>
  <si>
    <t>BC_4291</t>
  </si>
  <si>
    <t>BC_2498</t>
  </si>
  <si>
    <t>BC_2501</t>
  </si>
  <si>
    <t>BC_2504</t>
  </si>
  <si>
    <t>BC_2506</t>
  </si>
  <si>
    <t>BC_4293</t>
  </si>
  <si>
    <t>BC_1266</t>
  </si>
  <si>
    <t>BC_1268</t>
  </si>
  <si>
    <t>BC_5222</t>
  </si>
  <si>
    <t>BC_5231</t>
  </si>
  <si>
    <t>BC_5232</t>
  </si>
  <si>
    <t>BC_5235</t>
  </si>
  <si>
    <t>BC_1277</t>
  </si>
  <si>
    <t>BC_1279</t>
  </si>
  <si>
    <t>BC_4301</t>
  </si>
  <si>
    <t>BC_2525</t>
  </si>
  <si>
    <t>BC_2527</t>
  </si>
  <si>
    <t>BC_2529</t>
  </si>
  <si>
    <t>BC_2531</t>
  </si>
  <si>
    <t>BC_4303</t>
  </si>
  <si>
    <t>BC_2533</t>
  </si>
  <si>
    <t>BC_2535</t>
  </si>
  <si>
    <t>BC_2537</t>
  </si>
  <si>
    <t>BC_2541</t>
  </si>
  <si>
    <t>BC_4306</t>
  </si>
  <si>
    <t>BC_1285</t>
  </si>
  <si>
    <t>BC_1287</t>
  </si>
  <si>
    <t>BC_5240</t>
  </si>
  <si>
    <t>BC_5245</t>
  </si>
  <si>
    <t>BC_5248</t>
  </si>
  <si>
    <t>BC_1296</t>
  </si>
  <si>
    <t>BC_1298</t>
  </si>
  <si>
    <t>BC_4317</t>
  </si>
  <si>
    <t>BC_2560</t>
  </si>
  <si>
    <t>BC_2565</t>
  </si>
  <si>
    <t>BC_2569</t>
  </si>
  <si>
    <t>BC_2571</t>
  </si>
  <si>
    <t>BC_4319</t>
  </si>
  <si>
    <t>BC_2575</t>
  </si>
  <si>
    <t>BC_2577</t>
  </si>
  <si>
    <t>BC_2579</t>
  </si>
  <si>
    <t>BC_2581</t>
  </si>
  <si>
    <t>BC_4321</t>
  </si>
  <si>
    <t>BC_1304</t>
  </si>
  <si>
    <t>BC_1306</t>
  </si>
  <si>
    <t>BC_1308</t>
  </si>
  <si>
    <t>BC_4323</t>
  </si>
  <si>
    <t>BC_4327</t>
  </si>
  <si>
    <t>BC_4330</t>
  </si>
  <si>
    <t>BC_4333</t>
  </si>
  <si>
    <t>BC_4530</t>
  </si>
  <si>
    <t>BC_1000</t>
  </si>
  <si>
    <t>BC_4001</t>
  </si>
  <si>
    <t>BC_4004</t>
  </si>
  <si>
    <t>BC_4010</t>
  </si>
  <si>
    <t>BC_1006</t>
  </si>
  <si>
    <t>BC_1008</t>
  </si>
  <si>
    <t>BC_1010</t>
  </si>
  <si>
    <t>BC_4015</t>
  </si>
  <si>
    <t>BC_2035</t>
  </si>
  <si>
    <t>BC_4017</t>
  </si>
  <si>
    <t>BC_2040</t>
  </si>
  <si>
    <t>BC_2046</t>
  </si>
  <si>
    <t>BC_2054</t>
  </si>
  <si>
    <t>BC_4021</t>
  </si>
  <si>
    <t>BC_1021</t>
  </si>
  <si>
    <t>BC_1023</t>
  </si>
  <si>
    <t>BC_5003</t>
  </si>
  <si>
    <t>BC_4041</t>
  </si>
  <si>
    <t>BC_4047</t>
  </si>
  <si>
    <t>BC_4049</t>
  </si>
  <si>
    <t>BC_4511</t>
  </si>
  <si>
    <t>BC_5011</t>
  </si>
  <si>
    <t>BC_5021</t>
  </si>
  <si>
    <t>BC_5025</t>
  </si>
  <si>
    <t>BC_1086</t>
  </si>
  <si>
    <t>BC_1087</t>
  </si>
  <si>
    <t>BC_5029</t>
  </si>
  <si>
    <t>BC_4513</t>
  </si>
  <si>
    <t>BC_4133</t>
  </si>
  <si>
    <t>BC_2116</t>
  </si>
  <si>
    <t>BC_2118</t>
  </si>
  <si>
    <t>BC_2120</t>
  </si>
  <si>
    <t>BC_2122</t>
  </si>
  <si>
    <t>BC_4135</t>
  </si>
  <si>
    <t>BC_2125</t>
  </si>
  <si>
    <t>BC_2127</t>
  </si>
  <si>
    <t>BC_2129</t>
  </si>
  <si>
    <t>BC_2131</t>
  </si>
  <si>
    <t>BC_4137</t>
  </si>
  <si>
    <t>BC_1091</t>
  </si>
  <si>
    <t>BC_1093</t>
  </si>
  <si>
    <t>BC_5036</t>
  </si>
  <si>
    <t>BC_5041</t>
  </si>
  <si>
    <t>BC_5044</t>
  </si>
  <si>
    <t>BC_5046</t>
  </si>
  <si>
    <t>BC_5047</t>
  </si>
  <si>
    <t>BC_5052</t>
  </si>
  <si>
    <t>BC_1104</t>
  </si>
  <si>
    <t>BC_1106</t>
  </si>
  <si>
    <t>BC_4144</t>
  </si>
  <si>
    <t>BC_2152</t>
  </si>
  <si>
    <t>BC_2154</t>
  </si>
  <si>
    <t>BC_2156</t>
  </si>
  <si>
    <t>BC_2159</t>
  </si>
  <si>
    <t>BC_4146</t>
  </si>
  <si>
    <t>BC_2161</t>
  </si>
  <si>
    <t>BC_2163</t>
  </si>
  <si>
    <t>BC_2166</t>
  </si>
  <si>
    <t>BC_2168</t>
  </si>
  <si>
    <t>BC_4148</t>
  </si>
  <si>
    <t>BC_1113</t>
  </si>
  <si>
    <t>BC_1115</t>
  </si>
  <si>
    <t>BC_5057</t>
  </si>
  <si>
    <t>BC_5059</t>
  </si>
  <si>
    <t>BC_5066</t>
  </si>
  <si>
    <t>BC_1123</t>
  </si>
  <si>
    <t>BC_1125</t>
  </si>
  <si>
    <t>BC_4159</t>
  </si>
  <si>
    <t>BC_2191</t>
  </si>
  <si>
    <t>BC_2193</t>
  </si>
  <si>
    <t>BC_2195</t>
  </si>
  <si>
    <t>BC_2197</t>
  </si>
  <si>
    <t>BC_4162</t>
  </si>
  <si>
    <t>BC_2199</t>
  </si>
  <si>
    <t>BC_2201</t>
  </si>
  <si>
    <t>BC_2203</t>
  </si>
  <si>
    <t>BC_2205</t>
  </si>
  <si>
    <t>BC_4164</t>
  </si>
  <si>
    <t>BC_1132</t>
  </si>
  <si>
    <t>BC_1134</t>
  </si>
  <si>
    <t>BC_5072</t>
  </si>
  <si>
    <t>BC_5074</t>
  </si>
  <si>
    <t>BC_5078</t>
  </si>
  <si>
    <t>BC_5084</t>
  </si>
  <si>
    <t>BC_5089</t>
  </si>
  <si>
    <t>BC_4514</t>
  </si>
  <si>
    <t>BC_4177</t>
  </si>
  <si>
    <t>BC_4180</t>
  </si>
  <si>
    <t>BC_2245</t>
  </si>
  <si>
    <t>BC_2246</t>
  </si>
  <si>
    <t>BC_4185</t>
  </si>
  <si>
    <t>BC_2247</t>
  </si>
  <si>
    <t>BC_4186</t>
  </si>
  <si>
    <t>BC_1150</t>
  </si>
  <si>
    <t>BC_1151</t>
  </si>
  <si>
    <t>BC_4188</t>
  </si>
  <si>
    <t>BC_2252</t>
  </si>
  <si>
    <t>BC_2254</t>
  </si>
  <si>
    <t>BC_2256</t>
  </si>
  <si>
    <t>BC_2258</t>
  </si>
  <si>
    <t>BC_4190</t>
  </si>
  <si>
    <t>BC_2260</t>
  </si>
  <si>
    <t>BC_2262</t>
  </si>
  <si>
    <t>BC_2264</t>
  </si>
  <si>
    <t>BC_2266</t>
  </si>
  <si>
    <t>BC_1152</t>
  </si>
  <si>
    <t>BC_1154</t>
  </si>
  <si>
    <t>BC_4516</t>
  </si>
  <si>
    <t>BC_4194</t>
  </si>
  <si>
    <t>BC_2271</t>
  </si>
  <si>
    <t>BC_4198</t>
  </si>
  <si>
    <t>BC_2276</t>
  </si>
  <si>
    <t>BC_2287</t>
  </si>
  <si>
    <t>BC_4203</t>
  </si>
  <si>
    <t>BC_4206</t>
  </si>
  <si>
    <t>BC_4518</t>
  </si>
  <si>
    <t>BC_5102</t>
  </si>
  <si>
    <t>BC_5104</t>
  </si>
  <si>
    <t>BC_1165</t>
  </si>
  <si>
    <t>BC_1167</t>
  </si>
  <si>
    <t>BC_4209</t>
  </si>
  <si>
    <t>BC_2290</t>
  </si>
  <si>
    <t>BC_2292</t>
  </si>
  <si>
    <t>BC_2294</t>
  </si>
  <si>
    <t>BC_2297</t>
  </si>
  <si>
    <t>BC_4211</t>
  </si>
  <si>
    <t>BC_2299</t>
  </si>
  <si>
    <t>BC_2302</t>
  </si>
  <si>
    <t>BC_2304</t>
  </si>
  <si>
    <t>BC_2308</t>
  </si>
  <si>
    <t>BC_4216</t>
  </si>
  <si>
    <t>BC_1175</t>
  </si>
  <si>
    <t>BC_1177</t>
  </si>
  <si>
    <t>BC_5116</t>
  </si>
  <si>
    <t>BC_5117</t>
  </si>
  <si>
    <t>BC_1183</t>
  </si>
  <si>
    <t>BC_1185</t>
  </si>
  <si>
    <t>BC_4229</t>
  </si>
  <si>
    <t>BC_2330</t>
  </si>
  <si>
    <t>BC_2332</t>
  </si>
  <si>
    <t>BC_2336</t>
  </si>
  <si>
    <t>BC_2339</t>
  </si>
  <si>
    <t>BC_4234</t>
  </si>
  <si>
    <t>BC_2342</t>
  </si>
  <si>
    <t>BC_2344</t>
  </si>
  <si>
    <t>BC_2346</t>
  </si>
  <si>
    <t>BC_2348</t>
  </si>
  <si>
    <t>BC_4236</t>
  </si>
  <si>
    <t>BC_1194</t>
  </si>
  <si>
    <t>BC_1196</t>
  </si>
  <si>
    <t>BC_5124</t>
  </si>
  <si>
    <t>BC_5127</t>
  </si>
  <si>
    <t>BC_5141</t>
  </si>
  <si>
    <t>BC_5144</t>
  </si>
  <si>
    <t>BC_1203</t>
  </si>
  <si>
    <t>BC_1206</t>
  </si>
  <si>
    <t>BC_4249</t>
  </si>
  <si>
    <t>BC_2378</t>
  </si>
  <si>
    <t>BC_2380</t>
  </si>
  <si>
    <t>BC_2382</t>
  </si>
  <si>
    <t>BC_2385</t>
  </si>
  <si>
    <t>BC_4254</t>
  </si>
  <si>
    <t>BC_2387</t>
  </si>
  <si>
    <t>BC_2389</t>
  </si>
  <si>
    <t>BC_2391</t>
  </si>
  <si>
    <t>BC_2396</t>
  </si>
  <si>
    <t>BC_4257</t>
  </si>
  <si>
    <t>BC_1211</t>
  </si>
  <si>
    <t>BC_1213</t>
  </si>
  <si>
    <t>BC_5147</t>
  </si>
  <si>
    <t>BC_5154</t>
  </si>
  <si>
    <t>BC_1221</t>
  </si>
  <si>
    <t>BC_1223</t>
  </si>
  <si>
    <t>BC_4262</t>
  </si>
  <si>
    <t>BC_2415</t>
  </si>
  <si>
    <t>BC_2417</t>
  </si>
  <si>
    <t>BC_2419</t>
  </si>
  <si>
    <t>BC_2421</t>
  </si>
  <si>
    <t>BC_4264</t>
  </si>
  <si>
    <t>BC_2423</t>
  </si>
  <si>
    <t>BC_2425</t>
  </si>
  <si>
    <t>BC_2427</t>
  </si>
  <si>
    <t>BC_2429</t>
  </si>
  <si>
    <t>BC_4267</t>
  </si>
  <si>
    <t>BC_1225</t>
  </si>
  <si>
    <t>BC_1227</t>
  </si>
  <si>
    <t>BC_5187</t>
  </si>
  <si>
    <t>BC_5191</t>
  </si>
  <si>
    <t>BC_5194</t>
  </si>
  <si>
    <t>BC_5196</t>
  </si>
  <si>
    <t>BC_5200</t>
  </si>
  <si>
    <t>BC_5203</t>
  </si>
  <si>
    <t>BC_1242</t>
  </si>
  <si>
    <t>BC_1245</t>
  </si>
  <si>
    <t>BC_4278</t>
  </si>
  <si>
    <t>BC_2454</t>
  </si>
  <si>
    <t>BC_2458</t>
  </si>
  <si>
    <t>BC_2456</t>
  </si>
  <si>
    <t>BC_2460</t>
  </si>
  <si>
    <t>BC_4280</t>
  </si>
  <si>
    <t>BC_2463</t>
  </si>
  <si>
    <t>BC_2465</t>
  </si>
  <si>
    <t>BC_2467</t>
  </si>
  <si>
    <t>BC_2469</t>
  </si>
  <si>
    <t>BC_4282</t>
  </si>
  <si>
    <t>BC_1249</t>
  </si>
  <si>
    <t>BC_1251</t>
  </si>
  <si>
    <t>BC_5213</t>
  </si>
  <si>
    <t>BC_5215</t>
  </si>
  <si>
    <t>BC_1258</t>
  </si>
  <si>
    <t>BC_1260</t>
  </si>
  <si>
    <t>BC_4290</t>
  </si>
  <si>
    <t>BC_2490</t>
  </si>
  <si>
    <t>BC_2493</t>
  </si>
  <si>
    <t>BC_2495</t>
  </si>
  <si>
    <t>BC_2497</t>
  </si>
  <si>
    <t>BC_4292</t>
  </si>
  <si>
    <t>BC_2500</t>
  </si>
  <si>
    <t>BC_2503</t>
  </si>
  <si>
    <t>BC_2505</t>
  </si>
  <si>
    <t>BC_2507</t>
  </si>
  <si>
    <t>BC_4294</t>
  </si>
  <si>
    <t>BC_1267</t>
  </si>
  <si>
    <t>BC_1269</t>
  </si>
  <si>
    <t>BC_5223</t>
  </si>
  <si>
    <t>BC_5228</t>
  </si>
  <si>
    <t>BC_5233</t>
  </si>
  <si>
    <t>BC_5234</t>
  </si>
  <si>
    <t>BC_1276</t>
  </si>
  <si>
    <t>BC_1278</t>
  </si>
  <si>
    <t>BC_4302</t>
  </si>
  <si>
    <t>BC_2526</t>
  </si>
  <si>
    <t>BC_2528</t>
  </si>
  <si>
    <t>BC_2530</t>
  </si>
  <si>
    <t>BC_2532</t>
  </si>
  <si>
    <t>BC_4305</t>
  </si>
  <si>
    <t>BC_2534</t>
  </si>
  <si>
    <t>BC_2536</t>
  </si>
  <si>
    <t>BC_2539</t>
  </si>
  <si>
    <t>BC_2542</t>
  </si>
  <si>
    <t>BC_4307</t>
  </si>
  <si>
    <t>BC_1286</t>
  </si>
  <si>
    <t>BC_1288</t>
  </si>
  <si>
    <t>BC_5241</t>
  </si>
  <si>
    <t>BC_5246</t>
  </si>
  <si>
    <t>BC_5247</t>
  </si>
  <si>
    <t>BC_1295</t>
  </si>
  <si>
    <t>BC_1297</t>
  </si>
  <si>
    <t>BC_4318</t>
  </si>
  <si>
    <t>BC_2561</t>
  </si>
  <si>
    <t>BC_2567</t>
  </si>
  <si>
    <t>BC_2570</t>
  </si>
  <si>
    <t>BC_2572</t>
  </si>
  <si>
    <t>BC_4320</t>
  </si>
  <si>
    <t>BC_2576</t>
  </si>
  <si>
    <t>BC_2578</t>
  </si>
  <si>
    <t>BC_2580</t>
  </si>
  <si>
    <t>BC_2582</t>
  </si>
  <si>
    <t>BC_4322</t>
  </si>
  <si>
    <t>BC_1305</t>
  </si>
  <si>
    <t>BC_1307</t>
  </si>
  <si>
    <t>BC_1309</t>
  </si>
  <si>
    <t>BC_4525</t>
  </si>
  <si>
    <t>BC_4325</t>
  </si>
  <si>
    <t>BC_2583</t>
  </si>
  <si>
    <t>BC_2584</t>
  </si>
  <si>
    <t>BC_2585</t>
  </si>
  <si>
    <t>BC_2586</t>
  </si>
  <si>
    <t>BC_2588</t>
  </si>
  <si>
    <t>BC_4335</t>
  </si>
  <si>
    <t>BC_2589</t>
  </si>
  <si>
    <t>BC_4003</t>
  </si>
  <si>
    <t>BC_4329</t>
  </si>
  <si>
    <t>Speed_Marker_</t>
  </si>
  <si>
    <t>Main_Line_Signal_Long</t>
  </si>
  <si>
    <t>Buffer_Stop</t>
  </si>
  <si>
    <t>CBTC Beacon</t>
  </si>
  <si>
    <t>`</t>
  </si>
  <si>
    <t>SSP_7T4301_8_UP</t>
  </si>
  <si>
    <t>SSP_7T4301_6_UP</t>
  </si>
  <si>
    <t>SSP_7T4301_6_DN</t>
  </si>
  <si>
    <t>SSP_7T4301_8_DN</t>
  </si>
  <si>
    <t>Platform Feature ID</t>
  </si>
  <si>
    <t>CSDE Code</t>
  </si>
  <si>
    <t>Stopping Point</t>
  </si>
  <si>
    <t>MMRBEM_Features_Track</t>
  </si>
  <si>
    <t>CONVEX_POLYGON</t>
  </si>
  <si>
    <t>SSP_7T3101_8_UP</t>
  </si>
  <si>
    <t>SSP_7T3101_6_UP</t>
  </si>
  <si>
    <t>SSP_7T3102_8_UP</t>
  </si>
  <si>
    <t>SSP_7T3102_6_UP</t>
  </si>
  <si>
    <t>SSP_7T3107_8_UP</t>
  </si>
  <si>
    <t>SSP_7T3107_6_UP</t>
  </si>
  <si>
    <t>SSP_7T3107_6_DN</t>
  </si>
  <si>
    <t>SSP_7T3107_8_DN</t>
  </si>
  <si>
    <t>SSP_7T3108_6_UP</t>
  </si>
  <si>
    <t>SSP_7T3108_6_DN</t>
  </si>
  <si>
    <t>SSP_7T3108_8_UP</t>
  </si>
  <si>
    <t>SSP_7T3108_8_DN</t>
  </si>
  <si>
    <t>SSP_7T3201_8_UP</t>
  </si>
  <si>
    <t>SSP_7T3201_6_UP</t>
  </si>
  <si>
    <t>SSP_7T3201_6_DN</t>
  </si>
  <si>
    <t>SSP_7T3201_8_DN</t>
  </si>
  <si>
    <t>SSP_7T3202_8_UP</t>
  </si>
  <si>
    <t>SSP_7T3202_6_UP</t>
  </si>
  <si>
    <t>SSP_7T3202_6_DN</t>
  </si>
  <si>
    <t>SSP_7T3202_8_DN</t>
  </si>
  <si>
    <t>SSP_7T3301_8_UP</t>
  </si>
  <si>
    <t>SSP_7T3301_6_UP</t>
  </si>
  <si>
    <t>SSP_7T3301_6_DN</t>
  </si>
  <si>
    <t>SSP_7T3301_8_DN</t>
  </si>
  <si>
    <t>SSP_7T3302_8_UP</t>
  </si>
  <si>
    <t>SSP_7T3302_6_UP</t>
  </si>
  <si>
    <t>SSP_7T3302_6_DN</t>
  </si>
  <si>
    <t>SSP_7T3302_8_DN</t>
  </si>
  <si>
    <t>SSP_7T3403_8_UP</t>
  </si>
  <si>
    <t>SSP_7T3403_6_UP</t>
  </si>
  <si>
    <t>SSP_7T3403_6_DN</t>
  </si>
  <si>
    <t>SSP_7T3403_8_DN</t>
  </si>
  <si>
    <t>SSP_7T3404_8_UP</t>
  </si>
  <si>
    <t>SSP_7T3404_6_UP</t>
  </si>
  <si>
    <t>SSP_7T3404_6_DN</t>
  </si>
  <si>
    <t>SSP_7T3404_8_DN</t>
  </si>
  <si>
    <t>SSP_7T3406_8_UP</t>
  </si>
  <si>
    <t>SSP_7T3406_6_UP</t>
  </si>
  <si>
    <t>SSP_7T3505_8_UP</t>
  </si>
  <si>
    <t>SSP_7T3505_6_UP</t>
  </si>
  <si>
    <t>SSP_7T3505_6_DN</t>
  </si>
  <si>
    <t>SSP_7T3505_8_DN</t>
  </si>
  <si>
    <t>SSP_7T3506_8_UP</t>
  </si>
  <si>
    <t>SSP_7T3506_6_UP</t>
  </si>
  <si>
    <t>SSP_7T3506_6_DN</t>
  </si>
  <si>
    <t>SSP_7T3506_8_DN</t>
  </si>
  <si>
    <t>SSP_7T3512_6_DN</t>
  </si>
  <si>
    <t>SSP_7T3512_8_DN</t>
  </si>
  <si>
    <t>SSP_7T3601_8_UP</t>
  </si>
  <si>
    <t>SSP_7T3601_6_UP</t>
  </si>
  <si>
    <t>SSP_7T3601_6_DN</t>
  </si>
  <si>
    <t>SSP_7T3601_8_DN</t>
  </si>
  <si>
    <t>SSP_7T3602_8_UP</t>
  </si>
  <si>
    <t>SSP_7T3602_6_UP</t>
  </si>
  <si>
    <t>SSP_7T3602_6_DN</t>
  </si>
  <si>
    <t>SSP_7T3602_8_DN</t>
  </si>
  <si>
    <t>SSP_7T3701_8_UP</t>
  </si>
  <si>
    <t>SSP_7T3701_6_UP</t>
  </si>
  <si>
    <t>SSP_7T3701_6_DN</t>
  </si>
  <si>
    <t>SSP_7T3701_8_DN</t>
  </si>
  <si>
    <t>SSP_7T3702_8_UP</t>
  </si>
  <si>
    <t>SSP_7T3702_6_UP</t>
  </si>
  <si>
    <t>SSP_7T3702_6_DN</t>
  </si>
  <si>
    <t>SSP_7T3702_8_DN</t>
  </si>
  <si>
    <t>SSP_7T3803_8_UP</t>
  </si>
  <si>
    <t>SSP_7T3803_6_UP</t>
  </si>
  <si>
    <t>SSP_7T3803_6_DN</t>
  </si>
  <si>
    <t>SSP_7T3803_8_DN</t>
  </si>
  <si>
    <t>SSP_7T3804_8_UP</t>
  </si>
  <si>
    <t>SSP_7T3804_6_UP</t>
  </si>
  <si>
    <t>SSP_7T3804_6_DN</t>
  </si>
  <si>
    <t>SSP_7T3804_8_DN</t>
  </si>
  <si>
    <t>SSP_7T3901_8_UP</t>
  </si>
  <si>
    <t>SSP_7T3901_6_UP</t>
  </si>
  <si>
    <t>SSP_7T3901_6_DN</t>
  </si>
  <si>
    <t>SSP_7T3901_8_DN</t>
  </si>
  <si>
    <t>SSP_7T3902_8_UP</t>
  </si>
  <si>
    <t>SSP_7T3902_6_UP</t>
  </si>
  <si>
    <t>SSP_7T3902_6_DN</t>
  </si>
  <si>
    <t>SSP_7T3902_8_DN</t>
  </si>
  <si>
    <t>SSP_7T4001_8_UP</t>
  </si>
  <si>
    <t>SSP_7T4001_6_UP</t>
  </si>
  <si>
    <t>SSP_7T4001_6_DN</t>
  </si>
  <si>
    <t>SSP_7T4001_8_DN</t>
  </si>
  <si>
    <t>SSP_7T4002_8_UP</t>
  </si>
  <si>
    <t>SSP_7T4002_6_UP</t>
  </si>
  <si>
    <t>SSP_7T4002_6_DN</t>
  </si>
  <si>
    <t>SSP_7T4002_8_DN</t>
  </si>
  <si>
    <t>SSP_7T4101_8_UP</t>
  </si>
  <si>
    <t>SSP_7T4101_6_UP</t>
  </si>
  <si>
    <t>SSP_7T4101_6_DN</t>
  </si>
  <si>
    <t>SSP_7T4101_8_DN</t>
  </si>
  <si>
    <t>SSP_7T4102_8_UP</t>
  </si>
  <si>
    <t>SSP_7T4102_6_UP</t>
  </si>
  <si>
    <t>SSP_7T4102_6_DN</t>
  </si>
  <si>
    <t>SSP_7T4102_8_DN</t>
  </si>
  <si>
    <t>SSP_7T4203_8_UP</t>
  </si>
  <si>
    <t>SSP_7T4203_6_UP</t>
  </si>
  <si>
    <t>SSP_7T4203_6_DN</t>
  </si>
  <si>
    <t>SSP_7T4203_8_DN</t>
  </si>
  <si>
    <t>SSP_7T4204_8_UP</t>
  </si>
  <si>
    <t>SSP_7T4204_6_UP</t>
  </si>
  <si>
    <t>SSP_7T4204_6_DN</t>
  </si>
  <si>
    <t>SSP_7T4204_8_DN</t>
  </si>
  <si>
    <t>ID_72000</t>
  </si>
  <si>
    <t>ID_73000</t>
  </si>
  <si>
    <t>ID_74000</t>
  </si>
  <si>
    <t>BC_1002</t>
  </si>
  <si>
    <t>BC_1001</t>
  </si>
  <si>
    <t>BC_4500</t>
  </si>
  <si>
    <t>30 Sec</t>
  </si>
  <si>
    <t>Platform Screen Doors</t>
  </si>
  <si>
    <t>Platform Content Name</t>
  </si>
  <si>
    <t>Route_Indicator</t>
  </si>
  <si>
    <t>Speed_Restriction_Marker_Board</t>
  </si>
  <si>
    <t>50 km/h</t>
  </si>
  <si>
    <t>70 km/h</t>
  </si>
  <si>
    <t>80 km/h</t>
  </si>
  <si>
    <t>75 km/h</t>
  </si>
  <si>
    <t>55 km/h</t>
  </si>
  <si>
    <t>65 km/h</t>
  </si>
  <si>
    <t>Main_Line_Signal_Short</t>
  </si>
  <si>
    <t>_Signal_1</t>
  </si>
  <si>
    <t>ID_76000</t>
  </si>
  <si>
    <t>Neutral_Section_Warning_Board_Blue</t>
  </si>
  <si>
    <t>Distinct ID</t>
  </si>
  <si>
    <t>500m</t>
  </si>
  <si>
    <t>250m</t>
  </si>
  <si>
    <t>LT_Board</t>
  </si>
  <si>
    <t>Start</t>
  </si>
  <si>
    <t>Fouling_Mark</t>
  </si>
  <si>
    <t>SSP_7T4302_8_UP</t>
  </si>
  <si>
    <t>SSP_7T4302_6_UP</t>
  </si>
  <si>
    <t>SSP_7T4302_8_DN</t>
  </si>
  <si>
    <t>SSP_7T4302_6_DN</t>
  </si>
  <si>
    <t>ID_78000</t>
  </si>
  <si>
    <t>FP_7P3104</t>
  </si>
  <si>
    <t>FP_7P3102</t>
  </si>
  <si>
    <t>FP_7P3106</t>
  </si>
  <si>
    <t>FP_7P3501</t>
  </si>
  <si>
    <t>FP_7P3503</t>
  </si>
  <si>
    <t>FP_7P3502</t>
  </si>
  <si>
    <t>FP_7P3504</t>
  </si>
  <si>
    <t>FP_7P4301</t>
  </si>
  <si>
    <t>FP_7P4304</t>
  </si>
  <si>
    <t>FP_7P4302</t>
  </si>
  <si>
    <t>FP_7P4308</t>
  </si>
  <si>
    <t>Track_11</t>
  </si>
  <si>
    <t>FP_7P4306</t>
  </si>
  <si>
    <t>7BS</t>
  </si>
  <si>
    <t>7RS</t>
  </si>
  <si>
    <t>2ARS</t>
  </si>
  <si>
    <t>label1</t>
  </si>
  <si>
    <t>label2</t>
  </si>
  <si>
    <t>Turnback</t>
  </si>
  <si>
    <t>SSP_7T4310_8_UP</t>
  </si>
  <si>
    <t>SSP_7T4310_6_UP</t>
  </si>
  <si>
    <t>SSP_7T4310_6_DN</t>
  </si>
  <si>
    <t>SSP_7T4310_8_DN</t>
  </si>
  <si>
    <t>Inactive</t>
  </si>
  <si>
    <t>High Density</t>
  </si>
  <si>
    <t>NSMB_7T3107_8_UP</t>
  </si>
  <si>
    <t>NSMB_7T3107_6_UP</t>
  </si>
  <si>
    <t>NSMB_7T3107_6_DN</t>
  </si>
  <si>
    <t>NSMB_7T3107_8_DN</t>
  </si>
  <si>
    <t>NSMB_7T3108_8_UP</t>
  </si>
  <si>
    <t>NSMB_7T3108_6_UP</t>
  </si>
  <si>
    <t>NSMB_7T3108_6_DN</t>
  </si>
  <si>
    <t>NSMB_7T3108_8_DN</t>
  </si>
  <si>
    <t>NSMB_7T3201_8_UP</t>
  </si>
  <si>
    <t>NSMB_7T3201_6_UP</t>
  </si>
  <si>
    <t>NSMB_7T3201_6_DN</t>
  </si>
  <si>
    <t>NSMB_7T3201_8_DN</t>
  </si>
  <si>
    <t>NSMB_7T3202_8_UP</t>
  </si>
  <si>
    <t>NSMB_7T3202_6_UP</t>
  </si>
  <si>
    <t>NSMB_7T3202_6_DN</t>
  </si>
  <si>
    <t>NSMB_7T3202_8_DN</t>
  </si>
  <si>
    <t>NSMB_7T3301_8_UP</t>
  </si>
  <si>
    <t>NSMB_7T3301_6_UP</t>
  </si>
  <si>
    <t>NSMB_7T3301_6_DN</t>
  </si>
  <si>
    <t>NSMB_7T3301_8_DN</t>
  </si>
  <si>
    <t>NSMB_7T3302_8_UP</t>
  </si>
  <si>
    <t>NSMB_7T3302_6_UP</t>
  </si>
  <si>
    <t>NSMB_7T3302_6_DN</t>
  </si>
  <si>
    <t>NSMB_7T3302_8_DN</t>
  </si>
  <si>
    <t>NSMB_7T3403_8_UP</t>
  </si>
  <si>
    <t>NSMB_7T3403_6_UP</t>
  </si>
  <si>
    <t>NSMB_7T3403_6_DN</t>
  </si>
  <si>
    <t>NSMB_7T3403_8_DN</t>
  </si>
  <si>
    <t>NSMB_7T3404_8_UP</t>
  </si>
  <si>
    <t>NSMB_7T3404_6_UP</t>
  </si>
  <si>
    <t>NSMB_7T3404_6_DN</t>
  </si>
  <si>
    <t>NSMB_7T3404_8_DN</t>
  </si>
  <si>
    <t>NSMB_7T3505_8_UP</t>
  </si>
  <si>
    <t>NSMB_7T3505_6_UP</t>
  </si>
  <si>
    <t>NSMB_7T3505_6_DN</t>
  </si>
  <si>
    <t>NSMB_7T3505_8_DN</t>
  </si>
  <si>
    <t>NSMB_7T3506_8_UP</t>
  </si>
  <si>
    <t>NSMB_7T3506_6_UP</t>
  </si>
  <si>
    <t>NSMB_7T3506_6_DN</t>
  </si>
  <si>
    <t>NSMB_7T3506_8_DN</t>
  </si>
  <si>
    <t>NSMB_7T3601_8_UP</t>
  </si>
  <si>
    <t>NSMB_7T3601_6_UP</t>
  </si>
  <si>
    <t>NSMB_7T3601_6_DN</t>
  </si>
  <si>
    <t>NSMB_7T3601_8_DN</t>
  </si>
  <si>
    <t>NSMB_7T3602_8_UP</t>
  </si>
  <si>
    <t>NSMB_7T3602_6_DN</t>
  </si>
  <si>
    <t>NSMB_7T3602_8_DN</t>
  </si>
  <si>
    <t>NSMB_7T3701_8_UP</t>
  </si>
  <si>
    <t>NSMB_7T3701_6_UP</t>
  </si>
  <si>
    <t>NSMB_7T3701_6_DN</t>
  </si>
  <si>
    <t>NSMB_7T3701_8_DN</t>
  </si>
  <si>
    <t>NSMB_7T3702_8_UP</t>
  </si>
  <si>
    <t>NSMB_7T3702_6_UP</t>
  </si>
  <si>
    <t>NSMB_7T3702_6_DN</t>
  </si>
  <si>
    <t>NSMB_7T3702_8_DN</t>
  </si>
  <si>
    <t>NSMB_7T3803_8_UP</t>
  </si>
  <si>
    <t>NSMB_7T3803_6_UP</t>
  </si>
  <si>
    <t>NSMB_7T3803_6_DN</t>
  </si>
  <si>
    <t>NSMB_7T3803_8_DN</t>
  </si>
  <si>
    <t>NSMB_7T3804_8_UP</t>
  </si>
  <si>
    <t>NSMB_7T3804_6_UP</t>
  </si>
  <si>
    <t>NSMB_7T3804_6_DN</t>
  </si>
  <si>
    <t>NSMB_7T3804_8_DN</t>
  </si>
  <si>
    <t>NSMB_7T3901_8_UP</t>
  </si>
  <si>
    <t>NSMB_7T3901_6_UP</t>
  </si>
  <si>
    <t>NSMB_7T3901_6_DN</t>
  </si>
  <si>
    <t>NSMB_7T3901_8_DN</t>
  </si>
  <si>
    <t>NSMB_7T3902_8_UP</t>
  </si>
  <si>
    <t>NSMB_7T3902_6_UP</t>
  </si>
  <si>
    <t>NSMB_7T3902_6_DN</t>
  </si>
  <si>
    <t>NSMB_7T3902_8_DN</t>
  </si>
  <si>
    <t>NSMB_7T4001_8_UP</t>
  </si>
  <si>
    <t>NSMB_7T4001_6_UP</t>
  </si>
  <si>
    <t>NSMB_7T4001_6_DN</t>
  </si>
  <si>
    <t>NSMB_7T4001_8_DN</t>
  </si>
  <si>
    <t>NSMB_7T4002_8_UP</t>
  </si>
  <si>
    <t>NSMB_7T4002_6_UP</t>
  </si>
  <si>
    <t>NSMB_7T4002_6_DN</t>
  </si>
  <si>
    <t>NSMB_7T4002_8_DN</t>
  </si>
  <si>
    <t>NSMB_7T4101_8_UP</t>
  </si>
  <si>
    <t>NSMB_7T4101_6_UP</t>
  </si>
  <si>
    <t>NSMB_7T4101_6_DN</t>
  </si>
  <si>
    <t>NSMB_7T4101_8_DN</t>
  </si>
  <si>
    <t>NSMB_7T4102_8_UP</t>
  </si>
  <si>
    <t>NSMB_7T4102_6_UP</t>
  </si>
  <si>
    <t>NSMB_7T4102_6_DN</t>
  </si>
  <si>
    <t>NSMB_7T4102_8_DN</t>
  </si>
  <si>
    <t>NSMB_7T4203_8_UP</t>
  </si>
  <si>
    <t>NSMB_7T4203_6_UP</t>
  </si>
  <si>
    <t>NSMB_7T4203_6_DN</t>
  </si>
  <si>
    <t>NSMB_7T4203_8_DN</t>
  </si>
  <si>
    <t>NSMB_7T4204_8_UP</t>
  </si>
  <si>
    <t>NSMB_7T4204_6_UP</t>
  </si>
  <si>
    <t>NSMB_7T4204_6_DN</t>
  </si>
  <si>
    <t>NSMB_7T4204_8_DN</t>
  </si>
  <si>
    <t>NSMB_7T4301_8_UP</t>
  </si>
  <si>
    <t>NSMB_7T4301_6_UP</t>
  </si>
  <si>
    <t>NSMB_7T4301_6_DN</t>
  </si>
  <si>
    <t>NSMB_7T4301_8_DN</t>
  </si>
  <si>
    <t>NSMB_7T4302_8_UP</t>
  </si>
  <si>
    <t>NSMB_7T4302_6_UP</t>
  </si>
  <si>
    <t>NSMB_7T4302_6_DN</t>
  </si>
  <si>
    <t>NSMB_7T4302_8_DN</t>
  </si>
  <si>
    <t>Normal_Stopping_Marker_Board</t>
  </si>
  <si>
    <t>ID_79000</t>
  </si>
  <si>
    <t>NSMB_7T3602_8_UP_01</t>
  </si>
  <si>
    <t>8C</t>
  </si>
  <si>
    <t>ID_80000</t>
  </si>
  <si>
    <t>Visible</t>
  </si>
  <si>
    <t>Stopping_Reverse_Marker_Board</t>
  </si>
  <si>
    <t>SRM_7T3102_6_UP_6C</t>
  </si>
  <si>
    <t>SRM_7T3102_8_UP_8C</t>
  </si>
  <si>
    <t>SRM_7T3101_6_UP_6C</t>
  </si>
  <si>
    <t>SRM_7T3101_8_UP_8C</t>
  </si>
  <si>
    <t>SRM_7T3406_6_UP_6C</t>
  </si>
  <si>
    <t>SRM_7T3406_8_UP_8C</t>
  </si>
  <si>
    <t>SRM_7T3512_6_DN_6C</t>
  </si>
  <si>
    <t>SRM_7T3512_8_DN_8C</t>
  </si>
  <si>
    <t>SRM_7T3116_6_DN_6C</t>
  </si>
  <si>
    <t>SRM_7T3116_8_DN_8C</t>
  </si>
  <si>
    <t>ObstructionWateronTrack</t>
  </si>
  <si>
    <t>Chainage Jump</t>
  </si>
  <si>
    <t>Obstruction Fixed Flood</t>
  </si>
  <si>
    <t>ID_90000</t>
  </si>
  <si>
    <t>flood_water_01</t>
  </si>
  <si>
    <t>flood_water_02</t>
  </si>
  <si>
    <t>FP_7P3102_A</t>
  </si>
  <si>
    <t>Point</t>
  </si>
  <si>
    <t>2AP4404</t>
  </si>
  <si>
    <t>2AP4403</t>
  </si>
  <si>
    <t>2AP5214</t>
  </si>
  <si>
    <t>2AP5210</t>
  </si>
  <si>
    <t>2AP5208</t>
  </si>
  <si>
    <t>2AP5204</t>
  </si>
  <si>
    <t>2AP5202</t>
  </si>
  <si>
    <t>2AP5203</t>
  </si>
  <si>
    <t>2AP5201</t>
  </si>
  <si>
    <t>2AP9917</t>
  </si>
  <si>
    <t>2AP9915</t>
  </si>
  <si>
    <t>2AP9911</t>
  </si>
  <si>
    <t>2AP9928</t>
  </si>
  <si>
    <t>2AP9929</t>
  </si>
  <si>
    <t>2AP9927</t>
  </si>
  <si>
    <t>2AP9926</t>
  </si>
  <si>
    <t>2AP9925</t>
  </si>
  <si>
    <t>2AP9924</t>
  </si>
  <si>
    <t>2AP9921</t>
  </si>
  <si>
    <t>2AP9001</t>
  </si>
  <si>
    <t>2AP9914</t>
  </si>
  <si>
    <t>2AP9912</t>
  </si>
  <si>
    <t>2AP9909</t>
  </si>
  <si>
    <t>2AP9930</t>
  </si>
  <si>
    <t>2AP9910</t>
  </si>
  <si>
    <t>2AP9907</t>
  </si>
  <si>
    <t>2AP9923</t>
  </si>
  <si>
    <t>2AP9913</t>
  </si>
  <si>
    <t>2AP9922</t>
  </si>
  <si>
    <t>2AP9920</t>
  </si>
  <si>
    <t>2AP9919</t>
  </si>
  <si>
    <t>2AP9918</t>
  </si>
  <si>
    <t>2AP9903</t>
  </si>
  <si>
    <t>2AP9901</t>
  </si>
  <si>
    <t>2AP5207</t>
  </si>
  <si>
    <t>2AP5205</t>
  </si>
  <si>
    <t>2AP9916</t>
  </si>
  <si>
    <t>2AP9908</t>
  </si>
  <si>
    <t>2AP9906</t>
  </si>
  <si>
    <t>2AP9905</t>
  </si>
  <si>
    <t>2AP9904</t>
  </si>
  <si>
    <t>2AP9902</t>
  </si>
  <si>
    <t>2AP5216</t>
  </si>
  <si>
    <t>2AP5212</t>
  </si>
  <si>
    <t>2AP5206</t>
  </si>
  <si>
    <t>2AP6004</t>
  </si>
  <si>
    <t>2AP6002</t>
  </si>
  <si>
    <t>2AP6003</t>
  </si>
  <si>
    <t>2AP6001</t>
  </si>
  <si>
    <t>Violet</t>
  </si>
  <si>
    <t>From Beta</t>
  </si>
  <si>
    <t>M</t>
  </si>
  <si>
    <t>Clear</t>
  </si>
  <si>
    <t>Closed</t>
  </si>
  <si>
    <t>6C</t>
  </si>
  <si>
    <t>Normal</t>
  </si>
  <si>
    <t>Neutral_Section_Warning_Board_White</t>
  </si>
  <si>
    <t>7BS3112_Signal</t>
  </si>
  <si>
    <t>7RS3101_Signal</t>
  </si>
  <si>
    <t>7RS3101_RI</t>
  </si>
  <si>
    <t>7RS3108_Signal</t>
  </si>
  <si>
    <t>7RS3108_RI</t>
  </si>
  <si>
    <t>7RS3103_Signal</t>
  </si>
  <si>
    <t>7RS3103_RI</t>
  </si>
  <si>
    <t>7RS3106_Signal</t>
  </si>
  <si>
    <t>7BS3110_Signal</t>
  </si>
  <si>
    <t>7RS3105_Signal</t>
  </si>
  <si>
    <t>7RS3105_RI</t>
  </si>
  <si>
    <t>7RS3104_Signal</t>
  </si>
  <si>
    <t>7RS3104_RI</t>
  </si>
  <si>
    <t>7RS3107_Signal</t>
  </si>
  <si>
    <t>7RS3102_Signal</t>
  </si>
  <si>
    <t>7RS3102_RI</t>
  </si>
  <si>
    <t>7RS3501_Signal</t>
  </si>
  <si>
    <t>7RS3508_Signal</t>
  </si>
  <si>
    <t>7RS3508_RI</t>
  </si>
  <si>
    <t>7RS3503_Signal</t>
  </si>
  <si>
    <t>7RS3503_RI</t>
  </si>
  <si>
    <t>7RS3506_Signal</t>
  </si>
  <si>
    <t>7RS3505_Signal</t>
  </si>
  <si>
    <t>7RS3504_Signal</t>
  </si>
  <si>
    <t>7RS3507_Signal</t>
  </si>
  <si>
    <t>7RS3502_Signal</t>
  </si>
  <si>
    <t>7RS3502_RI</t>
  </si>
  <si>
    <t>7RS4301_Signal</t>
  </si>
  <si>
    <t>7RS4301_RI</t>
  </si>
  <si>
    <t>7RS4303_Signal</t>
  </si>
  <si>
    <t>7RS4303_RI</t>
  </si>
  <si>
    <t>7RS4304_Signal</t>
  </si>
  <si>
    <t>2ARS4401_Signal</t>
  </si>
  <si>
    <t>7RS4302_Signal</t>
  </si>
  <si>
    <t>7RS4302_RI</t>
  </si>
  <si>
    <t>2ARS4405_Signal</t>
  </si>
  <si>
    <t>2ARS4405_RI</t>
  </si>
  <si>
    <t>7BS4310_Signal</t>
  </si>
  <si>
    <t>7RS4306_Signal</t>
  </si>
  <si>
    <t>7RS4306_RI</t>
  </si>
  <si>
    <t>7BS4307_Signal</t>
  </si>
  <si>
    <t>7RS4308_Signal</t>
  </si>
  <si>
    <t>7RS4308_RI</t>
  </si>
  <si>
    <t>7BS4305_Signal</t>
  </si>
  <si>
    <t>7RS3505_RI</t>
  </si>
  <si>
    <t>7BS4305_Signal_1</t>
  </si>
  <si>
    <t>Gundavali_2</t>
  </si>
  <si>
    <t>Platform Passenger - Gundavali_2</t>
  </si>
  <si>
    <t>Passenger Alighting - Gundavali_2</t>
  </si>
  <si>
    <t>Passenger Arriving - Gundavali_2</t>
  </si>
  <si>
    <t>Passenger Intoxicated - Gundavali_2</t>
  </si>
  <si>
    <t>Passenger Pram - Gundavali_2</t>
  </si>
  <si>
    <t>Gundavali_1</t>
  </si>
  <si>
    <t>Platform Passenger - Gundavali_1</t>
  </si>
  <si>
    <t>Passenger Alighting - Gundavali_1</t>
  </si>
  <si>
    <t>Passenger Arriving - Gundavali_1</t>
  </si>
  <si>
    <t>Passenger Intoxicated - Gundavali_1</t>
  </si>
  <si>
    <t>Passenger Pram - Gundavali_1</t>
  </si>
  <si>
    <t>Mogra_2</t>
  </si>
  <si>
    <t>Platform Passenger - Mogra_2</t>
  </si>
  <si>
    <t>Passenger Alighting - Mogra_2</t>
  </si>
  <si>
    <t>Passenger Arriving - Mogra_2</t>
  </si>
  <si>
    <t>Passenger Intoxicated - Mogra_2</t>
  </si>
  <si>
    <t>Passenger Pram - Mogra_2</t>
  </si>
  <si>
    <t>Mogra_1</t>
  </si>
  <si>
    <t>Platform Passenger - Mogra_1</t>
  </si>
  <si>
    <t>Passenger Alighting - Mogra_1</t>
  </si>
  <si>
    <t>Passenger Arriving - Mogra_1</t>
  </si>
  <si>
    <t>Passenger Intoxicated - Mogra_1</t>
  </si>
  <si>
    <t>Passenger Pram - Mogra_1</t>
  </si>
  <si>
    <t>Jogeshwari (East)_2</t>
  </si>
  <si>
    <t>Platform Passenger - Jogeshwari (East)_2</t>
  </si>
  <si>
    <t>Passenger Alighting - Jogeshwari (East)_2</t>
  </si>
  <si>
    <t>Passenger Arriving - Jogeshwari (East)_2</t>
  </si>
  <si>
    <t>Passenger Intoxicated - Jogeshwari (East)_2</t>
  </si>
  <si>
    <t>Passenger Pram - Jogeshwari (East)_2</t>
  </si>
  <si>
    <t>Jogeshwari (East)_1</t>
  </si>
  <si>
    <t>Platform Passenger - Jogeshwari (East)_1</t>
  </si>
  <si>
    <t>Passenger Alighting - Jogeshwari (East)_1</t>
  </si>
  <si>
    <t>Passenger Arriving - Jogeshwari (East)_1</t>
  </si>
  <si>
    <t>Passenger Intoxicated - Jogeshwari (East)_1</t>
  </si>
  <si>
    <t>Passenger Pram - Jogeshwari (East)_1</t>
  </si>
  <si>
    <t>Goregaon (East)_2</t>
  </si>
  <si>
    <t>Platform Passenger - Goregaon (East)_2</t>
  </si>
  <si>
    <t>Passenger Alighting - Goregaon (East)_2</t>
  </si>
  <si>
    <t>Passenger Arriving - Goregaon (East)_2</t>
  </si>
  <si>
    <t>Passenger Intoxicated - Goregaon (East)_2</t>
  </si>
  <si>
    <t>Passenger Pram - Goregaon (East)_2</t>
  </si>
  <si>
    <t>Goregaon (East)_1</t>
  </si>
  <si>
    <t>Platform Passenger - Goregaon (East)_1</t>
  </si>
  <si>
    <t>Passenger Alighting - Goregaon (East)_1</t>
  </si>
  <si>
    <t>Passenger Arriving - Goregaon (East)_1</t>
  </si>
  <si>
    <t>Passenger Intoxicated - Goregaon (East)_1</t>
  </si>
  <si>
    <t>Passenger Pram - Goregaon (East)_1</t>
  </si>
  <si>
    <t>Aarey_2</t>
  </si>
  <si>
    <t>Platform Passenger - Aarey_2</t>
  </si>
  <si>
    <t>Passenger Alighting - Aarey_2</t>
  </si>
  <si>
    <t>Passenger Arriving - Aarey_2</t>
  </si>
  <si>
    <t>Passenger Intoxicated - Aarey_2</t>
  </si>
  <si>
    <t>Passenger Pram - Aarey_2</t>
  </si>
  <si>
    <t>Aarey_1</t>
  </si>
  <si>
    <t>Platform Passenger - Aarey_1</t>
  </si>
  <si>
    <t>Passenger Alighting - Aarey_1</t>
  </si>
  <si>
    <t>Passenger Arriving - Aarey_1</t>
  </si>
  <si>
    <t>Passenger Intoxicated - Aarey_1</t>
  </si>
  <si>
    <t>Passenger Pram - Aarey_1</t>
  </si>
  <si>
    <t>Dindoshi_2</t>
  </si>
  <si>
    <t>Platform Passenger - Dindoshi_2</t>
  </si>
  <si>
    <t>Passenger Alighting - Dindoshi_2</t>
  </si>
  <si>
    <t>Passenger Arriving - Dindoshi_2</t>
  </si>
  <si>
    <t>Passenger Intoxicated - Dindoshi_2</t>
  </si>
  <si>
    <t>Passenger Pram - Dindoshi_2</t>
  </si>
  <si>
    <t>Dindoshi_1</t>
  </si>
  <si>
    <t>Platform Passenger - Dindoshi_1</t>
  </si>
  <si>
    <t>Passenger Alighting - Dindoshi_1</t>
  </si>
  <si>
    <t>Passenger Arriving - Dindoshi_1</t>
  </si>
  <si>
    <t>Passenger Intoxicated - Dindoshi_1</t>
  </si>
  <si>
    <t>Passenger Pram - Dindoshi_1</t>
  </si>
  <si>
    <t>Kurar_2</t>
  </si>
  <si>
    <t>Platform Passenger - Kurar_2</t>
  </si>
  <si>
    <t>Passenger Alighting - Kurar_2</t>
  </si>
  <si>
    <t>Passenger Arriving - Kurar_2</t>
  </si>
  <si>
    <t>Passenger Intoxicated - Kurar_2</t>
  </si>
  <si>
    <t>Passenger Pram - Kurar_2</t>
  </si>
  <si>
    <t>Kurar_1</t>
  </si>
  <si>
    <t>Platform Passenger - Kurar_1</t>
  </si>
  <si>
    <t>Passenger Alighting - Kurar_1</t>
  </si>
  <si>
    <t>Passenger Arriving - Kurar_1</t>
  </si>
  <si>
    <t>Passenger Intoxicated - Kurar_1</t>
  </si>
  <si>
    <t>Passenger Pram - Kurar_1</t>
  </si>
  <si>
    <t>Akurli_1</t>
  </si>
  <si>
    <t>Platform Passenger - Akurli_1</t>
  </si>
  <si>
    <t>Passenger Alighting - Akurli_1</t>
  </si>
  <si>
    <t>Passenger Arriving - Akurli_1</t>
  </si>
  <si>
    <t>Passenger Intoxicated - Akurli_1</t>
  </si>
  <si>
    <t>Passenger Pram - Akurli_1</t>
  </si>
  <si>
    <t>Akurli_2</t>
  </si>
  <si>
    <t>Platform Passenger - Akurli_2</t>
  </si>
  <si>
    <t>Passenger Alighting - Akurli_2</t>
  </si>
  <si>
    <t>Passenger Arriving - Akurli_2</t>
  </si>
  <si>
    <t>Passenger Intoxicated - Akurli_2</t>
  </si>
  <si>
    <t>Passenger Pram - Akurli_2</t>
  </si>
  <si>
    <t>Poisar_2</t>
  </si>
  <si>
    <t>Platform Passenger - Poisar_2</t>
  </si>
  <si>
    <t>Passenger Alighting - Poisar_2</t>
  </si>
  <si>
    <t>Passenger Arriving - Poisar_2</t>
  </si>
  <si>
    <t>Passenger Intoxicated - Poisar_2</t>
  </si>
  <si>
    <t>Passenger Pram - Poisar_2</t>
  </si>
  <si>
    <t>Poisar_1</t>
  </si>
  <si>
    <t>Platform Passenger - Poisar_1</t>
  </si>
  <si>
    <t>Passenger Alighting - Poisar_1</t>
  </si>
  <si>
    <t>Passenger Arriving - Poisar_1</t>
  </si>
  <si>
    <t>Passenger Intoxicated - Poisar_1</t>
  </si>
  <si>
    <t>Passenger Pram - Poisar_1</t>
  </si>
  <si>
    <t>Magathane_2</t>
  </si>
  <si>
    <t>Platform Passenger - Magathane_2</t>
  </si>
  <si>
    <t>Passenger Alighting - Magathane_2</t>
  </si>
  <si>
    <t>Passenger Arriving - Magathane_2</t>
  </si>
  <si>
    <t>Passenger Intoxicated - Magathane_2</t>
  </si>
  <si>
    <t>Passenger Pram - Magathane_2</t>
  </si>
  <si>
    <t>Magathane_1</t>
  </si>
  <si>
    <t>Platform Passenger - Magathane_1</t>
  </si>
  <si>
    <t>Passenger Alighting - Magathane_1</t>
  </si>
  <si>
    <t>Passenger Arriving - Magathane_1</t>
  </si>
  <si>
    <t>Passenger Intoxicated - Magathane_1</t>
  </si>
  <si>
    <t>Passenger Pram - Magathane_1</t>
  </si>
  <si>
    <t>Devipada_2</t>
  </si>
  <si>
    <t>Platform Passenger - Devipada_2</t>
  </si>
  <si>
    <t>Passenger Alighting - Devipada_2</t>
  </si>
  <si>
    <t>Passenger Arriving - Devipada_2</t>
  </si>
  <si>
    <t>Passenger Intoxicated - Devipada_2</t>
  </si>
  <si>
    <t>Passenger Pram - Devipada_2</t>
  </si>
  <si>
    <t>Devipada_1</t>
  </si>
  <si>
    <t>Platform Passenger - Devipada_1</t>
  </si>
  <si>
    <t>Passenger Alighting - Devipada_1</t>
  </si>
  <si>
    <t>Passenger Arriving - Devipada_1</t>
  </si>
  <si>
    <t>Passenger Intoxicated - Devipada_1</t>
  </si>
  <si>
    <t>Passenger Pram - Devipada_1</t>
  </si>
  <si>
    <t>Rashtriya udyan_2</t>
  </si>
  <si>
    <t>Platform Passenger - Rashtriya udyan_2</t>
  </si>
  <si>
    <t>Passenger Alighting - Rashtriya udyan_2</t>
  </si>
  <si>
    <t>Passenger Arriving - Rashtriya udyan_2</t>
  </si>
  <si>
    <t>Passenger Intoxicated - Rashtriya udyan_2</t>
  </si>
  <si>
    <t>Passenger Pram - Rashtriya udyan_2</t>
  </si>
  <si>
    <t>Rashtriya udyan_1</t>
  </si>
  <si>
    <t>Platform Passenger - Rashtriya udyan_1</t>
  </si>
  <si>
    <t>Passenger Alighting - Rashtriya udyan_1</t>
  </si>
  <si>
    <t>Passenger Arriving - Rashtriya udyan_1</t>
  </si>
  <si>
    <t>Passenger Intoxicated - Rashtriya udyan_1</t>
  </si>
  <si>
    <t>Passenger Pram - Rashtriya udyan_1</t>
  </si>
  <si>
    <t>Ovaripada_1</t>
  </si>
  <si>
    <t>Platform Passenger - Ovaripada_1</t>
  </si>
  <si>
    <t>Passenger Alighting - Ovaripada_1</t>
  </si>
  <si>
    <t>Passenger Arriving - Ovaripada_1</t>
  </si>
  <si>
    <t>Passenger Intoxicated - Ovaripada_1</t>
  </si>
  <si>
    <t>Passenger Pram - Ovaripada_1</t>
  </si>
  <si>
    <t>Ovaripada_2</t>
  </si>
  <si>
    <t>Platform Passenger - Ovaripada_2</t>
  </si>
  <si>
    <t>Passenger Alighting - Ovaripada_2</t>
  </si>
  <si>
    <t>Passenger Arriving - Ovaripada_2</t>
  </si>
  <si>
    <t>Passenger Intoxicated - Ovaripada_2</t>
  </si>
  <si>
    <t>Passenger Pram - Ovaripada_2</t>
  </si>
  <si>
    <t>PSD - Gundavali_2</t>
  </si>
  <si>
    <t>PSD - Gundavali_1</t>
  </si>
  <si>
    <t>PSD - Mogra_2</t>
  </si>
  <si>
    <t>PSD - Mogra_1</t>
  </si>
  <si>
    <t>PSD - Jogeshwari (East)_2</t>
  </si>
  <si>
    <t>PSD - Jogeshwari (East)_1</t>
  </si>
  <si>
    <t>PSD - Goregaon (East)_2</t>
  </si>
  <si>
    <t>PSD - Goregaon (East)_1</t>
  </si>
  <si>
    <t>PSD - Aarey_2</t>
  </si>
  <si>
    <t>PSD - Aarey_1</t>
  </si>
  <si>
    <t>PSD - Dindoshi_2</t>
  </si>
  <si>
    <t>PSD - Dindoshi_1</t>
  </si>
  <si>
    <t>PSD - Kurar_2</t>
  </si>
  <si>
    <t>PSD - Kurar_1</t>
  </si>
  <si>
    <t>PSD - Akurli_1</t>
  </si>
  <si>
    <t>PSD - Akurli_2</t>
  </si>
  <si>
    <t>PSD - Poisar_2</t>
  </si>
  <si>
    <t>PSD - Poisar_1</t>
  </si>
  <si>
    <t>PSD - Magathane_2</t>
  </si>
  <si>
    <t>PSD - Magathane_1</t>
  </si>
  <si>
    <t>PSD - Devipada_2</t>
  </si>
  <si>
    <t>PSD - Devipada_1</t>
  </si>
  <si>
    <t>PSD - Rashtriya udyan_2</t>
  </si>
  <si>
    <t>PSD - Rashtriya udyan_1</t>
  </si>
  <si>
    <t>PSD - Ovaripada_1</t>
  </si>
  <si>
    <t>PSD - Ovaripada_2</t>
  </si>
  <si>
    <t>PSR_-525.9_DN_80 km/h</t>
  </si>
  <si>
    <t>PSR_-525.9_UP_80 km/h</t>
  </si>
  <si>
    <t>PSR_-123.22_DN_50 km/h</t>
  </si>
  <si>
    <t>PSR_-123.22_UP_80 km/h</t>
  </si>
  <si>
    <t>PSR_-22.81_DN_80 km/h</t>
  </si>
  <si>
    <t>PSR_-22.81_UP_50 km/h</t>
  </si>
  <si>
    <t>PSR_291.3_DN_80 km/h</t>
  </si>
  <si>
    <t>PSR_291.3_UP_80 km/h</t>
  </si>
  <si>
    <t>PSR_405.95_DN_80 km/h</t>
  </si>
  <si>
    <t>PSR_405.95_UP_80 km/h</t>
  </si>
  <si>
    <t>PSR_465.96_DN_75 km/h</t>
  </si>
  <si>
    <t>PSR_465.96_UP_80 km/h</t>
  </si>
  <si>
    <t>PSR_606.63_DN_75 km/h</t>
  </si>
  <si>
    <t>PSR_606.63_UP_75 km/h</t>
  </si>
  <si>
    <t>PSR_769.15_DN_80 km/h</t>
  </si>
  <si>
    <t>PSR_769.15_UP_75 km/h</t>
  </si>
  <si>
    <t>PSR_934.69_DN_55 km/h</t>
  </si>
  <si>
    <t>PSR_934.69_UP_80 km/h</t>
  </si>
  <si>
    <t>PSR_1223.79_DN_80 km/h</t>
  </si>
  <si>
    <t>PSR_1223.79_UP_55 km/h</t>
  </si>
  <si>
    <t>PSR_1247.03_DN_55 km/h</t>
  </si>
  <si>
    <t>PSR_1247.03_UP_80 km/h</t>
  </si>
  <si>
    <t>PSR_1466.2_DN_80 km/h</t>
  </si>
  <si>
    <t>PSR_1466.2_UP_55 km/h</t>
  </si>
  <si>
    <t>PSR_1668.46_DN_80 km/h</t>
  </si>
  <si>
    <t>PSR_1668.46_UP_80 km/h</t>
  </si>
  <si>
    <t>PSR_1745.5_DN_80 km/h</t>
  </si>
  <si>
    <t>PSR_1745.5_UP_80 km/h</t>
  </si>
  <si>
    <t>PSR_1993.82_DN_80 km/h</t>
  </si>
  <si>
    <t>PSR_1993.82_UP_80 km/h</t>
  </si>
  <si>
    <t>PSR_2071.33_DN_80 km/h</t>
  </si>
  <si>
    <t>PSR_2071.33_UP_80 km/h</t>
  </si>
  <si>
    <t>PSR_2442.7_DN_75 km/h</t>
  </si>
  <si>
    <t>PSR_2442.7_UP_80 km/h</t>
  </si>
  <si>
    <t>PSR_2585.84_DN_80 km/h</t>
  </si>
  <si>
    <t>PSR_2585.84_UP_75 km/h</t>
  </si>
  <si>
    <t>PSR_2733.44_DN_80 km/h</t>
  </si>
  <si>
    <t>PSR_2733.44_UP_80 km/h</t>
  </si>
  <si>
    <t>PSR_2766.24_DN_80 km/h</t>
  </si>
  <si>
    <t>PSR_2766.24_UP_80 km/h</t>
  </si>
  <si>
    <t>PSR_2847.45_DN_80 km/h</t>
  </si>
  <si>
    <t>PSR_2847.45_UP_80 km/h</t>
  </si>
  <si>
    <t>PSR_2891.38_DN_55 km/h</t>
  </si>
  <si>
    <t>PSR_2891.38_UP_80 km/h</t>
  </si>
  <si>
    <t>PSR_3059.29_DN_80 km/h</t>
  </si>
  <si>
    <t>PSR_3059.29_UP_55 km/h</t>
  </si>
  <si>
    <t>PSR_3323.3_DN_75 km/h</t>
  </si>
  <si>
    <t>PSR_3323.3_UP_80 km/h</t>
  </si>
  <si>
    <t>PSR_3504.04_DN_80 km/h</t>
  </si>
  <si>
    <t>PSR_3504.04_UP_75 km/h</t>
  </si>
  <si>
    <t>PSR_3765.51_DN_80 km/h</t>
  </si>
  <si>
    <t>PSR_3765.51_UP_80 km/h</t>
  </si>
  <si>
    <t>PSR_3851.71_DN_80 km/h</t>
  </si>
  <si>
    <t>PSR_3851.71_UP_80 km/h</t>
  </si>
  <si>
    <t>PSR_3958.11_DN_80 km/h</t>
  </si>
  <si>
    <t>PSR_3958.11_UP_80 km/h</t>
  </si>
  <si>
    <t>PSR_4046.6_DN_80 km/h</t>
  </si>
  <si>
    <t>PSR_4046.6_UP_80 km/h</t>
  </si>
  <si>
    <t>PSR_4326.46_DN_80 km/h</t>
  </si>
  <si>
    <t>PSR_4326.46_UP_80 km/h</t>
  </si>
  <si>
    <t>PSR_4497.17_DN_80 km/h</t>
  </si>
  <si>
    <t>PSR_4497.17_UP_80 km/h</t>
  </si>
  <si>
    <t>PSR_4544.67_DN_80 km/h</t>
  </si>
  <si>
    <t>PSR_4544.67_UP_80 km/h</t>
  </si>
  <si>
    <t>PSR_4636.61_DN_80 km/h</t>
  </si>
  <si>
    <t>PSR_4636.61_UP_80 km/h</t>
  </si>
  <si>
    <t>PSR_5063.13_DN_80 km/h</t>
  </si>
  <si>
    <t>PSR_5063.13_UP_80 km/h</t>
  </si>
  <si>
    <t>PSR_5151.21_DN_80 km/h</t>
  </si>
  <si>
    <t>PSR_5151.21_UP_80 km/h</t>
  </si>
  <si>
    <t>PSR_5545.76_DN_80 km/h</t>
  </si>
  <si>
    <t>PSR_5545.76_UP_80 km/h</t>
  </si>
  <si>
    <t>PSR_5621.34_DN_80 km/h</t>
  </si>
  <si>
    <t>PSR_5621.34_UP_80 km/h</t>
  </si>
  <si>
    <t>PSR_5810.42_DN_80 km/h</t>
  </si>
  <si>
    <t>PSR_5810.42_UP_80 km/h</t>
  </si>
  <si>
    <t>PSR_5885.84_DN_80 km/h</t>
  </si>
  <si>
    <t>PSR_5885.84_UP_80 km/h</t>
  </si>
  <si>
    <t>PSR_6342.44_DN_80 km/h</t>
  </si>
  <si>
    <t>PSR_6342.44_UP_80 km/h</t>
  </si>
  <si>
    <t>PSR_6418.33_DN_80 km/h</t>
  </si>
  <si>
    <t>PSR_6418.33_UP_80 km/h</t>
  </si>
  <si>
    <t>PSR_6589.36_DN_55 km/h</t>
  </si>
  <si>
    <t>PSR_6589.36_UP_80 km/h</t>
  </si>
  <si>
    <t>PSR_6867.01_DN_80 km/h</t>
  </si>
  <si>
    <t>PSR_6867.01_UP_55 km/h</t>
  </si>
  <si>
    <t>PSR_6997.65_DN_55 km/h</t>
  </si>
  <si>
    <t>PSR_6997.65_UP_80 km/h</t>
  </si>
  <si>
    <t>PSR_7176.37_DN_80 km/h</t>
  </si>
  <si>
    <t>PSR_7176.37_UP_55 km/h</t>
  </si>
  <si>
    <t>PSR_7366.1_DN_75 km/h</t>
  </si>
  <si>
    <t>PSR_7366.1_UP_80 km/h</t>
  </si>
  <si>
    <t>PSR_7464.71_DN_80 km/h</t>
  </si>
  <si>
    <t>PSR_7464.71_UP_75 km/h</t>
  </si>
  <si>
    <t>PSR_7490.28_DN_75 km/h</t>
  </si>
  <si>
    <t>PSR_7490.28_UP_80 km/h</t>
  </si>
  <si>
    <t>PSR_7582.42_DN_80 km/h</t>
  </si>
  <si>
    <t>PSR_7582.42_UP_75 km/h</t>
  </si>
  <si>
    <t>PSR_7715.67_DN_55 km/h</t>
  </si>
  <si>
    <t>PSR_7715.67_UP_80 km/h</t>
  </si>
  <si>
    <t>PSR_7828.94_DN_75 km/h</t>
  </si>
  <si>
    <t>PSR_7828.94_UP_55 km/h</t>
  </si>
  <si>
    <t>PSR_7967.43_DN_80 km/h</t>
  </si>
  <si>
    <t>PSR_7967.43_UP_75 km/h</t>
  </si>
  <si>
    <t>PSR_8245.19_DN_55 km/h</t>
  </si>
  <si>
    <t>PSR_8245.19_UP_80 km/h</t>
  </si>
  <si>
    <t>PSR_8359.83_DN_55 km/h</t>
  </si>
  <si>
    <t>PSR_8359.83_UP_55 km/h</t>
  </si>
  <si>
    <t>PSR_8480.33_DN_80 km/h</t>
  </si>
  <si>
    <t>PSR_8480.33_UP_55 km/h</t>
  </si>
  <si>
    <t>PSR_8505.06_DN_50 km/h</t>
  </si>
  <si>
    <t>PSR_8505.06_UP_80 km/h</t>
  </si>
  <si>
    <t>PSR_8677.57_DN_80 km/h</t>
  </si>
  <si>
    <t>PSR_8677.57_UP_50 km/h</t>
  </si>
  <si>
    <t>PSR_8771.97_DN_75 km/h</t>
  </si>
  <si>
    <t>PSR_8771.97_UP_80 km/h</t>
  </si>
  <si>
    <t>PSR_9018.27_DN_80 km/h</t>
  </si>
  <si>
    <t>PSR_9018.27_UP_75 km/h</t>
  </si>
  <si>
    <t>PSR_9188.86_DN_80 km/h</t>
  </si>
  <si>
    <t>PSR_9188.86_UP_80 km/h</t>
  </si>
  <si>
    <t>PSR_9273.96_DN_80 km/h</t>
  </si>
  <si>
    <t>PSR_9273.96_UP_80 km/h</t>
  </si>
  <si>
    <t>PSR_9496.94_DN_55 km/h</t>
  </si>
  <si>
    <t>PSR_9496.94_UP_80 km/h</t>
  </si>
  <si>
    <t>PSR_9618.16_DN_80 km/h</t>
  </si>
  <si>
    <t>PSR_9618.16_UP_55 km/h</t>
  </si>
  <si>
    <t>PSR_9682.65_DN_55 km/h</t>
  </si>
  <si>
    <t>PSR_9682.65_UP_80 km/h</t>
  </si>
  <si>
    <t>PSR_9830.99_DN_80 km/h</t>
  </si>
  <si>
    <t>PSR_9830.99_UP_55 km/h</t>
  </si>
  <si>
    <t>PSR_9879.56_DN_55 km/h</t>
  </si>
  <si>
    <t>PSR_9879.56_UP_80 km/h</t>
  </si>
  <si>
    <t>PSR_9989.43_DN_80 km/h</t>
  </si>
  <si>
    <t>PSR_9989.43_UP_55 km/h</t>
  </si>
  <si>
    <t>PSR_10426.58_DN_80 km/h</t>
  </si>
  <si>
    <t>PSR_10426.58_UP_80 km/h</t>
  </si>
  <si>
    <t>PSR_10503.22_DN_80 km/h</t>
  </si>
  <si>
    <t>PSR_10503.22_UP_80 km/h</t>
  </si>
  <si>
    <t>PSR_10543.41_DN_70 km/h</t>
  </si>
  <si>
    <t>PSR_10543.41_UP_80 km/h</t>
  </si>
  <si>
    <t>PSR_10710.68_DN_70 km/h</t>
  </si>
  <si>
    <t>PSR_10710.68_UP_70 km/h</t>
  </si>
  <si>
    <t>PSR_11065.84_DN_70 km/h</t>
  </si>
  <si>
    <t>PSR_11065.84_UP_70 km/h</t>
  </si>
  <si>
    <t>PSR_11329.84_DN_80 km/h</t>
  </si>
  <si>
    <t>PSR_11329.84_UP_70 km/h</t>
  </si>
  <si>
    <t>PSR_11433.37_DN_80 km/h</t>
  </si>
  <si>
    <t>PSR_11433.37_UP_80 km/h</t>
  </si>
  <si>
    <t>PSR_11518.21_DN_80 km/h</t>
  </si>
  <si>
    <t>PSR_11518.21_UP_80 km/h</t>
  </si>
  <si>
    <t>PSR_11545.09_DN_80 km/h</t>
  </si>
  <si>
    <t>PSR_11545.09_UP_80 km/h</t>
  </si>
  <si>
    <t>PSR_11655.02_DN_80 km/h</t>
  </si>
  <si>
    <t>PSR_11655.02_UP_80 km/h</t>
  </si>
  <si>
    <t>PSR_11852.22_DN_70 km/h</t>
  </si>
  <si>
    <t>PSR_11852.22_UP_80 km/h</t>
  </si>
  <si>
    <t>PSR_11928.67_DN_70 km/h</t>
  </si>
  <si>
    <t>PSR_11928.67_UP_70 km/h</t>
  </si>
  <si>
    <t>PSR_12015.61_DN_80 km/h</t>
  </si>
  <si>
    <t>PSR_12015.61_UP_70 km/h</t>
  </si>
  <si>
    <t>PSR_12202.31_DN_80 km/h</t>
  </si>
  <si>
    <t>PSR_12202.31_UP_80 km/h</t>
  </si>
  <si>
    <t>PSR_12281.8_DN_80 km/h</t>
  </si>
  <si>
    <t>PSR_12281.8_UP_80 km/h</t>
  </si>
  <si>
    <t>PSR_12346.6_DN_80 km/h</t>
  </si>
  <si>
    <t>PSR_12346.6_UP_80 km/h</t>
  </si>
  <si>
    <t>PSR_12425.73_DN_80 km/h</t>
  </si>
  <si>
    <t>PSR_12425.73_UP_80 km/h</t>
  </si>
  <si>
    <t>PSR_12818.08_DN_55 km/h</t>
  </si>
  <si>
    <t>PSR_12818.08_UP_80 km/h</t>
  </si>
  <si>
    <t>PSR_13053.37_DN_80 km/h</t>
  </si>
  <si>
    <t>PSR_13053.37_UP_55 km/h</t>
  </si>
  <si>
    <t>PSR_13404.44_DN_80 km/h</t>
  </si>
  <si>
    <t>PSR_13404.44_UP_80 km/h</t>
  </si>
  <si>
    <t>PSR_13482.9_DN_80 km/h</t>
  </si>
  <si>
    <t>PSR_13482.9_UP_80 km/h</t>
  </si>
  <si>
    <t>PSR_13855.46_DN_55 km/h</t>
  </si>
  <si>
    <t>PSR_13855.46_UP_80 km/h</t>
  </si>
  <si>
    <t>PSR_14001.21_DN_80 km/h</t>
  </si>
  <si>
    <t>PSR_14001.21_UP_55 km/h</t>
  </si>
  <si>
    <t>PSR_14046.39_DN_80 km/h</t>
  </si>
  <si>
    <t>PSR_14046.39_UP_80 km/h</t>
  </si>
  <si>
    <t>PSR_14127.41_DN_80 km/h</t>
  </si>
  <si>
    <t>PSR_14127.41_UP_80 km/h</t>
  </si>
  <si>
    <t>PSR_14351.83_DN_80 km/h</t>
  </si>
  <si>
    <t>PSR_14351.83_UP_80 km/h</t>
  </si>
  <si>
    <t>PSR_14428.53_DN_65 km/h</t>
  </si>
  <si>
    <t>PSR_14428.53_UP_80 km/h</t>
  </si>
  <si>
    <t>PSR_14539.82_DN_70 km/h</t>
  </si>
  <si>
    <t>PSR_14539.82_UP_65 km/h</t>
  </si>
  <si>
    <t>PSR_14626.53_DN_80 km/h</t>
  </si>
  <si>
    <t>PSR_14626.53_UP_70 km/h</t>
  </si>
  <si>
    <t>PSR_14813.87_DN_80 km/h</t>
  </si>
  <si>
    <t>PSR_14813.87_UP_80 km/h</t>
  </si>
  <si>
    <t>PSR_14889.25_DN_80 km/h</t>
  </si>
  <si>
    <t>PSR_14889.25_UP_80 km/h</t>
  </si>
  <si>
    <t>PSR_15100.55_DN_75 km/h</t>
  </si>
  <si>
    <t>PSR_15100.55_UP_80 km/h</t>
  </si>
  <si>
    <t>PSR_15427.06_DN_80 km/h</t>
  </si>
  <si>
    <t>PSR_15427.06_UP_75 km/h</t>
  </si>
  <si>
    <t>PSR_15436.84_DN_80 km/h</t>
  </si>
  <si>
    <t>PSR_15436.84_UP_80 km/h</t>
  </si>
  <si>
    <t>PSR_15343.57_DN_80 km/h</t>
  </si>
  <si>
    <t>PSR_15343.57_UP_80 km/h</t>
  </si>
  <si>
    <t>PSR_-22.43_DN_80 km/h</t>
  </si>
  <si>
    <t>PSR_-22.43_UP_50 km/h</t>
  </si>
  <si>
    <t>PSR_291.68_DN_80 km/h</t>
  </si>
  <si>
    <t>PSR_291.68_UP_80 km/h</t>
  </si>
  <si>
    <t>PSR_406.02_DN_80 km/h</t>
  </si>
  <si>
    <t>PSR_406.02_UP_80 km/h</t>
  </si>
  <si>
    <t>PSR_465.94_DN_75 km/h</t>
  </si>
  <si>
    <t>PSR_465.94_UP_80 km/h</t>
  </si>
  <si>
    <t>PSR_607.23_DN_75 km/h</t>
  </si>
  <si>
    <t>PSR_607.23_UP_75 km/h</t>
  </si>
  <si>
    <t>PSR_769_DN_80 km/h</t>
  </si>
  <si>
    <t>PSR_769_UP_75 km/h</t>
  </si>
  <si>
    <t>PSR_935.2_DN_55 km/h</t>
  </si>
  <si>
    <t>PSR_935.2_UP_80 km/h</t>
  </si>
  <si>
    <t>PSR_1227.04_DN_80 km/h</t>
  </si>
  <si>
    <t>PSR_1227.04_UP_55 km/h</t>
  </si>
  <si>
    <t>PSR_1250.34_DN_55 km/h</t>
  </si>
  <si>
    <t>PSR_1250.34_UP_80 km/h</t>
  </si>
  <si>
    <t>PSR_1467.84_DN_80 km/h</t>
  </si>
  <si>
    <t>PSR_1467.84_UP_55 km/h</t>
  </si>
  <si>
    <t>PSR_1669.58_DN_80 km/h</t>
  </si>
  <si>
    <t>PSR_1669.58_UP_80 km/h</t>
  </si>
  <si>
    <t>PSR_1746.66_DN_80 km/h</t>
  </si>
  <si>
    <t>PSR_1746.66_UP_80 km/h</t>
  </si>
  <si>
    <t>PSR_1994.98_DN_80 km/h</t>
  </si>
  <si>
    <t>PSR_1994.98_UP_80 km/h</t>
  </si>
  <si>
    <t>PSR_2072.59_DN_80 km/h</t>
  </si>
  <si>
    <t>PSR_2072.59_UP_80 km/h</t>
  </si>
  <si>
    <t>PSR_2443.87_DN_80 km/h</t>
  </si>
  <si>
    <t>PSR_2443.87_UP_80 km/h</t>
  </si>
  <si>
    <t>PSR_2587.68_DN_80 km/h</t>
  </si>
  <si>
    <t>PSR_2587.68_UP_80 km/h</t>
  </si>
  <si>
    <t>PSR_2735.09_DN_80 km/h</t>
  </si>
  <si>
    <t>PSR_2735.09_UP_80 km/h</t>
  </si>
  <si>
    <t>PSR_2767.51_DN_80 km/h</t>
  </si>
  <si>
    <t>PSR_2767.51_UP_80 km/h</t>
  </si>
  <si>
    <t>PSR_2848.71_DN_80 km/h</t>
  </si>
  <si>
    <t>PSR_2848.71_UP_80 km/h</t>
  </si>
  <si>
    <t>PSR_2892.54_DN_55 km/h</t>
  </si>
  <si>
    <t>PSR_2892.54_UP_80 km/h</t>
  </si>
  <si>
    <t>PSR_3058.95_DN_80 km/h</t>
  </si>
  <si>
    <t>PSR_3058.95_UP_55 km/h</t>
  </si>
  <si>
    <t>PSR_3322.81_DN_75 km/h</t>
  </si>
  <si>
    <t>PSR_3322.81_UP_80 km/h</t>
  </si>
  <si>
    <t>PSR_3504.6_DN_80 km/h</t>
  </si>
  <si>
    <t>PSR_3504.6_UP_75 km/h</t>
  </si>
  <si>
    <t>PSR_3766.07_DN_80 km/h</t>
  </si>
  <si>
    <t>PSR_3766.07_UP_80 km/h</t>
  </si>
  <si>
    <t>PSR_3852.23_DN_80 km/h</t>
  </si>
  <si>
    <t>PSR_3852.23_UP_80 km/h</t>
  </si>
  <si>
    <t>PSR_3958.63_DN_80 km/h</t>
  </si>
  <si>
    <t>PSR_3958.63_UP_80 km/h</t>
  </si>
  <si>
    <t>PSR_4047.2_DN_80 km/h</t>
  </si>
  <si>
    <t>PSR_4047.2_UP_80 km/h</t>
  </si>
  <si>
    <t>PSR_4327.06_DN_80 km/h</t>
  </si>
  <si>
    <t>PSR_4327.06_UP_80 km/h</t>
  </si>
  <si>
    <t>PSR_4497.37_DN_80 km/h</t>
  </si>
  <si>
    <t>PSR_4497.37_UP_80 km/h</t>
  </si>
  <si>
    <t>PSR_4544.87_DN_80 km/h</t>
  </si>
  <si>
    <t>PSR_4544.87_UP_80 km/h</t>
  </si>
  <si>
    <t>PSR_4636.92_DN_80 km/h</t>
  </si>
  <si>
    <t>PSR_4636.92_UP_80 km/h</t>
  </si>
  <si>
    <t>PSR_5063.44_DN_80 km/h</t>
  </si>
  <si>
    <t>PSR_5063.44_UP_80 km/h</t>
  </si>
  <si>
    <t>PSR_5151.63_DN_80 km/h</t>
  </si>
  <si>
    <t>PSR_5151.63_UP_80 km/h</t>
  </si>
  <si>
    <t>PSR_5546.19_DN_80 km/h</t>
  </si>
  <si>
    <t>PSR_5546.19_UP_80 km/h</t>
  </si>
  <si>
    <t>PSR_5621.73_DN_80 km/h</t>
  </si>
  <si>
    <t>PSR_5621.73_UP_80 km/h</t>
  </si>
  <si>
    <t>PSR_5810.81_DN_80 km/h</t>
  </si>
  <si>
    <t>PSR_5810.81_UP_80 km/h</t>
  </si>
  <si>
    <t>PSR_5886.29_DN_80 km/h</t>
  </si>
  <si>
    <t>PSR_5886.29_UP_80 km/h</t>
  </si>
  <si>
    <t>PSR_6342.89_DN_80 km/h</t>
  </si>
  <si>
    <t>PSR_6342.89_UP_80 km/h</t>
  </si>
  <si>
    <t>PSR_6418.87_DN_80 km/h</t>
  </si>
  <si>
    <t>PSR_6418.87_UP_80 km/h</t>
  </si>
  <si>
    <t>PSR_6590.73_DN_55 km/h</t>
  </si>
  <si>
    <t>PSR_6590.73_UP_80 km/h</t>
  </si>
  <si>
    <t>PSR_6868.78_DN_80 km/h</t>
  </si>
  <si>
    <t>PSR_6868.78_UP_55 km/h</t>
  </si>
  <si>
    <t>PSR_6999.56_DN_55 km/h</t>
  </si>
  <si>
    <t>PSR_6999.56_UP_80 km/h</t>
  </si>
  <si>
    <t>PSR_7178.13_DN_80 km/h</t>
  </si>
  <si>
    <t>PSR_7178.13_UP_55 km/h</t>
  </si>
  <si>
    <t>PSR_7367.18_DN_75 km/h</t>
  </si>
  <si>
    <t>PSR_7367.18_UP_80 km/h</t>
  </si>
  <si>
    <t>PSR_7465.33_DN_80 km/h</t>
  </si>
  <si>
    <t>PSR_7465.33_UP_75 km/h</t>
  </si>
  <si>
    <t>PSR_7490.91_DN_75 km/h</t>
  </si>
  <si>
    <t>PSR_7490.91_UP_80 km/h</t>
  </si>
  <si>
    <t>PSR_7583.44_DN_80 km/h</t>
  </si>
  <si>
    <t>PSR_7583.44_UP_75 km/h</t>
  </si>
  <si>
    <t>PSR_7715.8_DN_55 km/h</t>
  </si>
  <si>
    <t>PSR_7715.8_UP_80 km/h</t>
  </si>
  <si>
    <t>PSR_7829.49_DN_75 km/h</t>
  </si>
  <si>
    <t>PSR_7829.49_UP_55 km/h</t>
  </si>
  <si>
    <t>PSR_7968.58_DN_80 km/h</t>
  </si>
  <si>
    <t>PSR_7968.58_UP_75 km/h</t>
  </si>
  <si>
    <t>PSR_8247.07_DN_55 km/h</t>
  </si>
  <si>
    <t>PSR_8247.07_UP_80 km/h</t>
  </si>
  <si>
    <t>PSR_8361.55_DN_55 km/h</t>
  </si>
  <si>
    <t>PSR_8361.55_UP_55 km/h</t>
  </si>
  <si>
    <t>PSR_8480.27_DN_80 km/h</t>
  </si>
  <si>
    <t>PSR_8480.27_UP_55 km/h</t>
  </si>
  <si>
    <t>PSR_8506.66_DN_50 km/h</t>
  </si>
  <si>
    <t>PSR_8506.66_UP_80 km/h</t>
  </si>
  <si>
    <t>PSR_8675.29_DN_80 km/h</t>
  </si>
  <si>
    <t>PSR_8675.29_UP_50 km/h</t>
  </si>
  <si>
    <t>PSR_8770.11_DN_75 km/h</t>
  </si>
  <si>
    <t>PSR_8770.11_UP_80 km/h</t>
  </si>
  <si>
    <t>PSR_9018.39_DN_80 km/h</t>
  </si>
  <si>
    <t>PSR_9018.39_UP_75 km/h</t>
  </si>
  <si>
    <t>PSR_9188.83_DN_80 km/h</t>
  </si>
  <si>
    <t>PSR_9188.83_UP_80 km/h</t>
  </si>
  <si>
    <t>PSR_9274.09_DN_80 km/h</t>
  </si>
  <si>
    <t>PSR_9274.09_UP_80 km/h</t>
  </si>
  <si>
    <t>PSR_9496.86_DN_55 km/h</t>
  </si>
  <si>
    <t>PSR_9496.86_UP_80 km/h</t>
  </si>
  <si>
    <t>PSR_9617.67_DN_80 km/h</t>
  </si>
  <si>
    <t>PSR_9617.67_UP_55 km/h</t>
  </si>
  <si>
    <t>PSR_9681.13_DN_55 km/h</t>
  </si>
  <si>
    <t>PSR_9681.13_UP_80 km/h</t>
  </si>
  <si>
    <t>PSR_9830.11_DN_80 km/h</t>
  </si>
  <si>
    <t>PSR_9830.11_UP_55 km/h</t>
  </si>
  <si>
    <t>PSR_9877.75_DN_55 km/h</t>
  </si>
  <si>
    <t>PSR_9877.75_UP_80 km/h</t>
  </si>
  <si>
    <t>PSR_9986.8_DN_80 km/h</t>
  </si>
  <si>
    <t>PSR_9986.8_UP_55 km/h</t>
  </si>
  <si>
    <t>PSR_10423.85_DN_80 km/h</t>
  </si>
  <si>
    <t>PSR_10423.85_UP_80 km/h</t>
  </si>
  <si>
    <t>PSR_10500.36_DN_80 km/h</t>
  </si>
  <si>
    <t>PSR_10500.36_UP_80 km/h</t>
  </si>
  <si>
    <t>PSR_10540.53_DN_70 km/h</t>
  </si>
  <si>
    <t>PSR_10540.53_UP_80 km/h</t>
  </si>
  <si>
    <t>PSR_10708.7_DN_70 km/h</t>
  </si>
  <si>
    <t>PSR_10708.7_UP_70 km/h</t>
  </si>
  <si>
    <t>PSR_11066.68_DN_70 km/h</t>
  </si>
  <si>
    <t>PSR_11066.68_UP_70 km/h</t>
  </si>
  <si>
    <t>PSR_11332.52_DN_80 km/h</t>
  </si>
  <si>
    <t>PSR_11332.52_UP_70 km/h</t>
  </si>
  <si>
    <t>PSR_11435.99_DN_80 km/h</t>
  </si>
  <si>
    <t>PSR_11435.99_UP_80 km/h</t>
  </si>
  <si>
    <t>PSR_11520.71_DN_80 km/h</t>
  </si>
  <si>
    <t>PSR_11520.71_UP_80 km/h</t>
  </si>
  <si>
    <t>PSR_11547.6_DN_80 km/h</t>
  </si>
  <si>
    <t>PSR_11547.6_UP_80 km/h</t>
  </si>
  <si>
    <t>PSR_11657.65_DN_80 km/h</t>
  </si>
  <si>
    <t>PSR_11657.65_UP_80 km/h</t>
  </si>
  <si>
    <t>PSR_11854.83_DN_70 km/h</t>
  </si>
  <si>
    <t>PSR_11854.83_UP_80 km/h</t>
  </si>
  <si>
    <t>PSR_11931.56_DN_70 km/h</t>
  </si>
  <si>
    <t>PSR_11931.56_UP_70 km/h</t>
  </si>
  <si>
    <t>PSR_12018.17_DN_80 km/h</t>
  </si>
  <si>
    <t>PSR_12018.17_UP_70 km/h</t>
  </si>
  <si>
    <t>PSR_12204.89_DN_80 km/h</t>
  </si>
  <si>
    <t>PSR_12204.89_UP_80 km/h</t>
  </si>
  <si>
    <t>PSR_12284.49_DN_80 km/h</t>
  </si>
  <si>
    <t>PSR_12284.49_UP_80 km/h</t>
  </si>
  <si>
    <t>PSR_12349.29_DN_80 km/h</t>
  </si>
  <si>
    <t>PSR_12349.29_UP_80 km/h</t>
  </si>
  <si>
    <t>PSR_12428.31_DN_80 km/h</t>
  </si>
  <si>
    <t>PSR_12428.31_UP_80 km/h</t>
  </si>
  <si>
    <t>PSR_12820.32_DN_55 km/h</t>
  </si>
  <si>
    <t>PSR_12820.32_UP_80 km/h</t>
  </si>
  <si>
    <t>PSR_13054.76_DN_80 km/h</t>
  </si>
  <si>
    <t>PSR_13054.76_UP_55 km/h</t>
  </si>
  <si>
    <t>PSR_13405.48_DN_80 km/h</t>
  </si>
  <si>
    <t>PSR_13405.48_UP_80 km/h</t>
  </si>
  <si>
    <t>PSR_13483.99_DN_80 km/h</t>
  </si>
  <si>
    <t>PSR_13483.99_UP_80 km/h</t>
  </si>
  <si>
    <t>PSR_13855.82_DN_55 km/h</t>
  </si>
  <si>
    <t>PSR_13855.82_UP_80 km/h</t>
  </si>
  <si>
    <t>PSR_14002.09_DN_80 km/h</t>
  </si>
  <si>
    <t>PSR_14002.09_UP_55 km/h</t>
  </si>
  <si>
    <t>PSR_14046.53_DN_80 km/h</t>
  </si>
  <si>
    <t>PSR_14046.53_UP_80 km/h</t>
  </si>
  <si>
    <t>PSR_14127.69_DN_80 km/h</t>
  </si>
  <si>
    <t>PSR_14127.69_UP_80 km/h</t>
  </si>
  <si>
    <t>PSR_14352.12_DN_80 km/h</t>
  </si>
  <si>
    <t>PSR_14352.12_UP_80 km/h</t>
  </si>
  <si>
    <t>PSR_14428.67_DN_65 km/h</t>
  </si>
  <si>
    <t>PSR_14428.67_UP_80 km/h</t>
  </si>
  <si>
    <t>PSR_14540.35_DN_70 km/h</t>
  </si>
  <si>
    <t>PSR_14540.35_UP_65 km/h</t>
  </si>
  <si>
    <t>PSR_14626.79_DN_80 km/h</t>
  </si>
  <si>
    <t>PSR_14626.79_UP_70 km/h</t>
  </si>
  <si>
    <t>PSR_14814.17_DN_80 km/h</t>
  </si>
  <si>
    <t>PSR_14814.17_UP_80 km/h</t>
  </si>
  <si>
    <t>PSR_14889.59_DN_80 km/h</t>
  </si>
  <si>
    <t>PSR_14889.59_UP_80 km/h</t>
  </si>
  <si>
    <t>PSR_15101.15_DN_75 km/h</t>
  </si>
  <si>
    <t>PSR_15101.15_UP_80 km/h</t>
  </si>
  <si>
    <t>PSR_15424.83_DN_80 km/h</t>
  </si>
  <si>
    <t>PSR_15424.83_UP_75 km/h</t>
  </si>
  <si>
    <t>PSR_15445.59_DN_80 km/h</t>
  </si>
  <si>
    <t>PSR_15445.59_UP_80 km/h</t>
  </si>
  <si>
    <t>PSR_15456.48_DN_80 km/h</t>
  </si>
  <si>
    <t>PSR_15456.48_UP_80 km/h</t>
  </si>
  <si>
    <t>LT_Board_5</t>
  </si>
  <si>
    <t>flood_water</t>
  </si>
  <si>
    <t>Track_112</t>
  </si>
  <si>
    <t>station_kandivali_west_fire</t>
  </si>
  <si>
    <t>Fire</t>
  </si>
  <si>
    <t>Not Visible</t>
  </si>
  <si>
    <t>Track_10_2_Track_3</t>
  </si>
  <si>
    <t>station_magathane_fire</t>
  </si>
  <si>
    <t>Charkop Depot</t>
  </si>
  <si>
    <t>Depot Region</t>
  </si>
  <si>
    <t>Automatic Region</t>
  </si>
  <si>
    <t>Track_20_1_Track_3</t>
  </si>
  <si>
    <t>auto_segment_2_1</t>
  </si>
  <si>
    <t>auto_segment_1_2</t>
  </si>
  <si>
    <t>auto_segment_2_3</t>
  </si>
  <si>
    <t>CBTC Beacon Depot</t>
  </si>
  <si>
    <t>BC_4504</t>
  </si>
  <si>
    <t>BC_4524A</t>
  </si>
  <si>
    <t>BC_3000</t>
  </si>
  <si>
    <t>BC_3002</t>
  </si>
  <si>
    <t>BC_4033</t>
  </si>
  <si>
    <t>BC_3004</t>
  </si>
  <si>
    <t>BC_4038</t>
  </si>
  <si>
    <t>BC_1037</t>
  </si>
  <si>
    <t>auto_segment_2_5</t>
  </si>
  <si>
    <t>BC_1045</t>
  </si>
  <si>
    <t>BC_1057</t>
  </si>
  <si>
    <t>BC_5012</t>
  </si>
  <si>
    <t>auto_segment_2_8</t>
  </si>
  <si>
    <t>BC_4066</t>
  </si>
  <si>
    <t>auto_segment_2_9</t>
  </si>
  <si>
    <t>BC_3016</t>
  </si>
  <si>
    <t>BC_4094</t>
  </si>
  <si>
    <t>BC_3035</t>
  </si>
  <si>
    <t>BC_3047</t>
  </si>
  <si>
    <t>BC_4023</t>
  </si>
  <si>
    <t>BC_3001</t>
  </si>
  <si>
    <t>BC_3003</t>
  </si>
  <si>
    <t>BC_4034</t>
  </si>
  <si>
    <t>BC_3005</t>
  </si>
  <si>
    <t>BC_4040</t>
  </si>
  <si>
    <t>BC_1044</t>
  </si>
  <si>
    <t>auto_segment_1_4</t>
  </si>
  <si>
    <t>BC_1052</t>
  </si>
  <si>
    <t>BC_1060</t>
  </si>
  <si>
    <t>BC_5013</t>
  </si>
  <si>
    <t>auto_segment_1_5</t>
  </si>
  <si>
    <t>BC_5016</t>
  </si>
  <si>
    <t>BC_4077</t>
  </si>
  <si>
    <t>auto_segment_1_8</t>
  </si>
  <si>
    <t>BC_3021</t>
  </si>
  <si>
    <t>BC_4116</t>
  </si>
  <si>
    <t>BC_3050</t>
  </si>
  <si>
    <t>BC_5018</t>
  </si>
  <si>
    <t>Track_61_1</t>
  </si>
  <si>
    <t>BC_4070</t>
  </si>
  <si>
    <t>Track_64</t>
  </si>
  <si>
    <t>Track_67</t>
  </si>
  <si>
    <t>BC_2108</t>
  </si>
  <si>
    <t>BC_4104</t>
  </si>
  <si>
    <t>BC_2111</t>
  </si>
  <si>
    <t>BC_2114</t>
  </si>
  <si>
    <t>BC_4072</t>
  </si>
  <si>
    <t>Track_65</t>
  </si>
  <si>
    <t>BC_2109</t>
  </si>
  <si>
    <t>BC_4105</t>
  </si>
  <si>
    <t>BC_2112</t>
  </si>
  <si>
    <t>BC_4073</t>
  </si>
  <si>
    <t>Track_61_3</t>
  </si>
  <si>
    <t>BC_2110</t>
  </si>
  <si>
    <t>BC_4107</t>
  </si>
  <si>
    <t>BC_2113</t>
  </si>
  <si>
    <t>BC_3020</t>
  </si>
  <si>
    <t>BC_4113</t>
  </si>
  <si>
    <t>BC_3049</t>
  </si>
  <si>
    <t>BC_4080</t>
  </si>
  <si>
    <t>Track_109_1</t>
  </si>
  <si>
    <t>BC_3025</t>
  </si>
  <si>
    <t>BC_4130</t>
  </si>
  <si>
    <t>BC_3055</t>
  </si>
  <si>
    <t>BC_4079</t>
  </si>
  <si>
    <t>Track_1</t>
  </si>
  <si>
    <t>BC_3024</t>
  </si>
  <si>
    <t>BC_4129</t>
  </si>
  <si>
    <t>BC_3053</t>
  </si>
  <si>
    <t>BC_4075</t>
  </si>
  <si>
    <t>Track_72</t>
  </si>
  <si>
    <t>BC_3019</t>
  </si>
  <si>
    <t>BC_4108</t>
  </si>
  <si>
    <t>BC_3048</t>
  </si>
  <si>
    <t>BC_4078</t>
  </si>
  <si>
    <t>Track_73</t>
  </si>
  <si>
    <t>BC_3023</t>
  </si>
  <si>
    <t>BC_4125</t>
  </si>
  <si>
    <t>BC_3052</t>
  </si>
  <si>
    <t>BC_4068</t>
  </si>
  <si>
    <t>Track_111</t>
  </si>
  <si>
    <t>BC_3017</t>
  </si>
  <si>
    <t>BC_4101</t>
  </si>
  <si>
    <t>BC_3039</t>
  </si>
  <si>
    <t>BC_4069</t>
  </si>
  <si>
    <t>BC_3018</t>
  </si>
  <si>
    <t>Track_75_1</t>
  </si>
  <si>
    <t>BC_4102</t>
  </si>
  <si>
    <t>BC_3040</t>
  </si>
  <si>
    <t>BC_5010</t>
  </si>
  <si>
    <t>BC_4058</t>
  </si>
  <si>
    <t>Track_112_1</t>
  </si>
  <si>
    <t>BC_3009</t>
  </si>
  <si>
    <t>BC_4086</t>
  </si>
  <si>
    <t>BC_3029</t>
  </si>
  <si>
    <t>BC_3041</t>
  </si>
  <si>
    <t>BC_4059</t>
  </si>
  <si>
    <t>Track_77</t>
  </si>
  <si>
    <t>BC_3010</t>
  </si>
  <si>
    <t>BC_4088</t>
  </si>
  <si>
    <t>BC_3030</t>
  </si>
  <si>
    <t>BC_3042</t>
  </si>
  <si>
    <t>BC_5009</t>
  </si>
  <si>
    <t>Track_79_1</t>
  </si>
  <si>
    <t>BC_4060</t>
  </si>
  <si>
    <t>Track_113</t>
  </si>
  <si>
    <t>BC_3011</t>
  </si>
  <si>
    <t>BC_4089</t>
  </si>
  <si>
    <t>BC_3031</t>
  </si>
  <si>
    <t>BC_3043</t>
  </si>
  <si>
    <t>BC_5008</t>
  </si>
  <si>
    <t>Track_116</t>
  </si>
  <si>
    <t>BC_4056</t>
  </si>
  <si>
    <t>Track_79_3</t>
  </si>
  <si>
    <t>BC_3006</t>
  </si>
  <si>
    <t>BC_4082</t>
  </si>
  <si>
    <t>BC_3027</t>
  </si>
  <si>
    <t>BC_3036</t>
  </si>
  <si>
    <t>BC_4057</t>
  </si>
  <si>
    <t>Track_80</t>
  </si>
  <si>
    <t>BC_3008</t>
  </si>
  <si>
    <t>BC_4083</t>
  </si>
  <si>
    <t>BC_3028</t>
  </si>
  <si>
    <t>BC_3038</t>
  </si>
  <si>
    <t>BC_4062</t>
  </si>
  <si>
    <t>Track_2_1</t>
  </si>
  <si>
    <t>BC_3013</t>
  </si>
  <si>
    <t>BC_4091</t>
  </si>
  <si>
    <t>BC_3033</t>
  </si>
  <si>
    <t>BC_3045</t>
  </si>
  <si>
    <t>BC_4064</t>
  </si>
  <si>
    <t>Track_82</t>
  </si>
  <si>
    <t>BC_3014</t>
  </si>
  <si>
    <t>BC_4092</t>
  </si>
  <si>
    <t>BC_3034</t>
  </si>
  <si>
    <t>BC_3046</t>
  </si>
  <si>
    <t>BC_4061</t>
  </si>
  <si>
    <t>Track_116_1</t>
  </si>
  <si>
    <t>BC_3012</t>
  </si>
  <si>
    <t>BC_4090</t>
  </si>
  <si>
    <t>BC_3032</t>
  </si>
  <si>
    <t>BC_3044</t>
  </si>
  <si>
    <t>BC_5006</t>
  </si>
  <si>
    <t>Track_86</t>
  </si>
  <si>
    <t>BC_5014</t>
  </si>
  <si>
    <t>Track_84</t>
  </si>
  <si>
    <t>BC_5015</t>
  </si>
  <si>
    <t>Track_119</t>
  </si>
  <si>
    <t>BC_5017</t>
  </si>
  <si>
    <t>Track_86_2</t>
  </si>
  <si>
    <t>BC_4093</t>
  </si>
  <si>
    <t>Track_86_3</t>
  </si>
  <si>
    <t>BC_3022</t>
  </si>
  <si>
    <t>BC_4120</t>
  </si>
  <si>
    <t>BC_3051</t>
  </si>
  <si>
    <t>BC_3056</t>
  </si>
  <si>
    <t>BC_2069</t>
  </si>
  <si>
    <t>Track_87</t>
  </si>
  <si>
    <t>BC_4022</t>
  </si>
  <si>
    <t>BC_2079</t>
  </si>
  <si>
    <t>BC_4029</t>
  </si>
  <si>
    <t>BC_1024</t>
  </si>
  <si>
    <t>Track_87_1</t>
  </si>
  <si>
    <t>BC_1025</t>
  </si>
  <si>
    <t>BC_1027</t>
  </si>
  <si>
    <t>BC_4037</t>
  </si>
  <si>
    <t>BC_2085</t>
  </si>
  <si>
    <t>BC_2086</t>
  </si>
  <si>
    <t>BC_4042</t>
  </si>
  <si>
    <t>BC_2087</t>
  </si>
  <si>
    <t>BC_2088</t>
  </si>
  <si>
    <t>2ASH9907_Signal</t>
  </si>
  <si>
    <t>Shunt_Signal</t>
  </si>
  <si>
    <t>Off</t>
  </si>
  <si>
    <t>2ASH9905_Signal</t>
  </si>
  <si>
    <t>2ASH9904_Signal</t>
  </si>
  <si>
    <t>2ASH9906_Signal</t>
  </si>
  <si>
    <t>2ASH9909_Signal</t>
  </si>
  <si>
    <t>2ASH9002_Signal</t>
  </si>
  <si>
    <t>2ABS9102_Signal</t>
  </si>
  <si>
    <t>2ASH9912_Signal</t>
  </si>
  <si>
    <t>2ASH9914_Signal</t>
  </si>
  <si>
    <t>2ARS9101_Signal</t>
  </si>
  <si>
    <t>2ARS9002_Signal</t>
  </si>
  <si>
    <t>Shunt_Signal_Attach</t>
  </si>
  <si>
    <t>2ABS9001_Signal</t>
  </si>
  <si>
    <t>2ASH9902_Signal</t>
  </si>
  <si>
    <t>2ABS9919_Signal</t>
  </si>
  <si>
    <t>2ASH9916_Signal</t>
  </si>
  <si>
    <t>2ASH9918_Signal</t>
  </si>
  <si>
    <t>2ASH9920_Signal</t>
  </si>
  <si>
    <t>2ASH9922_Signal</t>
  </si>
  <si>
    <t>2ASH9924_Signal</t>
  </si>
  <si>
    <t>2ASH9926_Signal</t>
  </si>
  <si>
    <t>2ASH9928_Signal</t>
  </si>
  <si>
    <t>2ASH9930_Signal</t>
  </si>
  <si>
    <t>2ASH9932_Signal</t>
  </si>
  <si>
    <t>2ASH9934_Signal</t>
  </si>
  <si>
    <t>2ASH9936_Signal</t>
  </si>
  <si>
    <t>2ASH9938_Signal</t>
  </si>
  <si>
    <t>2ASH9940_Signal</t>
  </si>
  <si>
    <t>2ASH9942_Signal</t>
  </si>
  <si>
    <t>2ASH9944_Signal</t>
  </si>
  <si>
    <t>2ASH9946_Signal</t>
  </si>
  <si>
    <t>2ASH9948_Signal</t>
  </si>
  <si>
    <t>2ASH9950_Signal</t>
  </si>
  <si>
    <t>2ASH9952_Signal</t>
  </si>
  <si>
    <t>Track_102</t>
  </si>
  <si>
    <t>2ASH9954_Signal</t>
  </si>
  <si>
    <t>Track_110_3</t>
  </si>
  <si>
    <t>2ASH9956_Signal</t>
  </si>
  <si>
    <t>2ASH9958_Signal</t>
  </si>
  <si>
    <t>2ASH9960_Signal</t>
  </si>
  <si>
    <t>2ASH9962_Signal</t>
  </si>
  <si>
    <t>Track_62_1</t>
  </si>
  <si>
    <t>2ASH9964_Signal</t>
  </si>
  <si>
    <t>Track_60</t>
  </si>
  <si>
    <t>2ABS9959_Signal</t>
  </si>
  <si>
    <t>2ABS9961_Signal</t>
  </si>
  <si>
    <t>2ABS9963_Signal</t>
  </si>
  <si>
    <t>2ABS9965_Signal</t>
  </si>
  <si>
    <t>2ABS9967_Signal</t>
  </si>
  <si>
    <t>2ABS9921_Signal</t>
  </si>
  <si>
    <t>2ABS9923_Signal</t>
  </si>
  <si>
    <t>2ABS9925_Signal</t>
  </si>
  <si>
    <t>2ABS9927_Signal</t>
  </si>
  <si>
    <t>2ABS9929_Signal</t>
  </si>
  <si>
    <t>2ABS9931_Signal</t>
  </si>
  <si>
    <t>2ABS9933_Signal</t>
  </si>
  <si>
    <t>2ABS9935_Signal</t>
  </si>
  <si>
    <t>2ABS9937_Signal</t>
  </si>
  <si>
    <t>2ABS9939_Signal</t>
  </si>
  <si>
    <t>2ABS9941_Signal</t>
  </si>
  <si>
    <t>2ABS9943_Signal</t>
  </si>
  <si>
    <t>2ABS9945_Signal</t>
  </si>
  <si>
    <t>2ABS9947_Signal</t>
  </si>
  <si>
    <t>2ABS9949_Signal</t>
  </si>
  <si>
    <t>2ABS9951_Signal</t>
  </si>
  <si>
    <t>2ABS9953_Signal</t>
  </si>
  <si>
    <t>2ABS9955_Signal</t>
  </si>
  <si>
    <t>2ABS9957_Signal</t>
  </si>
  <si>
    <t>2AT9901</t>
  </si>
  <si>
    <t>2AT9901A</t>
  </si>
  <si>
    <t>2AT9903</t>
  </si>
  <si>
    <t>Track_59</t>
  </si>
  <si>
    <t>Track_58</t>
  </si>
  <si>
    <t>2AT9905</t>
  </si>
  <si>
    <t>2AT9907</t>
  </si>
  <si>
    <t>2AT9939</t>
  </si>
  <si>
    <t>Track_61</t>
  </si>
  <si>
    <t>2AT9940</t>
  </si>
  <si>
    <t>Track_110_1</t>
  </si>
  <si>
    <t>auto_segment_1_7</t>
  </si>
  <si>
    <t>2AT9956</t>
  </si>
  <si>
    <t>2AT9941</t>
  </si>
  <si>
    <t>2AT9902</t>
  </si>
  <si>
    <t>2AT9902A</t>
  </si>
  <si>
    <t>2AT9904</t>
  </si>
  <si>
    <t>2AT9906</t>
  </si>
  <si>
    <t>2AT9908</t>
  </si>
  <si>
    <t>Track_79</t>
  </si>
  <si>
    <t>2AT9934</t>
  </si>
  <si>
    <t>2AT9938</t>
  </si>
  <si>
    <t>2AT9909</t>
  </si>
  <si>
    <t>2AT9912</t>
  </si>
  <si>
    <t>2AT9913</t>
  </si>
  <si>
    <t>2AT9914</t>
  </si>
  <si>
    <t>2AT9910</t>
  </si>
  <si>
    <t>2AT9911</t>
  </si>
  <si>
    <t>2AT9918</t>
  </si>
  <si>
    <t>2AT9919</t>
  </si>
  <si>
    <t>2AT9920</t>
  </si>
  <si>
    <t>Track_2</t>
  </si>
  <si>
    <t>Track_79_2</t>
  </si>
  <si>
    <t>2AT9921</t>
  </si>
  <si>
    <t>2AT9922</t>
  </si>
  <si>
    <t>2AT9923</t>
  </si>
  <si>
    <t>2AT9925</t>
  </si>
  <si>
    <t>2AT9926</t>
  </si>
  <si>
    <t>2AT9927</t>
  </si>
  <si>
    <t>2AT9928</t>
  </si>
  <si>
    <t>2AT9929</t>
  </si>
  <si>
    <t>2AT9930</t>
  </si>
  <si>
    <t>2AT9931</t>
  </si>
  <si>
    <t>2AT9932</t>
  </si>
  <si>
    <t>2AT9933</t>
  </si>
  <si>
    <t>2AT9935</t>
  </si>
  <si>
    <t>2AT9936</t>
  </si>
  <si>
    <t>2AT9942</t>
  </si>
  <si>
    <t>2AT9943</t>
  </si>
  <si>
    <t>2AT9944</t>
  </si>
  <si>
    <t>2AT9945</t>
  </si>
  <si>
    <t>2AT9947</t>
  </si>
  <si>
    <t>2AT9946</t>
  </si>
  <si>
    <t>2AT9957</t>
  </si>
  <si>
    <t>2AT9948</t>
  </si>
  <si>
    <t>2AT9958</t>
  </si>
  <si>
    <t>2AT9949</t>
  </si>
  <si>
    <t>2AT9950</t>
  </si>
  <si>
    <t>2AT9951</t>
  </si>
  <si>
    <t>2AT9952</t>
  </si>
  <si>
    <t>2AT9953</t>
  </si>
  <si>
    <t>2AT9954</t>
  </si>
  <si>
    <t>2AT9955</t>
  </si>
  <si>
    <t>SSP_2AT9902_8_UP</t>
  </si>
  <si>
    <t>SSP_2AT9902_6_UP</t>
  </si>
  <si>
    <t>SSP_2AT9901_8_UP</t>
  </si>
  <si>
    <t>SSP_2AT9901_6_UP</t>
  </si>
  <si>
    <t>SSP_2AT9101_8_UP</t>
  </si>
  <si>
    <t>Hold</t>
  </si>
  <si>
    <t>SSP_2AT9101_6_UP</t>
  </si>
  <si>
    <t>SSP_2AT9001_6_DN</t>
  </si>
  <si>
    <t>SSP_2AT9001_8_DN</t>
  </si>
  <si>
    <t>SSP_2AT9914_8_DN</t>
  </si>
  <si>
    <t>SSP_2AT9914_6_DN</t>
  </si>
  <si>
    <t>SSP_2AT9922_6_DN</t>
  </si>
  <si>
    <t>SSP_2AT9922_8_DN</t>
  </si>
  <si>
    <t>SSP_2AT9924_6_DN</t>
  </si>
  <si>
    <t>SSP_2AT9924_8_DN</t>
  </si>
  <si>
    <t>SSP_2AT9925_6_DN</t>
  </si>
  <si>
    <t>SSP_2AT9925_8_DN</t>
  </si>
  <si>
    <t>SSP_2AT9927_6_DN</t>
  </si>
  <si>
    <t>SSP_2AT9927_8_DN</t>
  </si>
  <si>
    <t>SSP_2AT9928_6_DN</t>
  </si>
  <si>
    <t>SSP_2AT9928_8_DN</t>
  </si>
  <si>
    <t>SSP_2AT9930_6_DN</t>
  </si>
  <si>
    <t>SSP_2AT9930_8_DN</t>
  </si>
  <si>
    <t>SSP_2AT9932_6_DN</t>
  </si>
  <si>
    <t>SSP_2AT9932_8_DN</t>
  </si>
  <si>
    <t>SSP_2AT9933_6_DN</t>
  </si>
  <si>
    <t>SSP_2AT9933_8_DN</t>
  </si>
  <si>
    <t>SSP_2AT9935_6_DN</t>
  </si>
  <si>
    <t>SSP_2AT9935_8_DN</t>
  </si>
  <si>
    <t>SSP_2AT9936_6_DN</t>
  </si>
  <si>
    <t>SSP_2AT9936_8_DN</t>
  </si>
  <si>
    <t>SSP_2AT9938_6_DN</t>
  </si>
  <si>
    <t>SSP_2AT9938_8_DN</t>
  </si>
  <si>
    <t>SSP_2AT9941_6_DN</t>
  </si>
  <si>
    <t>SSP_2AT9942_6_DN</t>
  </si>
  <si>
    <t>SSP_2AT9943_6_DN</t>
  </si>
  <si>
    <t>SSP_2AT9944_6_DN</t>
  </si>
  <si>
    <t>SSP_2AT9945_6_DN</t>
  </si>
  <si>
    <t>SSP_2AT9947_6_DN</t>
  </si>
  <si>
    <t>SSP_2AT9951_6_DN</t>
  </si>
  <si>
    <t>SSP_2AT9951_8_DN</t>
  </si>
  <si>
    <t>SSP_2AT9952_6_DN</t>
  </si>
  <si>
    <t>SSP_2AT9952_8_DN</t>
  </si>
  <si>
    <t>FP_2AP9905</t>
  </si>
  <si>
    <t>FP_2AP9906</t>
  </si>
  <si>
    <t>FP_2AP9908</t>
  </si>
  <si>
    <t>FP_2AP9907</t>
  </si>
  <si>
    <t>FP_2AP9909</t>
  </si>
  <si>
    <t>FP_2AP9910</t>
  </si>
  <si>
    <t>FP_2AP9911</t>
  </si>
  <si>
    <t>FP_2AP9912</t>
  </si>
  <si>
    <t>FP_2AP9918</t>
  </si>
  <si>
    <t>FP_2AP9913</t>
  </si>
  <si>
    <t>FP_2AP9914</t>
  </si>
  <si>
    <t>FP_2AP9915</t>
  </si>
  <si>
    <t>FP_2AP9916</t>
  </si>
  <si>
    <t>FP_2AP9001</t>
  </si>
  <si>
    <t>FP_2AP9930</t>
  </si>
  <si>
    <t>FP_2AP9917</t>
  </si>
  <si>
    <t>FP_2AP9920</t>
  </si>
  <si>
    <t>FP_2AP9921</t>
  </si>
  <si>
    <t>FP_2AP9922</t>
  </si>
  <si>
    <t>FP_2AP9919</t>
  </si>
  <si>
    <t>FP_2AP9923</t>
  </si>
  <si>
    <t>FP_2AP9924</t>
  </si>
  <si>
    <t>FP_2AP9925</t>
  </si>
  <si>
    <t>FP_2AP9926</t>
  </si>
  <si>
    <t>FP_2AP9928</t>
  </si>
  <si>
    <t>FP_2AP9927</t>
  </si>
  <si>
    <t>FP_2AP5212</t>
  </si>
  <si>
    <t>FP_2AP4402</t>
  </si>
  <si>
    <t>FP_2AP4401</t>
  </si>
  <si>
    <t>2ARS4408_Signal</t>
  </si>
  <si>
    <t>Track_10_1_Track_3</t>
  </si>
  <si>
    <t>2ARS4408_RI</t>
  </si>
  <si>
    <t>2ARS4403_Signal</t>
  </si>
  <si>
    <t>2ARS4403_RI</t>
  </si>
  <si>
    <t>2ARS4406_Signal</t>
  </si>
  <si>
    <t>2ARS4404_Signal</t>
  </si>
  <si>
    <t>2ARS4407_Signal</t>
  </si>
  <si>
    <t>2ARS4402_Signal</t>
  </si>
  <si>
    <t>Track_20_2_Track_3</t>
  </si>
  <si>
    <t>2ARS4402_RI</t>
  </si>
  <si>
    <t>2ARS5201_Signal</t>
  </si>
  <si>
    <t>Track_10_Track_4</t>
  </si>
  <si>
    <t>2ARS5201_RI</t>
  </si>
  <si>
    <t>2ARS5210_Signal</t>
  </si>
  <si>
    <t>Track_10_1_Track_5</t>
  </si>
  <si>
    <t>2ARS5203_Signal</t>
  </si>
  <si>
    <t>2ARS5203_RI</t>
  </si>
  <si>
    <t>2ARS5208_Signal</t>
  </si>
  <si>
    <t>Track_10_2_Track_5</t>
  </si>
  <si>
    <t>2ARS5205_Signal</t>
  </si>
  <si>
    <t>Track_20_Track_4</t>
  </si>
  <si>
    <t>2ARS5205_RI</t>
  </si>
  <si>
    <t>2ARS5206_Signal</t>
  </si>
  <si>
    <t>Track_20_2_Track_5</t>
  </si>
  <si>
    <t>2ARS5206_RI</t>
  </si>
  <si>
    <t>2ARS5207_Signal</t>
  </si>
  <si>
    <t>2ARS5207_RI</t>
  </si>
  <si>
    <t>2ARS5204_Signal</t>
  </si>
  <si>
    <t>Track_20_4_Track_5</t>
  </si>
  <si>
    <t>2ARS5204_RI</t>
  </si>
  <si>
    <t>2ARS5209_Signal</t>
  </si>
  <si>
    <t>2ARS5209_RI</t>
  </si>
  <si>
    <t>2ARS5202_Signal</t>
  </si>
  <si>
    <t>Track_20_5</t>
  </si>
  <si>
    <t>2ARS6001_Signal</t>
  </si>
  <si>
    <t>Track_10</t>
  </si>
  <si>
    <t>2ARS6001_RI</t>
  </si>
  <si>
    <t>2ARS6008_Signal</t>
  </si>
  <si>
    <t>Track_10_1</t>
  </si>
  <si>
    <t>2ARS6003_Signal</t>
  </si>
  <si>
    <t>2ARS6005_Signal</t>
  </si>
  <si>
    <t>Track_20</t>
  </si>
  <si>
    <t>2ARS6004_Signal</t>
  </si>
  <si>
    <t>Track_20_1</t>
  </si>
  <si>
    <t>2ARS6004_RI</t>
  </si>
  <si>
    <t>2ARS6007_Signal</t>
  </si>
  <si>
    <t>2ARS6007_RI</t>
  </si>
  <si>
    <t>2ARS6006_Signal</t>
  </si>
  <si>
    <t>Track_10_2</t>
  </si>
  <si>
    <t>2ARS6006_RI</t>
  </si>
  <si>
    <t>2ABS6009_Signal</t>
  </si>
  <si>
    <t>2ARS6002_Signal</t>
  </si>
  <si>
    <t>Track_20_2</t>
  </si>
  <si>
    <t>2ABS6011_Signal</t>
  </si>
  <si>
    <t>2ARS5218_Signal</t>
  </si>
  <si>
    <t>2ARS5218_RI</t>
  </si>
  <si>
    <t>2ARS5211_Signal</t>
  </si>
  <si>
    <t>2ARS5216_Signal</t>
  </si>
  <si>
    <t>auto_segment_2_2</t>
  </si>
  <si>
    <t>2ARS5216_RI</t>
  </si>
  <si>
    <t>2ARS5213_Signal</t>
  </si>
  <si>
    <t>2ARS5222_Signal</t>
  </si>
  <si>
    <t>2ARS5222_RI</t>
  </si>
  <si>
    <t>2ARS5214_Signal</t>
  </si>
  <si>
    <t>2ARS5214_RI</t>
  </si>
  <si>
    <t>2ARS5220_Signal</t>
  </si>
  <si>
    <t>2ARS5212_Signal</t>
  </si>
  <si>
    <t>2AT4403</t>
  </si>
  <si>
    <t>Track_48</t>
  </si>
  <si>
    <t>2AT4405</t>
  </si>
  <si>
    <t>2AT4407</t>
  </si>
  <si>
    <t>Track_49</t>
  </si>
  <si>
    <t>2AT4409</t>
  </si>
  <si>
    <t>2AT4411</t>
  </si>
  <si>
    <t>2AT4501</t>
  </si>
  <si>
    <t>2AT4503</t>
  </si>
  <si>
    <t>2AT4601</t>
  </si>
  <si>
    <t>2AT4603</t>
  </si>
  <si>
    <t>2AT4603A</t>
  </si>
  <si>
    <t>2AT4701</t>
  </si>
  <si>
    <t>2AT4703</t>
  </si>
  <si>
    <t>2AT4801</t>
  </si>
  <si>
    <t>2AT4803</t>
  </si>
  <si>
    <t>2AT4901</t>
  </si>
  <si>
    <t>2AT4903</t>
  </si>
  <si>
    <t>2AT5001</t>
  </si>
  <si>
    <t>2AT5003</t>
  </si>
  <si>
    <t>2AT5003A</t>
  </si>
  <si>
    <t>2AT5101</t>
  </si>
  <si>
    <t>2AT5103</t>
  </si>
  <si>
    <t>2AT5201</t>
  </si>
  <si>
    <t>2AT5203</t>
  </si>
  <si>
    <t>Track_51</t>
  </si>
  <si>
    <t>2AT5205</t>
  </si>
  <si>
    <t>2AT5207</t>
  </si>
  <si>
    <t>2AT5209</t>
  </si>
  <si>
    <t>Track_53</t>
  </si>
  <si>
    <t>2AT5211</t>
  </si>
  <si>
    <t>2AT5213</t>
  </si>
  <si>
    <t>2AT5301</t>
  </si>
  <si>
    <t>2AT5303</t>
  </si>
  <si>
    <t>2AT5401</t>
  </si>
  <si>
    <t>2AT5403</t>
  </si>
  <si>
    <t>2AT5403A</t>
  </si>
  <si>
    <t>2AT5501</t>
  </si>
  <si>
    <t>2AT5503</t>
  </si>
  <si>
    <t>2AT5601</t>
  </si>
  <si>
    <t>2AT5603</t>
  </si>
  <si>
    <t>2AT5701</t>
  </si>
  <si>
    <t>2AT5703</t>
  </si>
  <si>
    <t>Track_10_Track_5</t>
  </si>
  <si>
    <t>2AT5801</t>
  </si>
  <si>
    <t>2AT5803</t>
  </si>
  <si>
    <t>2AT5901</t>
  </si>
  <si>
    <t>2AT5903</t>
  </si>
  <si>
    <t>2AT5903A</t>
  </si>
  <si>
    <t>2AT6001</t>
  </si>
  <si>
    <t>2AT6003</t>
  </si>
  <si>
    <t>Track_56</t>
  </si>
  <si>
    <t>2AT6005</t>
  </si>
  <si>
    <t>2AT6007</t>
  </si>
  <si>
    <t>2AT6009</t>
  </si>
  <si>
    <t>2AT6011</t>
  </si>
  <si>
    <t>Track_57</t>
  </si>
  <si>
    <t>2AT6013</t>
  </si>
  <si>
    <t>2AT4404</t>
  </si>
  <si>
    <t>2AT4406</t>
  </si>
  <si>
    <t>2AT4408</t>
  </si>
  <si>
    <t>2AT4410</t>
  </si>
  <si>
    <t>2AT4412</t>
  </si>
  <si>
    <t>2AT4502</t>
  </si>
  <si>
    <t>2AT4504</t>
  </si>
  <si>
    <t>2AT4602</t>
  </si>
  <si>
    <t>2AT4604</t>
  </si>
  <si>
    <t>2AT4604A</t>
  </si>
  <si>
    <t>2AT4702</t>
  </si>
  <si>
    <t>2AT4704</t>
  </si>
  <si>
    <t>2AT4802</t>
  </si>
  <si>
    <t>2AT4804</t>
  </si>
  <si>
    <t>2AT4902</t>
  </si>
  <si>
    <t>2AT4904</t>
  </si>
  <si>
    <t>2AT5002</t>
  </si>
  <si>
    <t>2AT5004</t>
  </si>
  <si>
    <t>2AT5004A</t>
  </si>
  <si>
    <t>2AT5102</t>
  </si>
  <si>
    <t>2AT5104</t>
  </si>
  <si>
    <t>2AT5202</t>
  </si>
  <si>
    <t>Track_50</t>
  </si>
  <si>
    <t>2AT5204</t>
  </si>
  <si>
    <t>2AT5206</t>
  </si>
  <si>
    <t>2AT5208</t>
  </si>
  <si>
    <t>Track_20_3</t>
  </si>
  <si>
    <t>Track_52</t>
  </si>
  <si>
    <t>2AT5210</t>
  </si>
  <si>
    <t>2AT5212</t>
  </si>
  <si>
    <t>2AT5214</t>
  </si>
  <si>
    <t>Track_55</t>
  </si>
  <si>
    <t>2AT5216</t>
  </si>
  <si>
    <t>2AT5218</t>
  </si>
  <si>
    <t>2AT5302</t>
  </si>
  <si>
    <t>2AT5304</t>
  </si>
  <si>
    <t>2AT5402</t>
  </si>
  <si>
    <t>2AT5404</t>
  </si>
  <si>
    <t>2AT5404A</t>
  </si>
  <si>
    <t>2AT5502</t>
  </si>
  <si>
    <t>2AT5504</t>
  </si>
  <si>
    <t>2AT5602</t>
  </si>
  <si>
    <t>2AT5604</t>
  </si>
  <si>
    <t>2AT5702</t>
  </si>
  <si>
    <t>2AT5704</t>
  </si>
  <si>
    <t>Track_20_Track_5</t>
  </si>
  <si>
    <t>2AT5802</t>
  </si>
  <si>
    <t>2AT5804</t>
  </si>
  <si>
    <t>2AT5902</t>
  </si>
  <si>
    <t>2AT5904</t>
  </si>
  <si>
    <t>2AT5904A</t>
  </si>
  <si>
    <t>2AT6002</t>
  </si>
  <si>
    <t>2AT6004</t>
  </si>
  <si>
    <t>2AT6006</t>
  </si>
  <si>
    <t>2AT6008</t>
  </si>
  <si>
    <t>2AT6010</t>
  </si>
  <si>
    <t>2AT6012</t>
  </si>
  <si>
    <t>2AT6014</t>
  </si>
  <si>
    <t>2AT5220</t>
  </si>
  <si>
    <t>auto_segment_2</t>
  </si>
  <si>
    <t>2AT5222</t>
  </si>
  <si>
    <t>2AT5224</t>
  </si>
  <si>
    <t>2AT5226</t>
  </si>
  <si>
    <t>2AT5228</t>
  </si>
  <si>
    <t>2AT5230</t>
  </si>
  <si>
    <t>Track_54</t>
  </si>
  <si>
    <t>2AT5232</t>
  </si>
  <si>
    <t>2AT5234</t>
  </si>
  <si>
    <t>2AT5234A</t>
  </si>
  <si>
    <t>2AT5215</t>
  </si>
  <si>
    <t>auto_segment_1</t>
  </si>
  <si>
    <t>2AT5217</t>
  </si>
  <si>
    <t>2AT5219</t>
  </si>
  <si>
    <t>2AT5219A</t>
  </si>
  <si>
    <t>SSP_2AT4412_6_DN</t>
  </si>
  <si>
    <t>SSP_2AT4412_8_DN</t>
  </si>
  <si>
    <t>SSP_2AT5103_8_UP</t>
  </si>
  <si>
    <t>SSP_2AT5103_6_UP</t>
  </si>
  <si>
    <t>SSP_2AT5104_8_UP</t>
  </si>
  <si>
    <t>SSP_2AT5104_6_UP</t>
  </si>
  <si>
    <t>SSP_2AT5212_8_UP</t>
  </si>
  <si>
    <t>SSP_2AT5212_6_UP</t>
  </si>
  <si>
    <t>SSP_2AT5212_6_DN</t>
  </si>
  <si>
    <t>SSP_2AT5212_8_DN</t>
  </si>
  <si>
    <t>SSP_2AT6013_6_DN</t>
  </si>
  <si>
    <t>SSP_2AT6013_8_DN</t>
  </si>
  <si>
    <t>Dahisar East</t>
  </si>
  <si>
    <t>Dahisar East_2</t>
  </si>
  <si>
    <t>Platform Passenger - Dahisar East_2</t>
  </si>
  <si>
    <t>Passenger Alighting - Dahisar East_2</t>
  </si>
  <si>
    <t>Passenger Arriving - Dahisar East_2</t>
  </si>
  <si>
    <t>Passenger Intoxicated - Dahisar East_2</t>
  </si>
  <si>
    <t>Passenger Pram - Dahisar East_2</t>
  </si>
  <si>
    <t>Dahisar East_1</t>
  </si>
  <si>
    <t>Platform Passenger - Dahisar East_1</t>
  </si>
  <si>
    <t>Passenger Alighting - Dahisar East_1</t>
  </si>
  <si>
    <t>Passenger Arriving - Dahisar East_1</t>
  </si>
  <si>
    <t>Passenger Intoxicated - Dahisar East_1</t>
  </si>
  <si>
    <t>Passenger Pram - Dahisar East_1</t>
  </si>
  <si>
    <t>Anand Nagar</t>
  </si>
  <si>
    <t>Anand Nagar_2</t>
  </si>
  <si>
    <t>Platform Passenger - Anand Nagar_2</t>
  </si>
  <si>
    <t>Passenger Alighting - Anand Nagar_2</t>
  </si>
  <si>
    <t>Passenger Arriving - Anand Nagar_2</t>
  </si>
  <si>
    <t>Passenger Intoxicated - Anand Nagar_2</t>
  </si>
  <si>
    <t>Passenger Pram - Anand Nagar_2</t>
  </si>
  <si>
    <t>Anand Nagar_1</t>
  </si>
  <si>
    <t>Platform Passenger - Anand Nagar_1</t>
  </si>
  <si>
    <t>Passenger Alighting - Anand Nagar_1</t>
  </si>
  <si>
    <t>Passenger Arriving - Anand Nagar_1</t>
  </si>
  <si>
    <t>Passenger Intoxicated - Anand Nagar_1</t>
  </si>
  <si>
    <t>Passenger Pram - Anand Nagar_1</t>
  </si>
  <si>
    <t>Kandarpada</t>
  </si>
  <si>
    <t>Kandarpada_2</t>
  </si>
  <si>
    <t>Platform Passenger - Kandarpada_2</t>
  </si>
  <si>
    <t>Passenger Alighting - Kandarpada_2</t>
  </si>
  <si>
    <t>Passenger Arriving - Kandarpada_2</t>
  </si>
  <si>
    <t>Passenger Intoxicated - Kandarpada_2</t>
  </si>
  <si>
    <t>Passenger Pram - Kandarpada_2</t>
  </si>
  <si>
    <t>Kandarpada_1</t>
  </si>
  <si>
    <t>Platform Passenger - Kandarpada_1</t>
  </si>
  <si>
    <t>Passenger Alighting - Kandarpada_1</t>
  </si>
  <si>
    <t>Passenger Arriving - Kandarpada_1</t>
  </si>
  <si>
    <t>Passenger Intoxicated - Kandarpada_1</t>
  </si>
  <si>
    <t>Passenger Pram - Kandarpada_1</t>
  </si>
  <si>
    <t>Mandapeshwar</t>
  </si>
  <si>
    <t>Mandapeshwar_2</t>
  </si>
  <si>
    <t>Platform Passenger - Mandapeshwar_2</t>
  </si>
  <si>
    <t>Passenger Alighting - Mandapeshwar_2</t>
  </si>
  <si>
    <t>Passenger Arriving - Mandapeshwar_2</t>
  </si>
  <si>
    <t>Passenger Intoxicated - Mandapeshwar_2</t>
  </si>
  <si>
    <t>Passenger Pram - Mandapeshwar_2</t>
  </si>
  <si>
    <t>Mandapeshwar_1</t>
  </si>
  <si>
    <t>Platform Passenger - Mandapeshwar_1</t>
  </si>
  <si>
    <t>Passenger Alighting - Mandapeshwar_1</t>
  </si>
  <si>
    <t>Passenger Arriving - Mandapeshwar_1</t>
  </si>
  <si>
    <t>Passenger Intoxicated - Mandapeshwar_1</t>
  </si>
  <si>
    <t>Passenger Pram - Mandapeshwar_1</t>
  </si>
  <si>
    <t>Eksar</t>
  </si>
  <si>
    <t>Eksar_1</t>
  </si>
  <si>
    <t>Platform Passenger - Eksar_1</t>
  </si>
  <si>
    <t>Passenger Alighting - Eksar_1</t>
  </si>
  <si>
    <t>Passenger Arriving - Eksar_1</t>
  </si>
  <si>
    <t>Passenger Intoxicated - Eksar_1</t>
  </si>
  <si>
    <t>Passenger Pram - Eksar_1</t>
  </si>
  <si>
    <t>Eksar_2</t>
  </si>
  <si>
    <t>Platform Passenger - Eksar_2</t>
  </si>
  <si>
    <t>Passenger Alighting - Eksar_2</t>
  </si>
  <si>
    <t>Passenger Arriving - Eksar_2</t>
  </si>
  <si>
    <t>Passenger Intoxicated - Eksar_2</t>
  </si>
  <si>
    <t>Passenger Pram - Eksar_2</t>
  </si>
  <si>
    <t>Borivali West</t>
  </si>
  <si>
    <t>Borivali West_2</t>
  </si>
  <si>
    <t>Platform Passenger - Borivali West_2</t>
  </si>
  <si>
    <t>Passenger Alighting - Borivali West_2</t>
  </si>
  <si>
    <t>Passenger Arriving - Borivali West_2</t>
  </si>
  <si>
    <t>Passenger Intoxicated - Borivali West_2</t>
  </si>
  <si>
    <t>Passenger Pram - Borivali West_2</t>
  </si>
  <si>
    <t>Borivali West_1</t>
  </si>
  <si>
    <t>Platform Passenger - Borivali West_1</t>
  </si>
  <si>
    <t>Passenger Alighting - Borivali West_1</t>
  </si>
  <si>
    <t>Passenger Arriving - Borivali West_1</t>
  </si>
  <si>
    <t>Passenger Intoxicated - Borivali West_1</t>
  </si>
  <si>
    <t>Passenger Pram - Borivali West_1</t>
  </si>
  <si>
    <t>Pahadi Eksar</t>
  </si>
  <si>
    <t>Pahadi Eksar_2</t>
  </si>
  <si>
    <t>Platform Passenger - Pahadi Eksar_2</t>
  </si>
  <si>
    <t>Passenger Alighting - Pahadi Eksar_2</t>
  </si>
  <si>
    <t>Passenger Arriving - Pahadi Eksar_2</t>
  </si>
  <si>
    <t>Passenger Intoxicated - Pahadi Eksar_2</t>
  </si>
  <si>
    <t>Passenger Pram - Pahadi Eksar_2</t>
  </si>
  <si>
    <t>Pahadi Eksar_1</t>
  </si>
  <si>
    <t>Platform Passenger - Pahadi Eksar_1</t>
  </si>
  <si>
    <t>Passenger Alighting - Pahadi Eksar_1</t>
  </si>
  <si>
    <t>Passenger Arriving - Pahadi Eksar_1</t>
  </si>
  <si>
    <t>Passenger Intoxicated - Pahadi Eksar_1</t>
  </si>
  <si>
    <t>Passenger Pram - Pahadi Eksar_1</t>
  </si>
  <si>
    <t>Kandivali West</t>
  </si>
  <si>
    <t>Kandivali West_2</t>
  </si>
  <si>
    <t>Platform Passenger - Kandivali West_2</t>
  </si>
  <si>
    <t>Passenger Alighting - Kandivali West_2</t>
  </si>
  <si>
    <t>Passenger Arriving - Kandivali West_2</t>
  </si>
  <si>
    <t>Passenger Intoxicated - Kandivali West_2</t>
  </si>
  <si>
    <t>Passenger Pram - Kandivali West_2</t>
  </si>
  <si>
    <t>Kandivali West_1</t>
  </si>
  <si>
    <t>Platform Passenger - Kandivali West_1</t>
  </si>
  <si>
    <t>Passenger Alighting - Kandivali West_1</t>
  </si>
  <si>
    <t>Passenger Arriving - Kandivali West_1</t>
  </si>
  <si>
    <t>Passenger Intoxicated - Kandivali West_1</t>
  </si>
  <si>
    <t>Passenger Pram - Kandivali West_1</t>
  </si>
  <si>
    <t>Dahanukarwadi</t>
  </si>
  <si>
    <t>Dahanukarwadi_1</t>
  </si>
  <si>
    <t>Platform Passenger - Dahanukarwadi_1</t>
  </si>
  <si>
    <t>Passenger Alighting - Dahanukarwadi_1</t>
  </si>
  <si>
    <t>Passenger Arriving - Dahanukarwadi_1</t>
  </si>
  <si>
    <t>Passenger Intoxicated - Dahanukarwadi_1</t>
  </si>
  <si>
    <t>Passenger Pram - Dahanukarwadi_1</t>
  </si>
  <si>
    <t>Dahanukarwadi_2</t>
  </si>
  <si>
    <t>Platform Passenger - Dahanukarwadi_2</t>
  </si>
  <si>
    <t>Passenger Alighting - Dahanukarwadi_2</t>
  </si>
  <si>
    <t>Passenger Arriving - Dahanukarwadi_2</t>
  </si>
  <si>
    <t>Passenger Intoxicated - Dahanukarwadi_2</t>
  </si>
  <si>
    <t>Passenger Pram - Dahanukarwadi_2</t>
  </si>
  <si>
    <t>Valnai</t>
  </si>
  <si>
    <t>Valnai_1</t>
  </si>
  <si>
    <t>Platform Passenger - Valnai_1</t>
  </si>
  <si>
    <t>Passenger Alighting - Valnai_1</t>
  </si>
  <si>
    <t>Passenger Arriving - Valnai_1</t>
  </si>
  <si>
    <t>Passenger Intoxicated - Valnai_1</t>
  </si>
  <si>
    <t>Passenger Pram - Valnai_1</t>
  </si>
  <si>
    <t>Valnai_2</t>
  </si>
  <si>
    <t>Platform Passenger - Valnai_2</t>
  </si>
  <si>
    <t>Passenger Alighting - Valnai_2</t>
  </si>
  <si>
    <t>Passenger Arriving - Valnai_2</t>
  </si>
  <si>
    <t>Passenger Intoxicated - Valnai_2</t>
  </si>
  <si>
    <t>Passenger Pram - Valnai_2</t>
  </si>
  <si>
    <t>Malad West</t>
  </si>
  <si>
    <t>Malad West_1</t>
  </si>
  <si>
    <t>Platform Passenger - Malad West_1</t>
  </si>
  <si>
    <t>Passenger Alighting - Malad West_1</t>
  </si>
  <si>
    <t>Passenger Arriving - Malad West_1</t>
  </si>
  <si>
    <t>Passenger Intoxicated - Malad West_1</t>
  </si>
  <si>
    <t>Passenger Pram - Malad West_1</t>
  </si>
  <si>
    <t>Malad West_2</t>
  </si>
  <si>
    <t>Platform Passenger - Malad West_2</t>
  </si>
  <si>
    <t>Passenger Alighting - Malad West_2</t>
  </si>
  <si>
    <t>Passenger Arriving - Malad West_2</t>
  </si>
  <si>
    <t>Passenger Intoxicated - Malad West_2</t>
  </si>
  <si>
    <t>Passenger Pram - Malad West_2</t>
  </si>
  <si>
    <t>Lower Malad</t>
  </si>
  <si>
    <t>Lower Malad_1</t>
  </si>
  <si>
    <t>Platform Passenger - Lower Malad_1</t>
  </si>
  <si>
    <t>Passenger Alighting - Lower Malad_1</t>
  </si>
  <si>
    <t>Passenger Arriving - Lower Malad_1</t>
  </si>
  <si>
    <t>Passenger Intoxicated - Lower Malad_1</t>
  </si>
  <si>
    <t>Passenger Pram - Lower Malad_1</t>
  </si>
  <si>
    <t>Lower Malad_2</t>
  </si>
  <si>
    <t>Platform Passenger - Lower Malad_2</t>
  </si>
  <si>
    <t>Passenger Alighting - Lower Malad_2</t>
  </si>
  <si>
    <t>Passenger Arriving - Lower Malad_2</t>
  </si>
  <si>
    <t>Passenger Intoxicated - Lower Malad_2</t>
  </si>
  <si>
    <t>Passenger Pram - Lower Malad_2</t>
  </si>
  <si>
    <t>Pahadi Goregaon</t>
  </si>
  <si>
    <t>Pahadi Goregaon_2</t>
  </si>
  <si>
    <t>Platform Passenger - Pahadi Goregaon_2</t>
  </si>
  <si>
    <t>Passenger Alighting - Pahadi Goregaon_2</t>
  </si>
  <si>
    <t>Passenger Arriving - Pahadi Goregaon_2</t>
  </si>
  <si>
    <t>Passenger Intoxicated - Pahadi Goregaon_2</t>
  </si>
  <si>
    <t>Passenger Pram - Pahadi Goregaon_2</t>
  </si>
  <si>
    <t>Pahadi Goregaon_1</t>
  </si>
  <si>
    <t>Platform Passenger - Pahadi Goregaon_1</t>
  </si>
  <si>
    <t>Passenger Alighting - Pahadi Goregaon_1</t>
  </si>
  <si>
    <t>Passenger Arriving - Pahadi Goregaon_1</t>
  </si>
  <si>
    <t>Passenger Intoxicated - Pahadi Goregaon_1</t>
  </si>
  <si>
    <t>Passenger Pram - Pahadi Goregaon_1</t>
  </si>
  <si>
    <t>Goregaon West</t>
  </si>
  <si>
    <t>Goregaon West_1</t>
  </si>
  <si>
    <t>Platform Passenger - Goregaon West_1</t>
  </si>
  <si>
    <t>Passenger Alighting - Goregaon West_1</t>
  </si>
  <si>
    <t>Passenger Arriving - Goregaon West_1</t>
  </si>
  <si>
    <t>Passenger Intoxicated - Goregaon West_1</t>
  </si>
  <si>
    <t>Passenger Pram - Goregaon West_1</t>
  </si>
  <si>
    <t>Goregaon West_2</t>
  </si>
  <si>
    <t>Platform Passenger - Goregaon West_2</t>
  </si>
  <si>
    <t>Passenger Alighting - Goregaon West_2</t>
  </si>
  <si>
    <t>Passenger Arriving - Goregaon West_2</t>
  </si>
  <si>
    <t>Passenger Intoxicated - Goregaon West_2</t>
  </si>
  <si>
    <t>Passenger Pram - Goregaon West_2</t>
  </si>
  <si>
    <t>Oshiwara</t>
  </si>
  <si>
    <t>Oshiwara_1</t>
  </si>
  <si>
    <t>Platform Passenger - Oshiwara_1</t>
  </si>
  <si>
    <t>Passenger Alighting - Oshiwara_1</t>
  </si>
  <si>
    <t>Passenger Arriving - Oshiwara_1</t>
  </si>
  <si>
    <t>Passenger Intoxicated - Oshiwara_1</t>
  </si>
  <si>
    <t>Passenger Pram - Oshiwara_1</t>
  </si>
  <si>
    <t>Oshiwara_2</t>
  </si>
  <si>
    <t>Platform Passenger - Oshiwara_2</t>
  </si>
  <si>
    <t>Passenger Alighting - Oshiwara_2</t>
  </si>
  <si>
    <t>Passenger Arriving - Oshiwara_2</t>
  </si>
  <si>
    <t>Passenger Intoxicated - Oshiwara_2</t>
  </si>
  <si>
    <t>Passenger Pram - Oshiwara_2</t>
  </si>
  <si>
    <t>Lower Oshiwara</t>
  </si>
  <si>
    <t>Lower Oshiwara_1</t>
  </si>
  <si>
    <t>Platform Passenger - Lower Oshiwara_1</t>
  </si>
  <si>
    <t>Passenger Alighting - Lower Oshiwara_1</t>
  </si>
  <si>
    <t>Passenger Arriving - Lower Oshiwara_1</t>
  </si>
  <si>
    <t>Passenger Intoxicated - Lower Oshiwara_1</t>
  </si>
  <si>
    <t>Passenger Pram - Lower Oshiwara_1</t>
  </si>
  <si>
    <t>Lower Oshiwara_2</t>
  </si>
  <si>
    <t>Platform Passenger - Lower Oshiwara_2</t>
  </si>
  <si>
    <t>Passenger Alighting - Lower Oshiwara_2</t>
  </si>
  <si>
    <t>Passenger Arriving - Lower Oshiwara_2</t>
  </si>
  <si>
    <t>Passenger Intoxicated - Lower Oshiwara_2</t>
  </si>
  <si>
    <t>Passenger Pram - Lower Oshiwara_2</t>
  </si>
  <si>
    <t>Andheri West</t>
  </si>
  <si>
    <t>Andheri West_1</t>
  </si>
  <si>
    <t>Platform Passenger - Andheri West_1</t>
  </si>
  <si>
    <t>Passenger Alighting - Andheri West_1</t>
  </si>
  <si>
    <t>Passenger Arriving - Andheri West_1</t>
  </si>
  <si>
    <t>Passenger Intoxicated - Andheri West_1</t>
  </si>
  <si>
    <t>Passenger Pram - Andheri West_1</t>
  </si>
  <si>
    <t>Andheri West_2</t>
  </si>
  <si>
    <t>Platform Passenger - Andheri West_2</t>
  </si>
  <si>
    <t>Passenger Alighting - Andheri West_2</t>
  </si>
  <si>
    <t>Passenger Arriving - Andheri West_2</t>
  </si>
  <si>
    <t>Passenger Intoxicated - Andheri West_2</t>
  </si>
  <si>
    <t>Passenger Pram - Andheri West_2</t>
  </si>
  <si>
    <t>SSP_2AT4405_8_UP</t>
  </si>
  <si>
    <t>SSP_2AT4405_6_UP</t>
  </si>
  <si>
    <t>SSP_2AT4405_6_DN</t>
  </si>
  <si>
    <t>SSP_2AT4405_8_DN</t>
  </si>
  <si>
    <t>SSP_2AT4406_8_UP</t>
  </si>
  <si>
    <t>SSP_2AT4406_6_UP</t>
  </si>
  <si>
    <t>SSP_2AT4406_6_DN</t>
  </si>
  <si>
    <t>SSP_2AT4406_8_DN</t>
  </si>
  <si>
    <t>SSP_2AT4501_8_UP</t>
  </si>
  <si>
    <t>SSP_2AT4501_6_UP</t>
  </si>
  <si>
    <t>SSP_2AT4501_6_DN</t>
  </si>
  <si>
    <t>SSP_2AT4501_8_DN</t>
  </si>
  <si>
    <t>SSP_2AT4502_8_UP</t>
  </si>
  <si>
    <t>SSP_2AT4502_6_UP</t>
  </si>
  <si>
    <t>SSP_2AT4502_6_DN</t>
  </si>
  <si>
    <t>SSP_2AT4502_8_DN</t>
  </si>
  <si>
    <t>SSP_2AT4601_8_UP</t>
  </si>
  <si>
    <t>SSP_2AT4601_6_UP</t>
  </si>
  <si>
    <t>SSP_2AT4601_6_DN</t>
  </si>
  <si>
    <t>SSP_2AT4601_8_DN</t>
  </si>
  <si>
    <t>SSP_2AT4602_8_UP</t>
  </si>
  <si>
    <t>SSP_2AT4602_6_UP</t>
  </si>
  <si>
    <t>SSP_2AT4602_6_DN</t>
  </si>
  <si>
    <t>SSP_2AT4602_8_DN</t>
  </si>
  <si>
    <t>SSP_2AT4701_8_UP</t>
  </si>
  <si>
    <t>SSP_2AT4701_6_UP</t>
  </si>
  <si>
    <t>SSP_2AT4701_6_DN</t>
  </si>
  <si>
    <t>SSP_2AT4701_8_DN</t>
  </si>
  <si>
    <t>SSP_2AT4702_8_UP</t>
  </si>
  <si>
    <t>SSP_2AT4702_6_UP</t>
  </si>
  <si>
    <t>SSP_2AT4702_6_DN</t>
  </si>
  <si>
    <t>SSP_2AT4702_8_DN</t>
  </si>
  <si>
    <t>SSP_2AT4801_8_UP</t>
  </si>
  <si>
    <t>SSP_2AT4801_6_UP</t>
  </si>
  <si>
    <t>SSP_2AT4801_6_DN</t>
  </si>
  <si>
    <t>SSP_2AT4801_8_DN</t>
  </si>
  <si>
    <t>SSP_2AT4802_8_UP</t>
  </si>
  <si>
    <t>SSP_2AT4802_6_UP</t>
  </si>
  <si>
    <t>SSP_2AT4802_6_DN</t>
  </si>
  <si>
    <t>SSP_2AT4802_8_DN</t>
  </si>
  <si>
    <t>SSP_2AT4901_8_UP</t>
  </si>
  <si>
    <t>SSP_2AT4901_6_UP</t>
  </si>
  <si>
    <t>SSP_2AT4901_6_DN</t>
  </si>
  <si>
    <t>SSP_2AT4901_8_DN</t>
  </si>
  <si>
    <t>SSP_2AT4902_8_UP</t>
  </si>
  <si>
    <t>SSP_2AT4902_6_UP</t>
  </si>
  <si>
    <t>SSP_2AT4902_6_DN</t>
  </si>
  <si>
    <t>SSP_2AT4902_8_DN</t>
  </si>
  <si>
    <t>SSP_2AT5001_8_UP</t>
  </si>
  <si>
    <t>SSP_2AT5001_6_UP</t>
  </si>
  <si>
    <t>SSP_2AT5001_6_DN</t>
  </si>
  <si>
    <t>SSP_2AT5001_8_DN</t>
  </si>
  <si>
    <t>SSP_2AT5002_8_UP</t>
  </si>
  <si>
    <t>SSP_2AT5002_6_UP</t>
  </si>
  <si>
    <t>SSP_2AT5002_6_DN</t>
  </si>
  <si>
    <t>SSP_2AT5002_8_DN</t>
  </si>
  <si>
    <t>SSP_2AT5101_8_UP</t>
  </si>
  <si>
    <t>SSP_2AT5101_6_UP</t>
  </si>
  <si>
    <t>SSP_2AT5101_6_DN</t>
  </si>
  <si>
    <t>SSP_2AT5101_8_DN</t>
  </si>
  <si>
    <t>SSP_2AT5102_8_UP</t>
  </si>
  <si>
    <t>SSP_2AT5102_6_UP</t>
  </si>
  <si>
    <t>SSP_2AT5102_6_DN</t>
  </si>
  <si>
    <t>SSP_2AT5102_8_DN</t>
  </si>
  <si>
    <t>SSP_2AT5207_8_UP</t>
  </si>
  <si>
    <t>SSP_2AT5207_6_UP</t>
  </si>
  <si>
    <t>SSP_2AT5207_6_DN</t>
  </si>
  <si>
    <t>SSP_2AT5207_8_DN</t>
  </si>
  <si>
    <t>SSP_2AT5206_8_UP</t>
  </si>
  <si>
    <t>SSP_2AT5206_6_UP</t>
  </si>
  <si>
    <t>SSP_2AT5206_6_DN</t>
  </si>
  <si>
    <t>SSP_2AT5206_8_DN</t>
  </si>
  <si>
    <t>SSP_2AT5301_8_UP</t>
  </si>
  <si>
    <t>SSP_2AT5301_6_UP</t>
  </si>
  <si>
    <t>SSP_2AT5301_6_DN</t>
  </si>
  <si>
    <t>SSP_2AT5301_8_DN</t>
  </si>
  <si>
    <t>SSP_2AT5302_8_UP</t>
  </si>
  <si>
    <t>SSP_2AT5302_6_UP</t>
  </si>
  <si>
    <t>SSP_2AT5302_6_DN</t>
  </si>
  <si>
    <t>SSP_2AT5302_8_DN</t>
  </si>
  <si>
    <t>SSP_2AT5401_8_UP</t>
  </si>
  <si>
    <t>SSP_2AT5401_6_UP</t>
  </si>
  <si>
    <t>SSP_2AT5401_6_DN</t>
  </si>
  <si>
    <t>SSP_2AT5401_8_DN</t>
  </si>
  <si>
    <t>SSP_2AT5402_8_UP</t>
  </si>
  <si>
    <t>SSP_2AT5402_6_UP</t>
  </si>
  <si>
    <t>SSP_2AT5402_6_DN</t>
  </si>
  <si>
    <t>SSP_2AT5402_8_DN</t>
  </si>
  <si>
    <t>SSP_2AT5501_8_UP</t>
  </si>
  <si>
    <t>SSP_2AT5501_6_UP</t>
  </si>
  <si>
    <t>SSP_2AT5501_6_DN</t>
  </si>
  <si>
    <t>SSP_2AT5501_8_DN</t>
  </si>
  <si>
    <t>SSP_2AT5502_8_UP</t>
  </si>
  <si>
    <t>SSP_2AT5502_6_UP</t>
  </si>
  <si>
    <t>SSP_2AT5502_6_DN</t>
  </si>
  <si>
    <t>SSP_2AT5502_8_DN</t>
  </si>
  <si>
    <t>SSP_2AT5601_8_UP</t>
  </si>
  <si>
    <t>SSP_2AT5601_6_UP</t>
  </si>
  <si>
    <t>SSP_2AT5601_6_DN</t>
  </si>
  <si>
    <t>SSP_2AT5601_8_DN</t>
  </si>
  <si>
    <t>SSP_2AT5602_8_UP</t>
  </si>
  <si>
    <t>SSP_2AT5602_6_UP</t>
  </si>
  <si>
    <t>SSP_2AT5602_6_DN</t>
  </si>
  <si>
    <t>SSP_2AT5602_8_DN</t>
  </si>
  <si>
    <t>SSP_2AT5701_8_UP</t>
  </si>
  <si>
    <t>SSP_2AT5701_6_UP</t>
  </si>
  <si>
    <t>SSP_2AT5701_6_DN</t>
  </si>
  <si>
    <t>SSP_2AT5701_8_DN</t>
  </si>
  <si>
    <t>SSP_2AT5702_8_UP</t>
  </si>
  <si>
    <t>SSP_2AT5702_6_UP</t>
  </si>
  <si>
    <t>SSP_2AT5702_6_DN</t>
  </si>
  <si>
    <t>SSP_2AT5702_8_DN</t>
  </si>
  <si>
    <t>SSP_2AT5801_8_UP</t>
  </si>
  <si>
    <t>SSP_2AT5801_6_UP</t>
  </si>
  <si>
    <t>SSP_2AT5801_6_DN</t>
  </si>
  <si>
    <t>SSP_2AT5801_8_DN</t>
  </si>
  <si>
    <t>SSP_2AT5802_8_UP</t>
  </si>
  <si>
    <t>SSP_2AT5802_6_UP</t>
  </si>
  <si>
    <t>SSP_2AT5802_6_DN</t>
  </si>
  <si>
    <t>SSP_2AT5802_8_DN</t>
  </si>
  <si>
    <t>SSP_2AT5901_8_UP</t>
  </si>
  <si>
    <t>SSP_2AT5901_6_UP</t>
  </si>
  <si>
    <t>SSP_2AT5901_6_DN</t>
  </si>
  <si>
    <t>SSP_2AT5901_8_DN</t>
  </si>
  <si>
    <t>SSP_2AT5902_8_UP</t>
  </si>
  <si>
    <t>SSP_2AT5902_6_UP</t>
  </si>
  <si>
    <t>SSP_2AT5902_6_DN</t>
  </si>
  <si>
    <t>SSP_2AT5902_8_DN</t>
  </si>
  <si>
    <t>SSP_2AT6007_8_UP</t>
  </si>
  <si>
    <t>SSP_2AT6007_6_UP</t>
  </si>
  <si>
    <t>SSP_2AT6007_6_DN</t>
  </si>
  <si>
    <t>SSP_2AT6007_8_DN</t>
  </si>
  <si>
    <t>SSP_2AT6008_8_UP</t>
  </si>
  <si>
    <t>SSP_2AT6008_6_UP</t>
  </si>
  <si>
    <t>SSP_2AT6008_6_DN</t>
  </si>
  <si>
    <t>SSP_2AT6008_8_DN</t>
  </si>
  <si>
    <t>PSD - Dahisar East_2</t>
  </si>
  <si>
    <t>PSD - Dahisar East_1</t>
  </si>
  <si>
    <t>PSD - Anand Nagar_2</t>
  </si>
  <si>
    <t>PSD - Anand Nagar_1</t>
  </si>
  <si>
    <t>PSD - Kandarpada_2</t>
  </si>
  <si>
    <t>PSD - Kandarpada_1</t>
  </si>
  <si>
    <t>PSD - Mandapeshwar_2</t>
  </si>
  <si>
    <t>PSD - Mandapeshwar_1</t>
  </si>
  <si>
    <t>PSD - Eksar_1</t>
  </si>
  <si>
    <t>PSD - Eksar_2</t>
  </si>
  <si>
    <t>PSD - Borivali West_2</t>
  </si>
  <si>
    <t>PSD - Borivali West_1</t>
  </si>
  <si>
    <t>PSD - Pahadi Eksar_2</t>
  </si>
  <si>
    <t>PSD - Pahadi Eksar_1</t>
  </si>
  <si>
    <t>PSD - Kandivali West_2</t>
  </si>
  <si>
    <t>PSD - Kandivali West_1</t>
  </si>
  <si>
    <t>PSD - Dahanukarwadi_1</t>
  </si>
  <si>
    <t>PSD - Dahanukarwadi_2</t>
  </si>
  <si>
    <t>PSD - Valnai_1</t>
  </si>
  <si>
    <t>PSD - Valnai_2</t>
  </si>
  <si>
    <t>PSD - Malad West_1</t>
  </si>
  <si>
    <t>PSD - Malad West_2</t>
  </si>
  <si>
    <t>PSD - Lower Malad_1</t>
  </si>
  <si>
    <t>PSD - Lower Malad_2</t>
  </si>
  <si>
    <t>PSD - Pahadi Goregaon_2</t>
  </si>
  <si>
    <t>PSD - Pahadi Goregaon_1</t>
  </si>
  <si>
    <t>PSD - Goregaon West_1</t>
  </si>
  <si>
    <t>PSD - Goregaon West_2</t>
  </si>
  <si>
    <t>PSD - Oshiwara_1</t>
  </si>
  <si>
    <t>PSD - Oshiwara_2</t>
  </si>
  <si>
    <t>PSD - Lower Oshiwara_1</t>
  </si>
  <si>
    <t>PSD - Lower Oshiwara_2</t>
  </si>
  <si>
    <t>PSD - Andheri West_1</t>
  </si>
  <si>
    <t>PSD - Andheri West_2</t>
  </si>
  <si>
    <t>Dahanukarwadi_3</t>
  </si>
  <si>
    <t>Platform Passenger - Dahanukarwadi_3</t>
  </si>
  <si>
    <t>Passenger Alighting - Dahanukarwadi_3</t>
  </si>
  <si>
    <t>Passenger Arriving - Dahanukarwadi_3</t>
  </si>
  <si>
    <t>Passenger Intoxicated - Dahanukarwadi_3</t>
  </si>
  <si>
    <t>Passenger Pram - Dahanukarwadi_3</t>
  </si>
  <si>
    <t>PSD - Dahanukarwadi_3</t>
  </si>
  <si>
    <t>SSP_2AT5222_8_UP</t>
  </si>
  <si>
    <t>SSP_2AT5222_6_UP</t>
  </si>
  <si>
    <t>SSP_2AT5222_6_DN</t>
  </si>
  <si>
    <t>SSP_2AT5222_8_DN</t>
  </si>
  <si>
    <t>NSMB_2AT4405_8_UP</t>
  </si>
  <si>
    <t>NSMB_2AT4405_6_UP</t>
  </si>
  <si>
    <t>NSMB_2AT4405_6_DN</t>
  </si>
  <si>
    <t>NSMB_2AT4405_8_DN</t>
  </si>
  <si>
    <t>NSMB_2AT4406_8_UP</t>
  </si>
  <si>
    <t>NSMB_2AT4406_6_UP</t>
  </si>
  <si>
    <t>NSMB_2AT4406_6_DN</t>
  </si>
  <si>
    <t>NSMB_2AT4406_8_DN</t>
  </si>
  <si>
    <t>NSMB_2AT4501_8_UP</t>
  </si>
  <si>
    <t>NSMB_2AT4501_6_UP</t>
  </si>
  <si>
    <t>NSMB_2AT4501_6_DN</t>
  </si>
  <si>
    <t>NSMB_2AT4501_8_DN</t>
  </si>
  <si>
    <t>NSMB_2AT4502_8_UP</t>
  </si>
  <si>
    <t>NSMB_2AT4502_6_UP</t>
  </si>
  <si>
    <t>NSMB_2AT4502_6_DN</t>
  </si>
  <si>
    <t>NSMB_2AT4502_8_DN</t>
  </si>
  <si>
    <t>NSMB_2AT4601_8_UP</t>
  </si>
  <si>
    <t>NSMB_2AT4601_6_UP</t>
  </si>
  <si>
    <t>NSMB_2AT4601_6_DN</t>
  </si>
  <si>
    <t>NSMB_2AT4601_8_DN</t>
  </si>
  <si>
    <t>NSMB_2AT4602_8_UP</t>
  </si>
  <si>
    <t>NSMB_2AT4602_6_UP</t>
  </si>
  <si>
    <t>NSMB_2AT4602_6_DN</t>
  </si>
  <si>
    <t>NSMB_2AT4602_8_DN</t>
  </si>
  <si>
    <t>NSMB_2AT4701_8_UP</t>
  </si>
  <si>
    <t>NSMB_2AT4701_6_UP</t>
  </si>
  <si>
    <t>NSMB_2AT4701_6_DN</t>
  </si>
  <si>
    <t>NSMB_2AT4701_8_DN</t>
  </si>
  <si>
    <t>NSMB_2AT4702_8_UP</t>
  </si>
  <si>
    <t>NSMB_2AT4702_6_UP</t>
  </si>
  <si>
    <t>NSMB_2AT4702_6_DN</t>
  </si>
  <si>
    <t>NSMB_2AT4702_8_DN</t>
  </si>
  <si>
    <t>NSMB_2AT4801_8_UP</t>
  </si>
  <si>
    <t>NSMB_2AT4801_6_UP</t>
  </si>
  <si>
    <t>NSMB_2AT4801_6_DN</t>
  </si>
  <si>
    <t>NSMB_2AT4801_8_DN</t>
  </si>
  <si>
    <t>NSMB_2AT4802_8_UP</t>
  </si>
  <si>
    <t>NSMB_2AT4802_6_UP</t>
  </si>
  <si>
    <t>NSMB_2AT4802_6_DN</t>
  </si>
  <si>
    <t>NSMB_2AT4802_8_DN</t>
  </si>
  <si>
    <t>NSMB_2AT4901_8_UP</t>
  </si>
  <si>
    <t>NSMB_2AT4901_6_UP</t>
  </si>
  <si>
    <t>NSMB_2AT4901_6_DN</t>
  </si>
  <si>
    <t>NSMB_2AT4901_8_DN</t>
  </si>
  <si>
    <t>NSMB_2AT4902_8_UP</t>
  </si>
  <si>
    <t>NSMB_2AT4902_6_UP</t>
  </si>
  <si>
    <t>NSMB_2AT4902_6_DN</t>
  </si>
  <si>
    <t>NSMB_2AT4902_8_DN</t>
  </si>
  <si>
    <t>NSMB_2AT5001_8_UP</t>
  </si>
  <si>
    <t>NSMB_2AT5001_6_UP</t>
  </si>
  <si>
    <t>NSMB_2AT5001_6_DN</t>
  </si>
  <si>
    <t>NSMB_2AT5001_8_DN</t>
  </si>
  <si>
    <t>NSMB_2AT5002_8_UP</t>
  </si>
  <si>
    <t>NSMB_2AT5002_6_UP</t>
  </si>
  <si>
    <t>NSMB_2AT5002_6_DN</t>
  </si>
  <si>
    <t>NSMB_2AT5002_8_DN</t>
  </si>
  <si>
    <t>NSMB_2AT5101_8_UP</t>
  </si>
  <si>
    <t>NSMB_2AT5101_6_UP</t>
  </si>
  <si>
    <t>NSMB_2AT5101_6_DN</t>
  </si>
  <si>
    <t>NSMB_2AT5101_8_DN</t>
  </si>
  <si>
    <t>NSMB_2AT5102_8_UP</t>
  </si>
  <si>
    <t>NSMB_2AT5102_6_UP</t>
  </si>
  <si>
    <t>NSMB_2AT5102_6_DN</t>
  </si>
  <si>
    <t>NSMB_2AT5102_8_DN</t>
  </si>
  <si>
    <t>NSMB_2AT5207_8_UP</t>
  </si>
  <si>
    <t>NSMB_2AT5207_6_UP</t>
  </si>
  <si>
    <t>NSMB_2AT5207_6_DN</t>
  </si>
  <si>
    <t>NSMB_2AT5207_8_DN</t>
  </si>
  <si>
    <t>NSMB_2AT5206_8_UP</t>
  </si>
  <si>
    <t>NSMB_2AT5206_6_UP</t>
  </si>
  <si>
    <t>NSMB_2AT5206_6_DN</t>
  </si>
  <si>
    <t>NSMB_2AT5206_8_DN</t>
  </si>
  <si>
    <t>NSMB_2AT5301_8_UP</t>
  </si>
  <si>
    <t>NSMB_2AT5301_6_UP</t>
  </si>
  <si>
    <t>NSMB_2AT5301_6_DN</t>
  </si>
  <si>
    <t>NSMB_2AT5301_8_DN</t>
  </si>
  <si>
    <t>NSMB_2AT5302_8_UP</t>
  </si>
  <si>
    <t>NSMB_2AT5302_6_UP</t>
  </si>
  <si>
    <t>NSMB_2AT5302_6_DN</t>
  </si>
  <si>
    <t>NSMB_2AT5302_8_DN</t>
  </si>
  <si>
    <t>NSMB_2AT5401_8_UP</t>
  </si>
  <si>
    <t>NSMB_2AT5401_6_UP</t>
  </si>
  <si>
    <t>NSMB_2AT5401_6_DN</t>
  </si>
  <si>
    <t>NSMB_2AT5401_8_DN</t>
  </si>
  <si>
    <t>NSMB_2AT5402_8_UP</t>
  </si>
  <si>
    <t>NSMB_2AT5402_6_UP</t>
  </si>
  <si>
    <t>NSMB_2AT5402_6_DN</t>
  </si>
  <si>
    <t>NSMB_2AT5402_8_DN</t>
  </si>
  <si>
    <t>NSMB_2AT5501_8_UP</t>
  </si>
  <si>
    <t>NSMB_2AT5501_6_UP</t>
  </si>
  <si>
    <t>NSMB_2AT5501_6_DN</t>
  </si>
  <si>
    <t>NSMB_2AT5501_8_DN</t>
  </si>
  <si>
    <t>NSMB_2AT5502_8_UP</t>
  </si>
  <si>
    <t>NSMB_2AT5502_6_UP</t>
  </si>
  <si>
    <t>NSMB_2AT5502_6_DN</t>
  </si>
  <si>
    <t>NSMB_2AT5502_8_DN</t>
  </si>
  <si>
    <t>NSMB_2AT5601_8_UP</t>
  </si>
  <si>
    <t>NSMB_2AT5601_6_UP</t>
  </si>
  <si>
    <t>NSMB_2AT5601_6_DN</t>
  </si>
  <si>
    <t>NSMB_2AT5601_8_DN</t>
  </si>
  <si>
    <t>NSMB_2AT5602_8_UP</t>
  </si>
  <si>
    <t>NSMB_2AT5602_6_UP</t>
  </si>
  <si>
    <t>NSMB_2AT5602_6_DN</t>
  </si>
  <si>
    <t>NSMB_2AT5602_8_DN</t>
  </si>
  <si>
    <t>NSMB_2AT5701_8_UP</t>
  </si>
  <si>
    <t>NSMB_2AT5701_6_UP</t>
  </si>
  <si>
    <t>NSMB_2AT5701_6_DN</t>
  </si>
  <si>
    <t>NSMB_2AT5701_8_DN</t>
  </si>
  <si>
    <t>NSMB_2AT5702_8_UP</t>
  </si>
  <si>
    <t>NSMB_2AT5702_6_UP</t>
  </si>
  <si>
    <t>NSMB_2AT5702_6_DN</t>
  </si>
  <si>
    <t>NSMB_2AT5702_8_DN</t>
  </si>
  <si>
    <t>NSMB_2AT5801_8_UP</t>
  </si>
  <si>
    <t>NSMB_2AT5801_6_UP</t>
  </si>
  <si>
    <t>NSMB_2AT5801_6_DN</t>
  </si>
  <si>
    <t>NSMB_2AT5801_8_DN</t>
  </si>
  <si>
    <t>NSMB_2AT5802_8_UP</t>
  </si>
  <si>
    <t>NSMB_2AT5802_6_UP</t>
  </si>
  <si>
    <t>NSMB_2AT5802_6_DN</t>
  </si>
  <si>
    <t>NSMB_2AT5802_8_DN</t>
  </si>
  <si>
    <t>NSMB_2AT5901_8_UP</t>
  </si>
  <si>
    <t>NSMB_2AT5901_6_UP</t>
  </si>
  <si>
    <t>NSMB_2AT5901_6_DN</t>
  </si>
  <si>
    <t>NSMB_2AT5901_8_DN</t>
  </si>
  <si>
    <t>NSMB_2AT5902_8_UP</t>
  </si>
  <si>
    <t>NSMB_2AT5902_6_UP</t>
  </si>
  <si>
    <t>NSMB_2AT5902_6_DN</t>
  </si>
  <si>
    <t>NSMB_2AT5902_8_DN</t>
  </si>
  <si>
    <t>NSMB_2AT6007_8_UP</t>
  </si>
  <si>
    <t>NSMB_2AT6007_6_UP</t>
  </si>
  <si>
    <t>NSMB_2AT6007_6_DN</t>
  </si>
  <si>
    <t>NSMB_2AT6007_8_DN</t>
  </si>
  <si>
    <t>NSMB_2AT6008_8_UP</t>
  </si>
  <si>
    <t>NSMB_2AT6008_6_UP</t>
  </si>
  <si>
    <t>NSMB_2AT6008_6_DN</t>
  </si>
  <si>
    <t>NSMB_2AT6008_8_DN</t>
  </si>
  <si>
    <t>NSMB_3AT5206_8_DN</t>
  </si>
  <si>
    <t>BC_1003</t>
  </si>
  <si>
    <t>BC_1004</t>
  </si>
  <si>
    <t>BC_1005</t>
  </si>
  <si>
    <t>BC_4007</t>
  </si>
  <si>
    <t>BC_2006</t>
  </si>
  <si>
    <t>BC_2008</t>
  </si>
  <si>
    <t>BC_2011</t>
  </si>
  <si>
    <t>BC_2013</t>
  </si>
  <si>
    <t>BC_4012</t>
  </si>
  <si>
    <t>BC_2017</t>
  </si>
  <si>
    <t>BC_2019</t>
  </si>
  <si>
    <t>BC_2023</t>
  </si>
  <si>
    <t>BC_2025</t>
  </si>
  <si>
    <t>BC_1014</t>
  </si>
  <si>
    <t>BC_1015</t>
  </si>
  <si>
    <t>BC_1016</t>
  </si>
  <si>
    <t>BC_4503</t>
  </si>
  <si>
    <t>BC_4019</t>
  </si>
  <si>
    <t>BC_2073</t>
  </si>
  <si>
    <t>BC_4027</t>
  </si>
  <si>
    <t>BC_2083</t>
  </si>
  <si>
    <t>BC_2084</t>
  </si>
  <si>
    <t>BC_4032</t>
  </si>
  <si>
    <t>BC_4036</t>
  </si>
  <si>
    <t>BC_4508</t>
  </si>
  <si>
    <t>BC_5005</t>
  </si>
  <si>
    <t>BC_1040</t>
  </si>
  <si>
    <t>BC_1051</t>
  </si>
  <si>
    <t>BC_4053</t>
  </si>
  <si>
    <t>BC_2093</t>
  </si>
  <si>
    <t>BC_2094</t>
  </si>
  <si>
    <t>BC_2097</t>
  </si>
  <si>
    <t>BC_2098</t>
  </si>
  <si>
    <t>BC_4055</t>
  </si>
  <si>
    <t>BC_2102</t>
  </si>
  <si>
    <t>BC_2103</t>
  </si>
  <si>
    <t>BC_2106</t>
  </si>
  <si>
    <t>BC_2107</t>
  </si>
  <si>
    <t>BC_4067</t>
  </si>
  <si>
    <t>BC_1068</t>
  </si>
  <si>
    <t>BC_1073</t>
  </si>
  <si>
    <t>BC_5023</t>
  </si>
  <si>
    <t>BC_5027</t>
  </si>
  <si>
    <t>BC_5030</t>
  </si>
  <si>
    <t>BC_5032</t>
  </si>
  <si>
    <t>BC_5034</t>
  </si>
  <si>
    <t>BC_5037</t>
  </si>
  <si>
    <t>BC_5040</t>
  </si>
  <si>
    <t>BC_1096</t>
  </si>
  <si>
    <t>BC_1098</t>
  </si>
  <si>
    <t>BC_4139</t>
  </si>
  <si>
    <t>BC_2134</t>
  </si>
  <si>
    <t>BC_2135</t>
  </si>
  <si>
    <t>BC_2139</t>
  </si>
  <si>
    <t>BC_2140</t>
  </si>
  <si>
    <t>BC_4141</t>
  </si>
  <si>
    <t>BC_2143</t>
  </si>
  <si>
    <t>BC_2144</t>
  </si>
  <si>
    <t>BC_2150</t>
  </si>
  <si>
    <t>BC_2151</t>
  </si>
  <si>
    <t>BC_4143</t>
  </si>
  <si>
    <t>BC_1101</t>
  </si>
  <si>
    <t>BC_1103</t>
  </si>
  <si>
    <t>BC_5050</t>
  </si>
  <si>
    <t>BC_5054</t>
  </si>
  <si>
    <t>BC_5056</t>
  </si>
  <si>
    <t>BC_1109</t>
  </si>
  <si>
    <t>BC_1112</t>
  </si>
  <si>
    <t>BC_4152</t>
  </si>
  <si>
    <t>BC_2173</t>
  </si>
  <si>
    <t>BC_2174</t>
  </si>
  <si>
    <t>BC_2177</t>
  </si>
  <si>
    <t>BC_2178</t>
  </si>
  <si>
    <t>BC_4154</t>
  </si>
  <si>
    <t>BC_2183</t>
  </si>
  <si>
    <t>BC_2184</t>
  </si>
  <si>
    <t>BC_2188</t>
  </si>
  <si>
    <t>BC_2189</t>
  </si>
  <si>
    <t>BC_4157</t>
  </si>
  <si>
    <t>BC_1118</t>
  </si>
  <si>
    <t>BC_1120</t>
  </si>
  <si>
    <t>BC_5063</t>
  </si>
  <si>
    <t>BC_5068</t>
  </si>
  <si>
    <t>BC_5070</t>
  </si>
  <si>
    <t>BC_1127</t>
  </si>
  <si>
    <t>BC_1130</t>
  </si>
  <si>
    <t>BC_4167</t>
  </si>
  <si>
    <t>BC_2209</t>
  </si>
  <si>
    <t>BC_2210</t>
  </si>
  <si>
    <t>BC_2214</t>
  </si>
  <si>
    <t>BC_2215</t>
  </si>
  <si>
    <t>BC_4170</t>
  </si>
  <si>
    <t>BC_2220</t>
  </si>
  <si>
    <t>BC_2223</t>
  </si>
  <si>
    <t>BC_2226</t>
  </si>
  <si>
    <t>BC_2227</t>
  </si>
  <si>
    <t>BC_4172</t>
  </si>
  <si>
    <t>BC_1137</t>
  </si>
  <si>
    <t>BC_1139</t>
  </si>
  <si>
    <t>BC_5076</t>
  </si>
  <si>
    <t>BC_5079</t>
  </si>
  <si>
    <t>BC_5085</t>
  </si>
  <si>
    <t>BC_5087</t>
  </si>
  <si>
    <t>BC_1142</t>
  </si>
  <si>
    <t>BC_1143</t>
  </si>
  <si>
    <t>BC_4174</t>
  </si>
  <si>
    <t>BC_2230</t>
  </si>
  <si>
    <t>BC_2231</t>
  </si>
  <si>
    <t>BC_2234</t>
  </si>
  <si>
    <t>BC_4176</t>
  </si>
  <si>
    <t>BC_2238</t>
  </si>
  <si>
    <t>BC_2243</t>
  </si>
  <si>
    <t>BC_2244</t>
  </si>
  <si>
    <t>BC_4182</t>
  </si>
  <si>
    <t>BC_1145</t>
  </si>
  <si>
    <t>BC_1147</t>
  </si>
  <si>
    <t>BC_5092</t>
  </si>
  <si>
    <t>BC_5094</t>
  </si>
  <si>
    <t>BC_5096</t>
  </si>
  <si>
    <t>BC_1156</t>
  </si>
  <si>
    <t>BC_1157</t>
  </si>
  <si>
    <t>BC_4195</t>
  </si>
  <si>
    <t>BC_2269</t>
  </si>
  <si>
    <t>BC_2270</t>
  </si>
  <si>
    <t>BC_2274</t>
  </si>
  <si>
    <t>BC_2275</t>
  </si>
  <si>
    <t>BC_4199</t>
  </si>
  <si>
    <t>BC_2281</t>
  </si>
  <si>
    <t>BC_2282</t>
  </si>
  <si>
    <t>BC_2285</t>
  </si>
  <si>
    <t>BC_2286</t>
  </si>
  <si>
    <t>BC_4204</t>
  </si>
  <si>
    <t>BC_1164</t>
  </si>
  <si>
    <t>BC_5101</t>
  </si>
  <si>
    <t>BC_5107</t>
  </si>
  <si>
    <t>BC_5110</t>
  </si>
  <si>
    <t>BC_5113</t>
  </si>
  <si>
    <t>BC_1170</t>
  </si>
  <si>
    <t>BC_1172</t>
  </si>
  <si>
    <t>BC_4218</t>
  </si>
  <si>
    <t>BC_2312</t>
  </si>
  <si>
    <t>BC_2313</t>
  </si>
  <si>
    <t>BC_2316</t>
  </si>
  <si>
    <t>BC_2317</t>
  </si>
  <si>
    <t>BC_4220</t>
  </si>
  <si>
    <t>BC_2322</t>
  </si>
  <si>
    <t>BC_2325</t>
  </si>
  <si>
    <t>BC_2326</t>
  </si>
  <si>
    <t>BC_4221</t>
  </si>
  <si>
    <t>BC_1180</t>
  </si>
  <si>
    <t>BC_1182</t>
  </si>
  <si>
    <t>BC_4520</t>
  </si>
  <si>
    <t>BC_4225</t>
  </si>
  <si>
    <t>BC_4226</t>
  </si>
  <si>
    <t>BC_4230</t>
  </si>
  <si>
    <t>BC_1187</t>
  </si>
  <si>
    <t>BC_1188</t>
  </si>
  <si>
    <t>BC_4522</t>
  </si>
  <si>
    <t>BC_4238</t>
  </si>
  <si>
    <t>BC_2351</t>
  </si>
  <si>
    <t>BC_2352</t>
  </si>
  <si>
    <t>BC_2355</t>
  </si>
  <si>
    <t>BC_2356</t>
  </si>
  <si>
    <t>BC_4240</t>
  </si>
  <si>
    <t>BC_2360</t>
  </si>
  <si>
    <t>BC_2363</t>
  </si>
  <si>
    <t>BC_2365</t>
  </si>
  <si>
    <t>BC_1197</t>
  </si>
  <si>
    <t>BC_1198</t>
  </si>
  <si>
    <t>BC_1199</t>
  </si>
  <si>
    <t>BC_4242</t>
  </si>
  <si>
    <t>BC_2367</t>
  </si>
  <si>
    <t>BC_2368</t>
  </si>
  <si>
    <t>BC_2370</t>
  </si>
  <si>
    <t>BC_2372</t>
  </si>
  <si>
    <t>BC_4245</t>
  </si>
  <si>
    <t>BC_4523</t>
  </si>
  <si>
    <t>BC_4247</t>
  </si>
  <si>
    <t>BC_4250</t>
  </si>
  <si>
    <t>BC_1209</t>
  </si>
  <si>
    <t>BC_1210</t>
  </si>
  <si>
    <t>BC_2398</t>
  </si>
  <si>
    <t>BC_2399</t>
  </si>
  <si>
    <t>BC_2402</t>
  </si>
  <si>
    <t>BC_2403</t>
  </si>
  <si>
    <t>BC_4259</t>
  </si>
  <si>
    <t>BC_2408</t>
  </si>
  <si>
    <t>BC_2410</t>
  </si>
  <si>
    <t>BC_2413</t>
  </si>
  <si>
    <t>BC_2414</t>
  </si>
  <si>
    <t>BC_4261</t>
  </si>
  <si>
    <t>BC_1218</t>
  </si>
  <si>
    <t>BC_1220</t>
  </si>
  <si>
    <t>BC_5159</t>
  </si>
  <si>
    <t>BC_5172</t>
  </si>
  <si>
    <t>BC_5179</t>
  </si>
  <si>
    <t>BC_5184</t>
  </si>
  <si>
    <t>BC_5189</t>
  </si>
  <si>
    <t>BC_1233</t>
  </si>
  <si>
    <t>BC_1235</t>
  </si>
  <si>
    <t>BC_4271</t>
  </si>
  <si>
    <t>BC_2437</t>
  </si>
  <si>
    <t>BC_2438</t>
  </si>
  <si>
    <t>BC_2443</t>
  </si>
  <si>
    <t>BC_2444</t>
  </si>
  <si>
    <t>BC_4273</t>
  </si>
  <si>
    <t>BC_2447</t>
  </si>
  <si>
    <t>BC_2448</t>
  </si>
  <si>
    <t>BC_2451</t>
  </si>
  <si>
    <t>BC_2452</t>
  </si>
  <si>
    <t>BC_4276</t>
  </si>
  <si>
    <t>BC_1237</t>
  </si>
  <si>
    <t>BC_1239</t>
  </si>
  <si>
    <t>BC_5198</t>
  </si>
  <si>
    <t>BC_5202</t>
  </si>
  <si>
    <t>BC_5206</t>
  </si>
  <si>
    <t>BC_5209</t>
  </si>
  <si>
    <t>BC_5211</t>
  </si>
  <si>
    <t>BC_1254</t>
  </si>
  <si>
    <t>BC_1256</t>
  </si>
  <si>
    <t>BC_4284</t>
  </si>
  <si>
    <t>BC_2473</t>
  </si>
  <si>
    <t>BC_2474</t>
  </si>
  <si>
    <t>BC_2478</t>
  </si>
  <si>
    <t>BC_2479</t>
  </si>
  <si>
    <t>BC_4286</t>
  </si>
  <si>
    <t>BC_2483</t>
  </si>
  <si>
    <t>BC_2484</t>
  </si>
  <si>
    <t>BC_2487</t>
  </si>
  <si>
    <t>BC_2488</t>
  </si>
  <si>
    <t>BC_4288</t>
  </si>
  <si>
    <t>BC_1262</t>
  </si>
  <si>
    <t>BC_1265</t>
  </si>
  <si>
    <t>BC_5217</t>
  </si>
  <si>
    <t>BC_5219</t>
  </si>
  <si>
    <t>BC_5220</t>
  </si>
  <si>
    <t>BC_5230</t>
  </si>
  <si>
    <t>BC_1272</t>
  </si>
  <si>
    <t>BC_1275</t>
  </si>
  <si>
    <t>BC_4296</t>
  </si>
  <si>
    <t>BC_2510</t>
  </si>
  <si>
    <t>BC_2511</t>
  </si>
  <si>
    <t>BC_2514</t>
  </si>
  <si>
    <t>BC_2515</t>
  </si>
  <si>
    <t>BC_4298</t>
  </si>
  <si>
    <t>BC_2518</t>
  </si>
  <si>
    <t>BC_2520</t>
  </si>
  <si>
    <t>BC_2523</t>
  </si>
  <si>
    <t>BC_2524</t>
  </si>
  <si>
    <t>BC_4300</t>
  </si>
  <si>
    <t>BC_1281</t>
  </si>
  <si>
    <t>BC_1284</t>
  </si>
  <si>
    <t>BC_5237</t>
  </si>
  <si>
    <t>BC_5238</t>
  </si>
  <si>
    <t>BC_5244</t>
  </si>
  <si>
    <t>BC_1292</t>
  </si>
  <si>
    <t>BC_1294</t>
  </si>
  <si>
    <t>BC_4309</t>
  </si>
  <si>
    <t>BC_2545</t>
  </si>
  <si>
    <t>BC_2546</t>
  </si>
  <si>
    <t>BC_2549</t>
  </si>
  <si>
    <t>BC_2551</t>
  </si>
  <si>
    <t>BC_4311</t>
  </si>
  <si>
    <t>BC_2554</t>
  </si>
  <si>
    <t>BC_2555</t>
  </si>
  <si>
    <t>BC_2558</t>
  </si>
  <si>
    <t>BC_2559</t>
  </si>
  <si>
    <t>BC_4316</t>
  </si>
  <si>
    <t>BC_1300</t>
  </si>
  <si>
    <t>BC_1303</t>
  </si>
  <si>
    <t>BC_5250</t>
  </si>
  <si>
    <t>BC_5252</t>
  </si>
  <si>
    <t>BC_1311</t>
  </si>
  <si>
    <t>BC_1314</t>
  </si>
  <si>
    <t>BC_5254</t>
  </si>
  <si>
    <t>BC_4529</t>
  </si>
  <si>
    <t>BC_4341</t>
  </si>
  <si>
    <t>BC_2592</t>
  </si>
  <si>
    <t>BC_2593</t>
  </si>
  <si>
    <t>BC_2597</t>
  </si>
  <si>
    <t>BC_2598</t>
  </si>
  <si>
    <t>BC_4343</t>
  </si>
  <si>
    <t>BC_2601</t>
  </si>
  <si>
    <t>BC_2602</t>
  </si>
  <si>
    <t>BC_2607</t>
  </si>
  <si>
    <t>BC_2608</t>
  </si>
  <si>
    <t>BC_4345</t>
  </si>
  <si>
    <t>BC_4535</t>
  </si>
  <si>
    <t>BC_5256</t>
  </si>
  <si>
    <t>BC_1316</t>
  </si>
  <si>
    <t>BC_1318</t>
  </si>
  <si>
    <t>BC_5258</t>
  </si>
  <si>
    <t>BC_1321</t>
  </si>
  <si>
    <t>BC_1323</t>
  </si>
  <si>
    <t>BC_4348</t>
  </si>
  <si>
    <t>BC_2611</t>
  </si>
  <si>
    <t>BC_2612</t>
  </si>
  <si>
    <t>BC_2615</t>
  </si>
  <si>
    <t>BC_2616</t>
  </si>
  <si>
    <t>BC_4350</t>
  </si>
  <si>
    <t>BC_2619</t>
  </si>
  <si>
    <t>BC_2620</t>
  </si>
  <si>
    <t>BC_2623</t>
  </si>
  <si>
    <t>BC_2624</t>
  </si>
  <si>
    <t>BC_4352</t>
  </si>
  <si>
    <t>BC_1325</t>
  </si>
  <si>
    <t>BC_1328</t>
  </si>
  <si>
    <t>BC_5260</t>
  </si>
  <si>
    <t>BC_4537</t>
  </si>
  <si>
    <t>BC_4354</t>
  </si>
  <si>
    <t>BC_4358</t>
  </si>
  <si>
    <t>BC_4360</t>
  </si>
  <si>
    <t>BC_5262</t>
  </si>
  <si>
    <t>BC_1330</t>
  </si>
  <si>
    <t>BC_1332</t>
  </si>
  <si>
    <t>BC_4540</t>
  </si>
  <si>
    <t>BC_4364</t>
  </si>
  <si>
    <t>BC_2627</t>
  </si>
  <si>
    <t>BC_2628</t>
  </si>
  <si>
    <t>BC_2632</t>
  </si>
  <si>
    <t>BC_2634</t>
  </si>
  <si>
    <t>BC_4366</t>
  </si>
  <si>
    <t>BC_2638</t>
  </si>
  <si>
    <t>BC_2639</t>
  </si>
  <si>
    <t>BC_2642</t>
  </si>
  <si>
    <t>BC_2643</t>
  </si>
  <si>
    <t>BC_4369</t>
  </si>
  <si>
    <t>BC_4542</t>
  </si>
  <si>
    <t>BC_1337</t>
  </si>
  <si>
    <t>BC_1338</t>
  </si>
  <si>
    <t>BC_1339</t>
  </si>
  <si>
    <t>BC_4373</t>
  </si>
  <si>
    <t>BC_4374</t>
  </si>
  <si>
    <t>BC_4376</t>
  </si>
  <si>
    <t>BC_4378</t>
  </si>
  <si>
    <t>BC_4501</t>
  </si>
  <si>
    <t>BC_4018</t>
  </si>
  <si>
    <t>BC_2042</t>
  </si>
  <si>
    <t>BC_2044</t>
  </si>
  <si>
    <t>BC_2060</t>
  </si>
  <si>
    <t>BC_2067</t>
  </si>
  <si>
    <t>BC_4025</t>
  </si>
  <si>
    <t>BC_2075</t>
  </si>
  <si>
    <t>BC_2078</t>
  </si>
  <si>
    <t>BC_2080</t>
  </si>
  <si>
    <t>BC_2081</t>
  </si>
  <si>
    <t>BC_4030</t>
  </si>
  <si>
    <t>BC_4506</t>
  </si>
  <si>
    <t>BC_1029</t>
  </si>
  <si>
    <t>BC_1033</t>
  </si>
  <si>
    <t>BC_4044</t>
  </si>
  <si>
    <t>BC_4045</t>
  </si>
  <si>
    <t>BC_4048</t>
  </si>
  <si>
    <t>BC_4050</t>
  </si>
  <si>
    <t>BC_4512</t>
  </si>
  <si>
    <t>BC_5019</t>
  </si>
  <si>
    <t>BC_4095</t>
  </si>
  <si>
    <t>BC_1074</t>
  </si>
  <si>
    <t>BC_1079</t>
  </si>
  <si>
    <t>BC_1084</t>
  </si>
  <si>
    <t>BC_4084</t>
  </si>
  <si>
    <t>BC_4128</t>
  </si>
  <si>
    <t>BC_1077</t>
  </si>
  <si>
    <t>BC_1080</t>
  </si>
  <si>
    <t>BC_1085</t>
  </si>
  <si>
    <t>BC_1018</t>
  </si>
  <si>
    <t>BC_1019</t>
  </si>
  <si>
    <t>BC_4028</t>
  </si>
  <si>
    <t>BC_4031</t>
  </si>
  <si>
    <t>BC_4035</t>
  </si>
  <si>
    <t>BC_4507</t>
  </si>
  <si>
    <t>BC_5004</t>
  </si>
  <si>
    <t>BC_1039</t>
  </si>
  <si>
    <t>BC_1049</t>
  </si>
  <si>
    <t>BC_4051</t>
  </si>
  <si>
    <t>BC_2090</t>
  </si>
  <si>
    <t>BC_2092</t>
  </si>
  <si>
    <t>BC_2095</t>
  </si>
  <si>
    <t>BC_2096</t>
  </si>
  <si>
    <t>BC_4054</t>
  </si>
  <si>
    <t>BC_2100</t>
  </si>
  <si>
    <t>BC_2101</t>
  </si>
  <si>
    <t>BC_2104</t>
  </si>
  <si>
    <t>BC_2105</t>
  </si>
  <si>
    <t>BC_4065</t>
  </si>
  <si>
    <t>BC_1065</t>
  </si>
  <si>
    <t>BC_1070</t>
  </si>
  <si>
    <t>BC_5024</t>
  </si>
  <si>
    <t>BC_5028</t>
  </si>
  <si>
    <t>BC_5031</t>
  </si>
  <si>
    <t>BC_5033</t>
  </si>
  <si>
    <t>BC_5035</t>
  </si>
  <si>
    <t>BC_5039</t>
  </si>
  <si>
    <t>BC_1095</t>
  </si>
  <si>
    <t>BC_1097</t>
  </si>
  <si>
    <t>BC_4138</t>
  </si>
  <si>
    <t>BC_2132</t>
  </si>
  <si>
    <t>BC_2133</t>
  </si>
  <si>
    <t>BC_2136</t>
  </si>
  <si>
    <t>BC_4140</t>
  </si>
  <si>
    <t>BC_2141</t>
  </si>
  <si>
    <t>BC_2145</t>
  </si>
  <si>
    <t>BC_2146</t>
  </si>
  <si>
    <t>BC_1100</t>
  </si>
  <si>
    <t>BC_1102</t>
  </si>
  <si>
    <t>BC_5049</t>
  </si>
  <si>
    <t>BC_5053</t>
  </si>
  <si>
    <t>BC_5055</t>
  </si>
  <si>
    <t>BC_1108</t>
  </si>
  <si>
    <t>BC_1111</t>
  </si>
  <si>
    <t>BC_4151</t>
  </si>
  <si>
    <t>BC_2171</t>
  </si>
  <si>
    <t>BC_2172</t>
  </si>
  <si>
    <t>BC_2175</t>
  </si>
  <si>
    <t>BC_2176</t>
  </si>
  <si>
    <t>BC_4153</t>
  </si>
  <si>
    <t>BC_2180</t>
  </si>
  <si>
    <t>BC_2182</t>
  </si>
  <si>
    <t>BC_2185</t>
  </si>
  <si>
    <t>BC_2187</t>
  </si>
  <si>
    <t>BC_4155</t>
  </si>
  <si>
    <t>BC_1117</t>
  </si>
  <si>
    <t>BC_5061</t>
  </si>
  <si>
    <t>BC_5067</t>
  </si>
  <si>
    <t>BC_5069</t>
  </si>
  <si>
    <t>BC_1126</t>
  </si>
  <si>
    <t>BC_1129</t>
  </si>
  <si>
    <t>BC_4165</t>
  </si>
  <si>
    <t>BC_2206</t>
  </si>
  <si>
    <t>BC_2208</t>
  </si>
  <si>
    <t>BC_2212</t>
  </si>
  <si>
    <t>BC_2213</t>
  </si>
  <si>
    <t>BC_4169</t>
  </si>
  <si>
    <t>BC_2217</t>
  </si>
  <si>
    <t>BC_2219</t>
  </si>
  <si>
    <t>BC_2224</t>
  </si>
  <si>
    <t>BC_2225</t>
  </si>
  <si>
    <t>BC_4171</t>
  </si>
  <si>
    <t>BC_1136</t>
  </si>
  <si>
    <t>BC_1138</t>
  </si>
  <si>
    <t>BC_5075</t>
  </si>
  <si>
    <t>BC_5081</t>
  </si>
  <si>
    <t>BC_5086</t>
  </si>
  <si>
    <t>BC_1140</t>
  </si>
  <si>
    <t>BC_1141</t>
  </si>
  <si>
    <t>BC_4173</t>
  </si>
  <si>
    <t>BC_2228</t>
  </si>
  <si>
    <t>BC_2229</t>
  </si>
  <si>
    <t>BC_2232</t>
  </si>
  <si>
    <t>BC_2233</t>
  </si>
  <si>
    <t>BC_4175</t>
  </si>
  <si>
    <t>BC_2236</t>
  </si>
  <si>
    <t>BC_2237</t>
  </si>
  <si>
    <t>BC_2241</t>
  </si>
  <si>
    <t>BC_2242</t>
  </si>
  <si>
    <t>BC_4179</t>
  </si>
  <si>
    <t>BC_1144</t>
  </si>
  <si>
    <t>BC_1146</t>
  </si>
  <si>
    <t>BC_5091</t>
  </si>
  <si>
    <t>BC_5093</t>
  </si>
  <si>
    <t>BC_5095</t>
  </si>
  <si>
    <t>BC_1153</t>
  </si>
  <si>
    <t>BC_1155</t>
  </si>
  <si>
    <t>BC_4192</t>
  </si>
  <si>
    <t>BC_2267</t>
  </si>
  <si>
    <t>BC_2268</t>
  </si>
  <si>
    <t>BC_2272</t>
  </si>
  <si>
    <t>BC_2273</t>
  </si>
  <si>
    <t>BC_4196</t>
  </si>
  <si>
    <t>BC_2277</t>
  </si>
  <si>
    <t>BC_2280</t>
  </si>
  <si>
    <t>BC_2283</t>
  </si>
  <si>
    <t>BC_2284</t>
  </si>
  <si>
    <t>BC_4202</t>
  </si>
  <si>
    <t>BC_1161</t>
  </si>
  <si>
    <t>BC_1163</t>
  </si>
  <si>
    <t>BC_5099</t>
  </si>
  <si>
    <t>BC_5103</t>
  </si>
  <si>
    <t>BC_5109</t>
  </si>
  <si>
    <t>BC_5112</t>
  </si>
  <si>
    <t>BC_1169</t>
  </si>
  <si>
    <t>BC_1171</t>
  </si>
  <si>
    <t>BC_4217</t>
  </si>
  <si>
    <t>BC_2309</t>
  </si>
  <si>
    <t>BC_2311</t>
  </si>
  <si>
    <t>BC_2314</t>
  </si>
  <si>
    <t>BC_2235</t>
  </si>
  <si>
    <t>BC_2239</t>
  </si>
  <si>
    <t>BC_2320</t>
  </si>
  <si>
    <t>BC_2359</t>
  </si>
  <si>
    <t>BC_2374</t>
  </si>
  <si>
    <t>BC_4009</t>
  </si>
  <si>
    <t>BC_2007</t>
  </si>
  <si>
    <t>BC_2010</t>
  </si>
  <si>
    <t>BC_2012</t>
  </si>
  <si>
    <t>BC_2015</t>
  </si>
  <si>
    <t>BC_4013</t>
  </si>
  <si>
    <t>BC_2018</t>
  </si>
  <si>
    <t>BC_2020</t>
  </si>
  <si>
    <t>BC_2024</t>
  </si>
  <si>
    <t>BC_2026</t>
  </si>
  <si>
    <t>BC_2138</t>
  </si>
  <si>
    <t>BC_2142</t>
  </si>
  <si>
    <t>BC_4142</t>
  </si>
  <si>
    <t>BC_1119</t>
  </si>
  <si>
    <t>BC_2315</t>
  </si>
  <si>
    <t>BC_4219</t>
  </si>
  <si>
    <t>BC_2318</t>
  </si>
  <si>
    <t>BC_2319</t>
  </si>
  <si>
    <t>BC_2323</t>
  </si>
  <si>
    <t>BC_2324</t>
  </si>
  <si>
    <t>BC_1178</t>
  </si>
  <si>
    <t>BC_1179</t>
  </si>
  <si>
    <t>BC_4519</t>
  </si>
  <si>
    <t>BC_4222</t>
  </si>
  <si>
    <t>BC_4224</t>
  </si>
  <si>
    <t>BC_2327</t>
  </si>
  <si>
    <t>BC_2328</t>
  </si>
  <si>
    <t>BC_4227</t>
  </si>
  <si>
    <t>BC_2333</t>
  </si>
  <si>
    <t>BC_4231</t>
  </si>
  <si>
    <t>BC_4521</t>
  </si>
  <si>
    <t>BC_1189</t>
  </si>
  <si>
    <t>BC_1190</t>
  </si>
  <si>
    <t>BC_4237</t>
  </si>
  <si>
    <t>BC_2349</t>
  </si>
  <si>
    <t>BC_2350</t>
  </si>
  <si>
    <t>BC_2353</t>
  </si>
  <si>
    <t>BC_2354</t>
  </si>
  <si>
    <t>BC_4239</t>
  </si>
  <si>
    <t>BC_2357</t>
  </si>
  <si>
    <t>BC_2358</t>
  </si>
  <si>
    <t>BC_2361</t>
  </si>
  <si>
    <t>BC_2362</t>
  </si>
  <si>
    <t>BC_4241</t>
  </si>
  <si>
    <t>BC_1200</t>
  </si>
  <si>
    <t>BC_1201</t>
  </si>
  <si>
    <t>BC_5134</t>
  </si>
  <si>
    <t>BC_4243</t>
  </si>
  <si>
    <t>BC_4244</t>
  </si>
  <si>
    <t>BC_4246</t>
  </si>
  <si>
    <t>BC_4524</t>
  </si>
  <si>
    <t>BC_5145</t>
  </si>
  <si>
    <t>BC_1207</t>
  </si>
  <si>
    <t>BC_1208</t>
  </si>
  <si>
    <t>BC_4255</t>
  </si>
  <si>
    <t>BC_2392</t>
  </si>
  <si>
    <t>BC_2397</t>
  </si>
  <si>
    <t>BC_2400</t>
  </si>
  <si>
    <t>BC_2401</t>
  </si>
  <si>
    <t>BC_4258</t>
  </si>
  <si>
    <t>BC_2405</t>
  </si>
  <si>
    <t>BC_2406</t>
  </si>
  <si>
    <t>BC_2411</t>
  </si>
  <si>
    <t>BC_2412</t>
  </si>
  <si>
    <t>BC_4260</t>
  </si>
  <si>
    <t>BC_1217</t>
  </si>
  <si>
    <t>BC_1219</t>
  </si>
  <si>
    <t>BC_5157</t>
  </si>
  <si>
    <t>BC_5167</t>
  </si>
  <si>
    <t>BC_5175</t>
  </si>
  <si>
    <t>BC_5185</t>
  </si>
  <si>
    <t>BC_5188</t>
  </si>
  <si>
    <t>BC_1231</t>
  </si>
  <si>
    <t>BC_1234</t>
  </si>
  <si>
    <t>BC_4270</t>
  </si>
  <si>
    <t>BC_2435</t>
  </si>
  <si>
    <t>BC_2436</t>
  </si>
  <si>
    <t>BC_2439</t>
  </si>
  <si>
    <t>BC_2441</t>
  </si>
  <si>
    <t>BC_4272</t>
  </si>
  <si>
    <t>BC_2445</t>
  </si>
  <si>
    <t>BC_2446</t>
  </si>
  <si>
    <t>BC_2449</t>
  </si>
  <si>
    <t>BC_2450</t>
  </si>
  <si>
    <t>BC_4274</t>
  </si>
  <si>
    <t>BC_1236</t>
  </si>
  <si>
    <t>BC_1238</t>
  </si>
  <si>
    <t>BC_5197</t>
  </si>
  <si>
    <t>BC_5201</t>
  </si>
  <si>
    <t>BC_5205</t>
  </si>
  <si>
    <t>BC_5208</t>
  </si>
  <si>
    <t>BC_5210</t>
  </si>
  <si>
    <t>BC_1253</t>
  </si>
  <si>
    <t>BC_1255</t>
  </si>
  <si>
    <t>BC_4283</t>
  </si>
  <si>
    <t>BC_2470</t>
  </si>
  <si>
    <t>BC_2471</t>
  </si>
  <si>
    <t>BC_2476</t>
  </si>
  <si>
    <t>BC_2477</t>
  </si>
  <si>
    <t>BC_4285</t>
  </si>
  <si>
    <t>BC_2481</t>
  </si>
  <si>
    <t>BC_2482</t>
  </si>
  <si>
    <t>BC_2485</t>
  </si>
  <si>
    <t>BC_2486</t>
  </si>
  <si>
    <t>BC_4287</t>
  </si>
  <si>
    <t>BC_1261</t>
  </si>
  <si>
    <t>BC_1264</t>
  </si>
  <si>
    <t>BC_5216</t>
  </si>
  <si>
    <t>BC_5218</t>
  </si>
  <si>
    <t>BC_5227</t>
  </si>
  <si>
    <t>BC_5229</t>
  </si>
  <si>
    <t>BC_1270</t>
  </si>
  <si>
    <t>BC_1273</t>
  </si>
  <si>
    <t>BC_4295</t>
  </si>
  <si>
    <t>BC_2508</t>
  </si>
  <si>
    <t>BC_2509</t>
  </si>
  <si>
    <t>BC_2512</t>
  </si>
  <si>
    <t>BC_2513</t>
  </si>
  <si>
    <t>BC_4297</t>
  </si>
  <si>
    <t>BC_2516</t>
  </si>
  <si>
    <t>BC_2517</t>
  </si>
  <si>
    <t>BC_2521</t>
  </si>
  <si>
    <t>BC_2522</t>
  </si>
  <si>
    <t>BC_4299</t>
  </si>
  <si>
    <t>BC_1280</t>
  </si>
  <si>
    <t>BC_1282</t>
  </si>
  <si>
    <t>BC_5236</t>
  </si>
  <si>
    <t>BC_5239</t>
  </si>
  <si>
    <t>BC_5243</t>
  </si>
  <si>
    <t>BC_1289</t>
  </si>
  <si>
    <t>BC_1293</t>
  </si>
  <si>
    <t>BC_4308</t>
  </si>
  <si>
    <t>BC_2543</t>
  </si>
  <si>
    <t>BC_2544</t>
  </si>
  <si>
    <t>BC_2547</t>
  </si>
  <si>
    <t>BC_2548</t>
  </si>
  <si>
    <t>BC_4310</t>
  </si>
  <si>
    <t>BC_2552</t>
  </si>
  <si>
    <t>BC_2553</t>
  </si>
  <si>
    <t>BC_2556</t>
  </si>
  <si>
    <t>BC_2557</t>
  </si>
  <si>
    <t>BC_4313</t>
  </si>
  <si>
    <t>BC_1299</t>
  </si>
  <si>
    <t>BC_1302</t>
  </si>
  <si>
    <t>BC_5249</t>
  </si>
  <si>
    <t>BC_5251</t>
  </si>
  <si>
    <t>BC_1310</t>
  </si>
  <si>
    <t>BC_1313</t>
  </si>
  <si>
    <t>BC_5253</t>
  </si>
  <si>
    <t>BC_4528</t>
  </si>
  <si>
    <t>BC_4339</t>
  </si>
  <si>
    <t>BC_2590</t>
  </si>
  <si>
    <t>BC_2591</t>
  </si>
  <si>
    <t>BC_2595</t>
  </si>
  <si>
    <t>BC_2596</t>
  </si>
  <si>
    <t>BC_4342</t>
  </si>
  <si>
    <t>BC_2599</t>
  </si>
  <si>
    <t>BC_2600</t>
  </si>
  <si>
    <t>BC_2604</t>
  </si>
  <si>
    <t>BC_2605</t>
  </si>
  <si>
    <t>BC_4344</t>
  </si>
  <si>
    <t>BC_4533</t>
  </si>
  <si>
    <t>BC_5255</t>
  </si>
  <si>
    <t>BC_1315</t>
  </si>
  <si>
    <t>BC_1317</t>
  </si>
  <si>
    <t>BC_5257</t>
  </si>
  <si>
    <t>BC_1319</t>
  </si>
  <si>
    <t>BC_1322</t>
  </si>
  <si>
    <t>BC_4346</t>
  </si>
  <si>
    <t>BC_2609</t>
  </si>
  <si>
    <t>BC_2610</t>
  </si>
  <si>
    <t>BC_2613</t>
  </si>
  <si>
    <t>BC_2614</t>
  </si>
  <si>
    <t>BC_4349</t>
  </si>
  <si>
    <t>BC_2617</t>
  </si>
  <si>
    <t>BC_2618</t>
  </si>
  <si>
    <t>BC_2621</t>
  </si>
  <si>
    <t>BC_2622</t>
  </si>
  <si>
    <t>BC_4351</t>
  </si>
  <si>
    <t>BC_1324</t>
  </si>
  <si>
    <t>BC_1327</t>
  </si>
  <si>
    <t>BC_5259</t>
  </si>
  <si>
    <t>BC_4536</t>
  </si>
  <si>
    <t>BC_4353</t>
  </si>
  <si>
    <t>BC_4356</t>
  </si>
  <si>
    <t>BC_4359</t>
  </si>
  <si>
    <t>BC_5261</t>
  </si>
  <si>
    <t>BC_1329</t>
  </si>
  <si>
    <t>BC_1331</t>
  </si>
  <si>
    <t>BC_4539</t>
  </si>
  <si>
    <t>BC_4362</t>
  </si>
  <si>
    <t>BC_2625</t>
  </si>
  <si>
    <t>BC_2626</t>
  </si>
  <si>
    <t>BC_2629</t>
  </si>
  <si>
    <t>BC_2630</t>
  </si>
  <si>
    <t>BC_4365</t>
  </si>
  <si>
    <t>BC_2635</t>
  </si>
  <si>
    <t>BC_2637</t>
  </si>
  <si>
    <t>BC_2640</t>
  </si>
  <si>
    <t>BC_2641</t>
  </si>
  <si>
    <t>BC_4367</t>
  </si>
  <si>
    <t>BC_4541</t>
  </si>
  <si>
    <t>BC_1334</t>
  </si>
  <si>
    <t>BC_1335</t>
  </si>
  <si>
    <t>BC_4543</t>
  </si>
  <si>
    <t>BC_4370</t>
  </si>
  <si>
    <t>BC_2644</t>
  </si>
  <si>
    <t>BC_4371</t>
  </si>
  <si>
    <t>BC_2645</t>
  </si>
  <si>
    <t>BC_2646</t>
  </si>
  <si>
    <t>BC_4375</t>
  </si>
  <si>
    <t>BC_4377</t>
  </si>
  <si>
    <t>BC_4545</t>
  </si>
  <si>
    <t>PSR_-321_DN_85 km/h</t>
  </si>
  <si>
    <t>85 km/h</t>
  </si>
  <si>
    <t>PSR_-321_UP_85 km/h</t>
  </si>
  <si>
    <t>PSR_118.91_DN_50 km/h</t>
  </si>
  <si>
    <t>PSR_118.91_UP_85 km/h</t>
  </si>
  <si>
    <t>PSR_480.95_DN_70 km/h</t>
  </si>
  <si>
    <t>PSR_480.95_UP_50 km/h</t>
  </si>
  <si>
    <t>PSR_804.33_DN_85 km/h</t>
  </si>
  <si>
    <t>PSR_804.33_UP_70 km/h</t>
  </si>
  <si>
    <t>PSR_881.25_DN_85 km/h</t>
  </si>
  <si>
    <t>PSR_881.25_UP_85 km/h</t>
  </si>
  <si>
    <t>PSR_987.22_DN_85 km/h</t>
  </si>
  <si>
    <t>PSR_987.22_UP_85 km/h</t>
  </si>
  <si>
    <t>PSR_1165.04_DN_85 km/h</t>
  </si>
  <si>
    <t>PSR_1165.04_UP_85 km/h</t>
  </si>
  <si>
    <t>PSR_1489.83_DN_85 km/h</t>
  </si>
  <si>
    <t>PSR_1489.83_UP_85 km/h</t>
  </si>
  <si>
    <t>PSR_1593.96_DN_85 km/h</t>
  </si>
  <si>
    <t>PSR_1593.96_UP_85 km/h</t>
  </si>
  <si>
    <t>PSR_1708.09_DN_85 km/h</t>
  </si>
  <si>
    <t>PSR_1708.09_UP_85 km/h</t>
  </si>
  <si>
    <t>PSR_1750.84_DN_85 km/h</t>
  </si>
  <si>
    <t>PSR_1750.84_UP_85 km/h</t>
  </si>
  <si>
    <t>PSR_2063.52_DN_85 km/h</t>
  </si>
  <si>
    <t>PSR_2063.52_UP_85 km/h</t>
  </si>
  <si>
    <t>PSR_2118.03_DN_80 km/h</t>
  </si>
  <si>
    <t>PSR_2118.03_UP_85 km/h</t>
  </si>
  <si>
    <t>PSR_2267.08_DN_85 km/h</t>
  </si>
  <si>
    <t>PSR_2267.08_UP_80 km/h</t>
  </si>
  <si>
    <t>PSR_2330.5_DN_85 km/h</t>
  </si>
  <si>
    <t>PSR_2330.5_UP_85 km/h</t>
  </si>
  <si>
    <t>PSR_2486.88_DN_85 km/h</t>
  </si>
  <si>
    <t>PSR_2486.88_UP_85 km/h</t>
  </si>
  <si>
    <t>PSR_2572.62_DN_85 km/h</t>
  </si>
  <si>
    <t>PSR_2572.62_UP_85 km/h</t>
  </si>
  <si>
    <t>PSR_2784.17_DN_85 km/h</t>
  </si>
  <si>
    <t>PSR_2784.17_UP_85 km/h</t>
  </si>
  <si>
    <t>PSR_2846.25_DN_85 km/h</t>
  </si>
  <si>
    <t>PSR_2846.25_UP_85 km/h</t>
  </si>
  <si>
    <t>PSR_2988.88_DN_85 km/h</t>
  </si>
  <si>
    <t>PSR_2988.88_UP_85 km/h</t>
  </si>
  <si>
    <t>PSR_3101.54_DN_85 km/h</t>
  </si>
  <si>
    <t>PSR_3101.54_UP_85 km/h</t>
  </si>
  <si>
    <t>PSR_3239.8_DN_85 km/h</t>
  </si>
  <si>
    <t>PSR_3239.8_UP_85 km/h</t>
  </si>
  <si>
    <t>PSR_3265.6_DN_85 km/h</t>
  </si>
  <si>
    <t>PSR_3265.6_UP_85 km/h</t>
  </si>
  <si>
    <t>PSR_3517.6_DN_85 km/h</t>
  </si>
  <si>
    <t>PSR_3517.6_UP_85 km/h</t>
  </si>
  <si>
    <t>PSR_3576.99_DN_85 km/h</t>
  </si>
  <si>
    <t>PSR_3576.99_UP_85 km/h</t>
  </si>
  <si>
    <t>PSR_3695.29_DN_85 km/h</t>
  </si>
  <si>
    <t>PSR_3695.29_UP_85 km/h</t>
  </si>
  <si>
    <t>PSR_3872.24_DN_80 km/h</t>
  </si>
  <si>
    <t>PSR_3872.24_UP_85 km/h</t>
  </si>
  <si>
    <t>PSR_4047.77_DN_85 km/h</t>
  </si>
  <si>
    <t>PSR_4047.77_UP_80 km/h</t>
  </si>
  <si>
    <t>PSR_4086.12_DN_80 km/h</t>
  </si>
  <si>
    <t>PSR_4086.12_UP_85 km/h</t>
  </si>
  <si>
    <t>PSR_4347.36_DN_85 km/h</t>
  </si>
  <si>
    <t>PSR_4347.36_UP_80 km/h</t>
  </si>
  <si>
    <t>PSR_4564.54_DN_85 km/h</t>
  </si>
  <si>
    <t>PSR_4564.54_UP_85 km/h</t>
  </si>
  <si>
    <t>PSR_4778.17_DN_85 km/h</t>
  </si>
  <si>
    <t>PSR_4778.17_UP_85 km/h</t>
  </si>
  <si>
    <t>PSR_4832.94_DN_85 km/h</t>
  </si>
  <si>
    <t>PSR_4832.94_UP_85 km/h</t>
  </si>
  <si>
    <t>PSR_5056.82_DN_85 km/h</t>
  </si>
  <si>
    <t>PSR_5056.82_UP_85 km/h</t>
  </si>
  <si>
    <t>PSR_5197.95_DN_85 km/h</t>
  </si>
  <si>
    <t>PSR_5197.95_UP_85 km/h</t>
  </si>
  <si>
    <t>PSR_5471.21_DN_85 km/h</t>
  </si>
  <si>
    <t>PSR_5471.21_UP_85 km/h</t>
  </si>
  <si>
    <t>PSR_5582.63_DN_85 km/h</t>
  </si>
  <si>
    <t>PSR_5582.63_UP_85 km/h</t>
  </si>
  <si>
    <t>PSR_5617.93_DN_85 km/h</t>
  </si>
  <si>
    <t>PSR_5617.93_UP_85 km/h</t>
  </si>
  <si>
    <t>PSR_5756.78_DN_80 km/h</t>
  </si>
  <si>
    <t>PSR_5756.78_UP_85 km/h</t>
  </si>
  <si>
    <t>PSR_5873.34_DN_85 km/h</t>
  </si>
  <si>
    <t>PSR_5873.34_UP_80 km/h</t>
  </si>
  <si>
    <t>PSR_5974.75_DN_85 km/h</t>
  </si>
  <si>
    <t>PSR_5974.75_UP_85 km/h</t>
  </si>
  <si>
    <t>PSR_6139.46_DN_85 km/h</t>
  </si>
  <si>
    <t>PSR_6139.46_UP_85 km/h</t>
  </si>
  <si>
    <t>PSR_6321.34_DN_85 km/h</t>
  </si>
  <si>
    <t>PSR_6321.34_UP_85 km/h</t>
  </si>
  <si>
    <t>PSR_6616.98_DN_85 km/h</t>
  </si>
  <si>
    <t>PSR_6616.98_UP_85 km/h</t>
  </si>
  <si>
    <t>PSR_6784.29_DN_85 km/h</t>
  </si>
  <si>
    <t>PSR_6784.29_UP_85 km/h</t>
  </si>
  <si>
    <t>PSR_6878.39_DN_85 km/h</t>
  </si>
  <si>
    <t>PSR_6878.39_UP_85 km/h</t>
  </si>
  <si>
    <t>PSR_7117.91_DN_85 km/h</t>
  </si>
  <si>
    <t>PSR_7117.91_UP_85 km/h</t>
  </si>
  <si>
    <t>PSR_7156.7_DN_80 km/h</t>
  </si>
  <si>
    <t>PSR_7156.7_UP_85 km/h</t>
  </si>
  <si>
    <t>PSR_7345.6_DN_80 km/h</t>
  </si>
  <si>
    <t>PSR_7345.6_UP_80 km/h</t>
  </si>
  <si>
    <t>PSR_7471.93_DN_85 km/h</t>
  </si>
  <si>
    <t>PSR_7471.93_UP_80 km/h</t>
  </si>
  <si>
    <t>PSR_7498.11_DN_75 km/h</t>
  </si>
  <si>
    <t>PSR_7498.11_UP_85 km/h</t>
  </si>
  <si>
    <t>PSR_7659.85_DN_85 km/h</t>
  </si>
  <si>
    <t>PSR_7659.85_UP_75 km/h</t>
  </si>
  <si>
    <t>PSR_7684.87_DN_85 km/h</t>
  </si>
  <si>
    <t>PSR_7684.87_UP_85 km/h</t>
  </si>
  <si>
    <t>PSR_7816.55_DN_85 km/h</t>
  </si>
  <si>
    <t>PSR_7816.55_UP_85 km/h</t>
  </si>
  <si>
    <t>PSR_7967.95_DN_80 km/h</t>
  </si>
  <si>
    <t>PSR_7967.95_UP_85 km/h</t>
  </si>
  <si>
    <t>PSR_8124.09_DN_85 km/h</t>
  </si>
  <si>
    <t>PSR_8124.09_UP_80 km/h</t>
  </si>
  <si>
    <t>PSR_8386.18_DN_85 km/h</t>
  </si>
  <si>
    <t>PSR_8386.18_UP_85 km/h</t>
  </si>
  <si>
    <t>PSR_8518.64_DN_85 km/h</t>
  </si>
  <si>
    <t>PSR_8518.64_UP_85 km/h</t>
  </si>
  <si>
    <t>PSR_8796.89_DN_85 km/h</t>
  </si>
  <si>
    <t>PSR_8796.89_UP_85 km/h</t>
  </si>
  <si>
    <t>PSR_8972.87_DN_85 km/h</t>
  </si>
  <si>
    <t>PSR_8972.87_UP_85 km/h</t>
  </si>
  <si>
    <t>PSR_9270.5_DN_85 km/h</t>
  </si>
  <si>
    <t>PSR_9270.5_UP_85 km/h</t>
  </si>
  <si>
    <t>PSR_9378.24_DN_85 km/h</t>
  </si>
  <si>
    <t>PSR_9378.24_UP_85 km/h</t>
  </si>
  <si>
    <t>PSR_9612.82_DN_75 km/h</t>
  </si>
  <si>
    <t>PSR_9612.82_UP_85 km/h</t>
  </si>
  <si>
    <t>PSR_9837.33_DN_85 km/h</t>
  </si>
  <si>
    <t>PSR_9837.33_UP_75 km/h</t>
  </si>
  <si>
    <t>PSR_9866.66_DN_85 km/h</t>
  </si>
  <si>
    <t>PSR_9866.66_UP_85 km/h</t>
  </si>
  <si>
    <t>PSR_9945.24_DN_85 km/h</t>
  </si>
  <si>
    <t>PSR_9945.24_UP_85 km/h</t>
  </si>
  <si>
    <t>PSR_9974.25_DN_85 km/h</t>
  </si>
  <si>
    <t>PSR_9974.25_UP_85 km/h</t>
  </si>
  <si>
    <t>PSR_10118.73_DN_85 km/h</t>
  </si>
  <si>
    <t>PSR_10118.73_UP_85 km/h</t>
  </si>
  <si>
    <t>PSR_10199.18_DN_85 km/h</t>
  </si>
  <si>
    <t>PSR_10199.18_UP_85 km/h</t>
  </si>
  <si>
    <t>PSR_10275.73_DN_85 km/h</t>
  </si>
  <si>
    <t>PSR_10275.73_UP_85 km/h</t>
  </si>
  <si>
    <t>PSR_10310.72_DN_85 km/h</t>
  </si>
  <si>
    <t>PSR_10310.72_UP_85 km/h</t>
  </si>
  <si>
    <t>PSR_10425.58_DN_85 km/h</t>
  </si>
  <si>
    <t>PSR_10425.58_UP_85 km/h</t>
  </si>
  <si>
    <t>PSR_10451.47_DN_85 km/h</t>
  </si>
  <si>
    <t>PSR_10451.47_UP_85 km/h</t>
  </si>
  <si>
    <t>PSR_10625.37_DN_85 km/h</t>
  </si>
  <si>
    <t>PSR_10625.37_UP_85 km/h</t>
  </si>
  <si>
    <t>PSR_11032.5_DN_85 km/h</t>
  </si>
  <si>
    <t>PSR_11032.5_UP_85 km/h</t>
  </si>
  <si>
    <t>PSR_11140.33_DN_85 km/h</t>
  </si>
  <si>
    <t>PSR_11140.33_UP_85 km/h</t>
  </si>
  <si>
    <t>PSR_11206.4_DN_85 km/h</t>
  </si>
  <si>
    <t>PSR_11206.4_UP_85 km/h</t>
  </si>
  <si>
    <t>PSR_11359.78_DN_85 km/h</t>
  </si>
  <si>
    <t>PSR_11359.78_UP_85 km/h</t>
  </si>
  <si>
    <t>PSR_11497.69_DN_85 km/h</t>
  </si>
  <si>
    <t>PSR_11497.69_UP_85 km/h</t>
  </si>
  <si>
    <t>PSR_11810.19_DN_80 km/h</t>
  </si>
  <si>
    <t>PSR_11810.19_UP_85 km/h</t>
  </si>
  <si>
    <t>PSR_12073.17_DN_85 km/h</t>
  </si>
  <si>
    <t>PSR_12073.17_UP_80 km/h</t>
  </si>
  <si>
    <t>PSR_12352.48_DN_85 km/h</t>
  </si>
  <si>
    <t>PSR_12352.48_UP_85 km/h</t>
  </si>
  <si>
    <t>PSR_12451.45_DN_85 km/h</t>
  </si>
  <si>
    <t>PSR_12451.45_UP_85 km/h</t>
  </si>
  <si>
    <t>PSR_12487.37_DN_80 km/h</t>
  </si>
  <si>
    <t>PSR_12487.37_UP_85 km/h</t>
  </si>
  <si>
    <t>PSR_12627.78_DN_85 km/h</t>
  </si>
  <si>
    <t>PSR_12627.78_UP_80 km/h</t>
  </si>
  <si>
    <t>PSR_13309.75_DN_85 km/h</t>
  </si>
  <si>
    <t>PSR_13309.75_UP_85 km/h</t>
  </si>
  <si>
    <t>PSR_13450.75_DN_85 km/h</t>
  </si>
  <si>
    <t>PSR_13450.75_UP_85 km/h</t>
  </si>
  <si>
    <t>PSR_13516.7_DN_85 km/h</t>
  </si>
  <si>
    <t>PSR_13516.7_UP_85 km/h</t>
  </si>
  <si>
    <t>PSR_13696.46_DN_80 km/h</t>
  </si>
  <si>
    <t>PSR_13696.46_UP_85 km/h</t>
  </si>
  <si>
    <t>PSR_13870.02_DN_85 km/h</t>
  </si>
  <si>
    <t>PSR_13870.02_UP_80 km/h</t>
  </si>
  <si>
    <t>PSR_14061.26_DN_85 km/h</t>
  </si>
  <si>
    <t>PSR_14061.26_UP_85 km/h</t>
  </si>
  <si>
    <t>PSR_14193.09_DN_85 km/h</t>
  </si>
  <si>
    <t>PSR_14193.09_UP_85 km/h</t>
  </si>
  <si>
    <t>PSR_14675.18_DN_85 km/h</t>
  </si>
  <si>
    <t>PSR_14675.18_UP_85 km/h</t>
  </si>
  <si>
    <t>PSR_14750.98_DN_85 km/h</t>
  </si>
  <si>
    <t>PSR_14750.98_UP_85 km/h</t>
  </si>
  <si>
    <t>PSR_14855.02_DN_85 km/h</t>
  </si>
  <si>
    <t>PSR_14855.02_UP_85 km/h</t>
  </si>
  <si>
    <t>PSR_14930.34_DN_85 km/h</t>
  </si>
  <si>
    <t>PSR_14930.34_UP_85 km/h</t>
  </si>
  <si>
    <t>PSR_15055.28_DN_45 km/h</t>
  </si>
  <si>
    <t>45 km/h</t>
  </si>
  <si>
    <t>PSR_15055.28_UP_85 km/h</t>
  </si>
  <si>
    <t>PSR_15315.34_DN_85 km/h</t>
  </si>
  <si>
    <t>PSR_15315.34_UP_45 km/h</t>
  </si>
  <si>
    <t>PSR_15374.19_DN_85 km/h</t>
  </si>
  <si>
    <t>PSR_15374.19_UP_85 km/h</t>
  </si>
  <si>
    <t>PSR_15464.34_DN_85 km/h</t>
  </si>
  <si>
    <t>PSR_15464.34_UP_85 km/h</t>
  </si>
  <si>
    <t>PSR_15583.33_DN_40 km/h</t>
  </si>
  <si>
    <t>40 km/h</t>
  </si>
  <si>
    <t>PSR_15583.33_UP_85 km/h</t>
  </si>
  <si>
    <t>PSR_15833.81_DN_85 km/h</t>
  </si>
  <si>
    <t>PSR_15833.81_UP_40 km/h</t>
  </si>
  <si>
    <t>PSR_16779.47_DN_80 km/h</t>
  </si>
  <si>
    <t>PSR_16779.47_UP_85 km/h</t>
  </si>
  <si>
    <t>PSR_16944.02_DN_85 km/h</t>
  </si>
  <si>
    <t>PSR_16944.02_UP_80 km/h</t>
  </si>
  <si>
    <t>PSR_17238.22_DN_45 km/h</t>
  </si>
  <si>
    <t>PSR_17238.22_UP_85 km/h</t>
  </si>
  <si>
    <t>PSR_17344.1_DN_45 km/h</t>
  </si>
  <si>
    <t>PSR_17344.1_UP_45 km/h</t>
  </si>
  <si>
    <t>PSR_17457.67_DN_85 km/h</t>
  </si>
  <si>
    <t>PSR_17457.67_UP_45 km/h</t>
  </si>
  <si>
    <t>PSR_17655.77_DN_55 km/h</t>
  </si>
  <si>
    <t>PSR_17655.77_UP_85 km/h</t>
  </si>
  <si>
    <t>PSR_17760.22_DN_85 km/h</t>
  </si>
  <si>
    <t>PSR_17760.22_UP_55 km/h</t>
  </si>
  <si>
    <t>PSR_17878.86_DN_55 km/h</t>
  </si>
  <si>
    <t>PSR_17878.86_UP_85 km/h</t>
  </si>
  <si>
    <t>PSR_18010.55_DN_85 km/h</t>
  </si>
  <si>
    <t>PSR_18010.55_UP_55 km/h</t>
  </si>
  <si>
    <t>PSR_18147.33_DN_85 km/h</t>
  </si>
  <si>
    <t>PSR_18147.33_UP_85 km/h</t>
  </si>
  <si>
    <t>PSR_18279.94_DN_85 km/h</t>
  </si>
  <si>
    <t>PSR_18279.94_UP_85 km/h</t>
  </si>
  <si>
    <t>PSR_-403.69_UP_80 km/h</t>
  </si>
  <si>
    <t>PSR_116.65_UP_55 km/h</t>
  </si>
  <si>
    <t>PSR_486.89_UP_55 km/h</t>
  </si>
  <si>
    <t>PSR_811.79_UP_85 km/h</t>
  </si>
  <si>
    <t>PSR_888.71_UP_85 km/h</t>
  </si>
  <si>
    <t>PSR_888.71_DN_85 km/h</t>
  </si>
  <si>
    <t>PSR_994.18_DN_85 km/h</t>
  </si>
  <si>
    <t>PSR_994.18_UP_85 km/h</t>
  </si>
  <si>
    <t>PSR_1173.26_UP_85 km/h</t>
  </si>
  <si>
    <t>PSR_1173.26_DN_85 km/h</t>
  </si>
  <si>
    <t>PSR_1497.97_DN_85 km/h</t>
  </si>
  <si>
    <t>PSR_1497.97_UP_85 km/h</t>
  </si>
  <si>
    <t>PSR_1601.64_UP_85 km/h</t>
  </si>
  <si>
    <t>PSR_1601.64_DN_85 km/h</t>
  </si>
  <si>
    <t>PSR_1716.42_DN_85 km/h</t>
  </si>
  <si>
    <t>PSR_1716.42_UP_85 km/h</t>
  </si>
  <si>
    <t>PSR_1759.23_UP_85 km/h</t>
  </si>
  <si>
    <t>PSR_1759.23_DN_85 km/h</t>
  </si>
  <si>
    <t>PSR_2074.16_DN_85 km/h</t>
  </si>
  <si>
    <t>PSR_2074.16_UP_85 km/h</t>
  </si>
  <si>
    <t>PSR_2128.67_UP_85 km/h</t>
  </si>
  <si>
    <t>PSR_2128.67_DN_80 km/h</t>
  </si>
  <si>
    <t>PSR_2278.82_DN_80 km/h</t>
  </si>
  <si>
    <t>PSR_2278.82_UP_85 km/h</t>
  </si>
  <si>
    <t>PSR_2342.24_UP_85 km/h</t>
  </si>
  <si>
    <t>PSR_2342.24_DN_85 km/h</t>
  </si>
  <si>
    <t>PSR_2499.15_DN_85 km/h</t>
  </si>
  <si>
    <t>PSR_2499.15_UP_85 km/h</t>
  </si>
  <si>
    <t>PSR_2584.89_UP_85 km/h</t>
  </si>
  <si>
    <t>PSR_2584.89_DN_85 km/h</t>
  </si>
  <si>
    <t>PSR_2797.58_DN_85 km/h</t>
  </si>
  <si>
    <t>PSR_2797.58_UP_85 km/h</t>
  </si>
  <si>
    <t>PSR_2859.66_UP_85 km/h</t>
  </si>
  <si>
    <t>PSR_2859.66_DN_85 km/h</t>
  </si>
  <si>
    <t>PSR_3003_DN_85 km/h</t>
  </si>
  <si>
    <t>PSR_3003_UP_85 km/h</t>
  </si>
  <si>
    <t>PSR_3115.63_UP_85 km/h</t>
  </si>
  <si>
    <t>PSR_3115.63_DN_85 km/h</t>
  </si>
  <si>
    <t>PSR_3254.88_DN_85 km/h</t>
  </si>
  <si>
    <t>PSR_3254.88_UP_85 km/h</t>
  </si>
  <si>
    <t>PSR_3280.81_UP_85 km/h</t>
  </si>
  <si>
    <t>PSR_3280.81_DN_85 km/h</t>
  </si>
  <si>
    <t>PSR_3533.64_DN_85 km/h</t>
  </si>
  <si>
    <t>PSR_3533.64_UP_85 km/h</t>
  </si>
  <si>
    <t>PSR_3592.97_UP_85 km/h</t>
  </si>
  <si>
    <t>PSR_3592.97_DN_85 km/h</t>
  </si>
  <si>
    <t>PSR_3712.06_DN_85 km/h</t>
  </si>
  <si>
    <t>PSR_3712.06_UP_85 km/h</t>
  </si>
  <si>
    <t>PSR_3889.01_UP_85 km/h</t>
  </si>
  <si>
    <t>PSR_3889.01_DN_80 km/h</t>
  </si>
  <si>
    <t>PSR_4063.03_DN_80 km/h</t>
  </si>
  <si>
    <t>PSR_4063.03_UP_85 km/h</t>
  </si>
  <si>
    <t>PSR_4101.38_UP_85 km/h</t>
  </si>
  <si>
    <t>PSR_4101.38_DN_80 km/h</t>
  </si>
  <si>
    <t>PSR_4360.23_DN_80 km/h</t>
  </si>
  <si>
    <t>PSR_4360.23_UP_85 km/h</t>
  </si>
  <si>
    <t>PSR_4577.4_UP_85 km/h</t>
  </si>
  <si>
    <t>PSR_4577.4_DN_85 km/h</t>
  </si>
  <si>
    <t>PSR_4792.32_DN_85 km/h</t>
  </si>
  <si>
    <t>PSR_4792.32_UP_85 km/h</t>
  </si>
  <si>
    <t>PSR_4847.09_DN_85 km/h</t>
  </si>
  <si>
    <t>PSR_4847.09_UP_85 km/h</t>
  </si>
  <si>
    <t>PSR_5072.73_UP_85 km/h</t>
  </si>
  <si>
    <t>PSR_5072.73_DN_85 km/h</t>
  </si>
  <si>
    <t>PSR_5214.82_DN_85 km/h</t>
  </si>
  <si>
    <t>PSR_5214.82_UP_85 km/h</t>
  </si>
  <si>
    <t>PSR_5488.08_UP_85 km/h</t>
  </si>
  <si>
    <t>PSR_5488.08_DN_85 km/h</t>
  </si>
  <si>
    <t>PSR_5599.84_DN_85 km/h</t>
  </si>
  <si>
    <t>PSR_5599.84_UP_85 km/h</t>
  </si>
  <si>
    <t>PSR_5635.14_UP_85 km/h</t>
  </si>
  <si>
    <t>PSR_5635.14_DN_85 km/h</t>
  </si>
  <si>
    <t>PSR_5773.06_DN_85 km/h</t>
  </si>
  <si>
    <t>PSR_5773.06_UP_85 km/h</t>
  </si>
  <si>
    <t>PSR_5889.61_UP_85 km/h</t>
  </si>
  <si>
    <t>PSR_5889.61_DN_85 km/h</t>
  </si>
  <si>
    <t>PSR_5991.15_DN_85 km/h</t>
  </si>
  <si>
    <t>PSR_5991.15_UP_85 km/h</t>
  </si>
  <si>
    <t>PSR_6155.86_UP_85 km/h</t>
  </si>
  <si>
    <t>PSR_6155.86_DN_85 km/h</t>
  </si>
  <si>
    <t>PSR_6338_DN_85 km/h</t>
  </si>
  <si>
    <t>PSR_6338_UP_85 km/h</t>
  </si>
  <si>
    <t>PSR_6633.65_UP_85 km/h</t>
  </si>
  <si>
    <t>PSR_6633.65_DN_85 km/h</t>
  </si>
  <si>
    <t>PSR_6799.9_DN_85 km/h</t>
  </si>
  <si>
    <t>PSR_6799.9_UP_85 km/h</t>
  </si>
  <si>
    <t>PSR_6893.99_UP_80 km/h</t>
  </si>
  <si>
    <t>PSR_6893.99_DN_85 km/h</t>
  </si>
  <si>
    <t>PSR_7132.05_DN_85 km/h</t>
  </si>
  <si>
    <t>PSR_7132.05_UP_55 km/h</t>
  </si>
  <si>
    <t>PSR_7170.85_UP_85 km/h</t>
  </si>
  <si>
    <t>PSR_7170.85_DN_80 km/h</t>
  </si>
  <si>
    <t>PSR_7358.02_DN_80 km/h</t>
  </si>
  <si>
    <t>PSR_7358.02_UP_85 km/h</t>
  </si>
  <si>
    <t>PSR_7484.98_UP_85 km/h</t>
  </si>
  <si>
    <t>PSR_7484.98_DN_85 km/h</t>
  </si>
  <si>
    <t>PSR_7511.15_DN_85 km/h</t>
  </si>
  <si>
    <t>PSR_7511.15_UP_75 km/h</t>
  </si>
  <si>
    <t>PSR_7673.57_UP_75 km/h</t>
  </si>
  <si>
    <t>PSR_7673.57_DN_85 km/h</t>
  </si>
  <si>
    <t>PSR_7698.59_DN_85 km/h</t>
  </si>
  <si>
    <t>PSR_7698.59_UP_85 km/h</t>
  </si>
  <si>
    <t>PSR_7831.15_UP_85 km/h</t>
  </si>
  <si>
    <t>PSR_7831.15_DN_85 km/h</t>
  </si>
  <si>
    <t>PSR_7982.49_DN_85 km/h</t>
  </si>
  <si>
    <t>PSR_7982.49_UP_80 km/h</t>
  </si>
  <si>
    <t>PSR_8140.1_UP_80 km/h</t>
  </si>
  <si>
    <t>PSR_8140.1_DN_85 km/h</t>
  </si>
  <si>
    <t>PSR_8402.12_DN_85 km/h</t>
  </si>
  <si>
    <t>PSR_8402.12_UP_85 km/h</t>
  </si>
  <si>
    <t>PSR_8534.15_UP_85 km/h</t>
  </si>
  <si>
    <t>PSR_8534.15_DN_85 km/h</t>
  </si>
  <si>
    <t>PSR_8812.4_DN_85 km/h</t>
  </si>
  <si>
    <t>PSR_8812.4_UP_85 km/h</t>
  </si>
  <si>
    <t>PSR_8989.3_UP_85 km/h</t>
  </si>
  <si>
    <t>PSR_8989.3_DN_85 km/h</t>
  </si>
  <si>
    <t>PSR_9286.98_DN_85 km/h</t>
  </si>
  <si>
    <t>PSR_9286.98_UP_85 km/h</t>
  </si>
  <si>
    <t>PSR_9394.52_UP_85 km/h</t>
  </si>
  <si>
    <t>PSR_9394.52_DN_85 km/h</t>
  </si>
  <si>
    <t>PSR_9629.04_DN_85 km/h</t>
  </si>
  <si>
    <t>PSR_9629.04_UP_80 km/h</t>
  </si>
  <si>
    <t>PSR_9855.78_UP_80 km/h</t>
  </si>
  <si>
    <t>PSR_9855.78_DN_85 km/h</t>
  </si>
  <si>
    <t>PSR_9885.11_DN_85 km/h</t>
  </si>
  <si>
    <t>PSR_9885.11_UP_85 km/h</t>
  </si>
  <si>
    <t>PSR_9963.49_UP_85 km/h</t>
  </si>
  <si>
    <t>PSR_9963.49_DN_85 km/h</t>
  </si>
  <si>
    <t>PSR_9992.51_DN_85 km/h</t>
  </si>
  <si>
    <t>PSR_9992.51_UP_85 km/h</t>
  </si>
  <si>
    <t>PSR_10136.39_UP_85 km/h</t>
  </si>
  <si>
    <t>PSR_10136.39_DN_85 km/h</t>
  </si>
  <si>
    <t>PSR_10216.83_DN_85 km/h</t>
  </si>
  <si>
    <t>PSR_10216.83_UP_85 km/h</t>
  </si>
  <si>
    <t>PSR_10293.56_UP_85 km/h</t>
  </si>
  <si>
    <t>PSR_10293.56_DN_85 km/h</t>
  </si>
  <si>
    <t>PSR_10328.55_DN_85 km/h</t>
  </si>
  <si>
    <t>PSR_10328.55_UP_85 km/h</t>
  </si>
  <si>
    <t>PSR_10442.96_UP_85 km/h</t>
  </si>
  <si>
    <t>PSR_10442.96_DN_85 km/h</t>
  </si>
  <si>
    <t>PSR_10642.01_DN_85 km/h</t>
  </si>
  <si>
    <t>PSR_10642.01_UP_85 km/h</t>
  </si>
  <si>
    <t>PSR_11049.14_UP_85 km/h</t>
  </si>
  <si>
    <t>PSR_11049.14_DN_85 km/h</t>
  </si>
  <si>
    <t>PSR_11157.45_UP_85 km/h</t>
  </si>
  <si>
    <t>PSR_11157.45_DN_85 km/h</t>
  </si>
  <si>
    <t>PSR_11223.52_DN_85 km/h</t>
  </si>
  <si>
    <t>PSR_11223.52_UP_85 km/h</t>
  </si>
  <si>
    <t>PSR_11377.99_UP_85 km/h</t>
  </si>
  <si>
    <t>PSR_11377.99_DN_85 km/h</t>
  </si>
  <si>
    <t>PSR_11515.03_DN_85 km/h</t>
  </si>
  <si>
    <t>PSR_11515.03_UP_85 km/h</t>
  </si>
  <si>
    <t>PSR_11827.53_UP_85 km/h</t>
  </si>
  <si>
    <t>PSR_11827.53_DN_80 km/h</t>
  </si>
  <si>
    <t>PSR_12087.93_DN_80 km/h</t>
  </si>
  <si>
    <t>PSR_12087.93_UP_85 km/h</t>
  </si>
  <si>
    <t>PSR_12367.23_UP_85 km/h</t>
  </si>
  <si>
    <t>PSR_12367.23_DN_85 km/h</t>
  </si>
  <si>
    <t>PSR_12466.54_DN_85 km/h</t>
  </si>
  <si>
    <t>PSR_12466.54_UP_85 km/h</t>
  </si>
  <si>
    <t>PSR_12502.46_UP_85 km/h</t>
  </si>
  <si>
    <t>PSR_12502.46_DN_80 km/h</t>
  </si>
  <si>
    <t>PSR_12643.94_DN_80 km/h</t>
  </si>
  <si>
    <t>PSR_12643.94_UP_85 km/h</t>
  </si>
  <si>
    <t>PSR_13325.91_UP_85 km/h</t>
  </si>
  <si>
    <t>PSR_13325.91_DN_85 km/h</t>
  </si>
  <si>
    <t>PSR_13467.37_DN_85 km/h</t>
  </si>
  <si>
    <t>PSR_13467.37_UP_85 km/h</t>
  </si>
  <si>
    <t>PSR_13533.32_UP_85 km/h</t>
  </si>
  <si>
    <t>PSR_13533.32_DN_85 km/h</t>
  </si>
  <si>
    <t>PSR_13714.41_DN_85 km/h</t>
  </si>
  <si>
    <t>PSR_13714.41_UP_75 km/h</t>
  </si>
  <si>
    <t>PSR_13886.4_UP_75 km/h</t>
  </si>
  <si>
    <t>PSR_13886.4_DN_85 km/h</t>
  </si>
  <si>
    <t>PSR_14077.64_DN_85 km/h</t>
  </si>
  <si>
    <t>PSR_14077.64_UP_85 km/h</t>
  </si>
  <si>
    <t>PSR_14210.35_UP_85 km/h</t>
  </si>
  <si>
    <t>PSR_14210.35_DN_85 km/h</t>
  </si>
  <si>
    <t>PSR_14692.43_DN_85 km/h</t>
  </si>
  <si>
    <t>PSR_14692.43_UP_85 km/h</t>
  </si>
  <si>
    <t>PSR_14768.29_UP_85 km/h</t>
  </si>
  <si>
    <t>PSR_14768.29_DN_85 km/h</t>
  </si>
  <si>
    <t>PSR_14872.34_DN_85 km/h</t>
  </si>
  <si>
    <t>PSR_14872.34_UP_85 km/h</t>
  </si>
  <si>
    <t>PSR_14947.61_UP_85 km/h</t>
  </si>
  <si>
    <t>PSR_15072.52_UP_40 km/h</t>
  </si>
  <si>
    <t>PSR_15324.49_UP_40 km/h</t>
  </si>
  <si>
    <t>PSR_15383.3_UP_85 km/h</t>
  </si>
  <si>
    <t>PSR_15473.2_UP_85 km/h</t>
  </si>
  <si>
    <t>PSR_15592.23_UP_45 km/h</t>
  </si>
  <si>
    <t>PSR_15850.74_UP_45 km/h</t>
  </si>
  <si>
    <t>PSR_16796.43_UP_80 km/h</t>
  </si>
  <si>
    <t>PSR_16959.62_UP_80 km/h</t>
  </si>
  <si>
    <t>PSR_16959.62_DN_85 km/h</t>
  </si>
  <si>
    <t>PSR_17253.83_DN_85 km/h</t>
  </si>
  <si>
    <t>PSR_17253.83_UP_45 km/h</t>
  </si>
  <si>
    <t>PSR_17361.84_UP_45 km/h</t>
  </si>
  <si>
    <t>PSR_17361.84_DN_45 km/h</t>
  </si>
  <si>
    <t>PSR_17473.11_DN_45 km/h</t>
  </si>
  <si>
    <t>PSR_17473.11_UP_85 km/h</t>
  </si>
  <si>
    <t>PSR_17671.21_UP_85 km/h</t>
  </si>
  <si>
    <t>PSR_17671.21_DN_50 km/h</t>
  </si>
  <si>
    <t>PSR_17776.95_DN_50 km/h</t>
  </si>
  <si>
    <t>PSR_17776.95_UP_85 km/h</t>
  </si>
  <si>
    <t>PSR_17895.59_UP_85 km/h</t>
  </si>
  <si>
    <t>PSR_17895.59_DN_50 km/h</t>
  </si>
  <si>
    <t>PSR_18025.09_DN_50 km/h</t>
  </si>
  <si>
    <t>PSR_18025.09_UP_85 km/h</t>
  </si>
  <si>
    <t>PSR_18162.74_UP_85 km/h</t>
  </si>
  <si>
    <t>PSR_18162.74_DN_85 km/h</t>
  </si>
  <si>
    <t>PSR_18295.35_DN_85 km/h</t>
  </si>
  <si>
    <t>PSR_18295.35_UP_85 km/h</t>
  </si>
  <si>
    <t>PSR_P3_22_DN_85 km/h</t>
  </si>
  <si>
    <t>PSR_P3_22_UP_85 km/h</t>
  </si>
  <si>
    <t>FP_2AP5216</t>
  </si>
  <si>
    <t>FP_2AP5207</t>
  </si>
  <si>
    <t>FP_2AP4404</t>
  </si>
  <si>
    <t>FP_2AP5201</t>
  </si>
  <si>
    <t>FP_2AP5202</t>
  </si>
  <si>
    <t>FP_2AP5203</t>
  </si>
  <si>
    <t>FP_2AP5210</t>
  </si>
  <si>
    <t>FP_2AP6001</t>
  </si>
  <si>
    <t>FP_2AP5214</t>
  </si>
  <si>
    <t>FP_2AP5204</t>
  </si>
  <si>
    <t>FP_2AP5208</t>
  </si>
  <si>
    <t>FP_2AP6002</t>
  </si>
  <si>
    <t>FP_2AP6003</t>
  </si>
  <si>
    <t>FP_2AP6004</t>
  </si>
  <si>
    <t>FP_2AP5206</t>
  </si>
  <si>
    <t>Neutral_Section_Warning_Board_Yellow</t>
  </si>
  <si>
    <t>2A_Start</t>
  </si>
  <si>
    <t>2A_Board</t>
  </si>
  <si>
    <t>L7_Start</t>
  </si>
  <si>
    <t>L7_Board</t>
  </si>
  <si>
    <t>NS_End_Sign</t>
  </si>
  <si>
    <t>NS_Start_Sign</t>
  </si>
  <si>
    <t>Neutral Section</t>
  </si>
  <si>
    <t>SRM_2AT4412_6_DN</t>
  </si>
  <si>
    <t>SRM_2AT4412_8_DN</t>
  </si>
  <si>
    <t>SRM_2AT5104_8_UP</t>
  </si>
  <si>
    <t>SRM_2AT5104_6_UP</t>
  </si>
  <si>
    <t>SRM_2AT5103_6_UP</t>
  </si>
  <si>
    <t>SRM_2AT5103_8_UP</t>
  </si>
  <si>
    <t>SRM_2AT5212_8_UP</t>
  </si>
  <si>
    <t>SRM_2AT5212_6_UP</t>
  </si>
  <si>
    <t>SRM_2AT5212_6_DN</t>
  </si>
  <si>
    <t>SRM_2AT5212_8_DN</t>
  </si>
  <si>
    <t>SRM_2AT6013_6_DN</t>
  </si>
  <si>
    <t>SRM_2AT6013_8_DN</t>
  </si>
  <si>
    <t>SRM_2AT6014_6_DN</t>
  </si>
  <si>
    <t>SRM_2AT6014_8_DN</t>
  </si>
  <si>
    <t>SRM_2AT5903_6_UP</t>
  </si>
  <si>
    <t>SRM_2AT5903_8_UP</t>
  </si>
  <si>
    <t>flood_water_03</t>
  </si>
  <si>
    <t>OLE1</t>
  </si>
  <si>
    <t>Obstruction Fixed OLE</t>
  </si>
  <si>
    <t>OLE2</t>
  </si>
  <si>
    <t>OLE3</t>
  </si>
  <si>
    <t>OLE4</t>
  </si>
  <si>
    <t>NSMB_3AT5206_6_DN</t>
  </si>
  <si>
    <t>PSR_P3_142_UP_85 km/h</t>
  </si>
  <si>
    <t>PSR_P3_142_DN_85 km/h</t>
  </si>
  <si>
    <t>NSMB_3AT5206_8_UP</t>
  </si>
  <si>
    <t>NSMB_3AT5206_6_UP</t>
  </si>
  <si>
    <t>FP_2AP4404_2</t>
  </si>
  <si>
    <t>VCB_Close_Devipada_1_UP</t>
  </si>
  <si>
    <t>VCB_Close_Devipada_2_UP</t>
  </si>
  <si>
    <t>NS_WB_Blue_Devipada_250m_1_DN</t>
  </si>
  <si>
    <t>NS_WB_Blue_Devipada_250m_2_DN</t>
  </si>
  <si>
    <t>NS_WB_Blue_Devipada_500m_1_DN</t>
  </si>
  <si>
    <t>NS_WB_Blue_Devipada_500m_2_DN</t>
  </si>
  <si>
    <t>Neutral Section - Devipada</t>
  </si>
  <si>
    <t>VCB_Open_Devipada_1_UP</t>
  </si>
  <si>
    <t>VCB_Open_Devipada_2_UP</t>
  </si>
  <si>
    <t>VCB_Open_Devipada_1_DN</t>
  </si>
  <si>
    <t>VCB_Open_Devipada_2_DN</t>
  </si>
  <si>
    <t>VCB_Close_Devipada_1_DN</t>
  </si>
  <si>
    <t>VCB_Close_Devipada_2_DN</t>
  </si>
  <si>
    <t>NS_WB_Blue_Ovaripada_250m_2_DN</t>
  </si>
  <si>
    <t>NS_WB_Blue_Ovaripada_500m_2_DN</t>
  </si>
  <si>
    <t>VCB_Close_Ovaripada_1_UP</t>
  </si>
  <si>
    <t>VCB_Close_Ovaripada_2_UP</t>
  </si>
  <si>
    <t>VCB_Open_Ovaripada_1_UP</t>
  </si>
  <si>
    <t>VCB_Open_Ovaripada_2_UP</t>
  </si>
  <si>
    <t>VCB_Close_Ovaripada_1_DN</t>
  </si>
  <si>
    <t>VCB_Close_Ovaripada_2_DN</t>
  </si>
  <si>
    <t>Neutral Section - Ovaripada</t>
  </si>
  <si>
    <t>NS_WB_Blue_Ovaripada_250m_1_DN</t>
  </si>
  <si>
    <t>NS_WB_Blue_Ovaripada_500m_1_DN</t>
  </si>
  <si>
    <t>VCB_Open_Ovaripada_2_DN</t>
  </si>
  <si>
    <t>VCB_Open_Ovaripada_1_DN</t>
  </si>
  <si>
    <t>NS_WB_Blue_Ovaripada_500m_1_UP</t>
  </si>
  <si>
    <t>NS_WB_Blue_Ovaripada_500m_2_UP</t>
  </si>
  <si>
    <t>NS_WB_Blue_Ovaripada_250m_1_UP</t>
  </si>
  <si>
    <t>NS_WB_Blue_Ovaripada_250m_2_UP</t>
  </si>
  <si>
    <t>NS_WB_Blue_Devipada_500m_1_UP</t>
  </si>
  <si>
    <t>NS_WB_Blue_Devipada_500m_2_UP</t>
  </si>
  <si>
    <t>NS_WB_Blue_Devipada_250m_1_UP</t>
  </si>
  <si>
    <t>NS_WB_Blue_Devipada_250m_2_UP</t>
  </si>
  <si>
    <t>VCB_Close_Borivali_1_UP</t>
  </si>
  <si>
    <t>VCB_Open_Borivali_1_UP</t>
  </si>
  <si>
    <t>VCB_Close_Borivali_2_UP</t>
  </si>
  <si>
    <t>VCB_Open_Borivali_2_UP</t>
  </si>
  <si>
    <t>VCB_Close_Borivali_1_DN</t>
  </si>
  <si>
    <t>VCB_Close_Borivali_2_DN</t>
  </si>
  <si>
    <t>VCB_Open_Borivali_1_DN</t>
  </si>
  <si>
    <t>VCB_Open_Borivali_2_DN</t>
  </si>
  <si>
    <t>Neutral Section - Borivali</t>
  </si>
  <si>
    <t>VCB_Open_Malad_1_DN</t>
  </si>
  <si>
    <t>VCB_Open_Malad_2_DN</t>
  </si>
  <si>
    <t>VCB_Close_Malad_1_DN</t>
  </si>
  <si>
    <t>VCB_Close_Malad_2_DN</t>
  </si>
  <si>
    <t>Neutral Section - Malad</t>
  </si>
  <si>
    <t>VCB_Close_Malad_1_UP</t>
  </si>
  <si>
    <t>VCB_Close_Malad_2_UP</t>
  </si>
  <si>
    <t>VCB_Open_Malad_1_UP</t>
  </si>
  <si>
    <t>VCB_Open_Malad_2_UP</t>
  </si>
  <si>
    <t>VCB_Open_Andheri_1_DN</t>
  </si>
  <si>
    <t>VCB_Open_Andheri_2_DN</t>
  </si>
  <si>
    <t>VCB_Open_Andheri_1_UP</t>
  </si>
  <si>
    <t>VCB_Open_Andheri_2_UP</t>
  </si>
  <si>
    <t>VCB_Close_Andheri_1_UP</t>
  </si>
  <si>
    <t>VCB_Close_Andheri_2_UP</t>
  </si>
  <si>
    <t>Neutral Section - Andheri</t>
  </si>
  <si>
    <t>VCB_Close_Andheri_1_DN</t>
  </si>
  <si>
    <t>VCB_Close_Andheri_2_DN</t>
  </si>
  <si>
    <t>NS_End_Sign_Yellow</t>
  </si>
  <si>
    <t>NS_Start_Sign_Yellow</t>
  </si>
  <si>
    <t>NS_End_Sign_White</t>
  </si>
  <si>
    <t>NS_Start_Sign_White</t>
  </si>
  <si>
    <t>NS_WB_White_Malad_500m_1_DN</t>
  </si>
  <si>
    <t>NS_WB_Yellow_Malad_500m_2_DN</t>
  </si>
  <si>
    <t>NS_WB_White_Malad_250m_1_DN</t>
  </si>
  <si>
    <t>NS_WB_Yellow_Malad_250m_2_DN</t>
  </si>
  <si>
    <t>NS_WB_Yellow_Malad_500m_1_UP</t>
  </si>
  <si>
    <t>NS_WB_White_Malad_500m_2_UP</t>
  </si>
  <si>
    <t>NS_WB_Yellow_Malad_250m_1_UP</t>
  </si>
  <si>
    <t>NS_WB_White_Malad_250m_2_UP</t>
  </si>
  <si>
    <t>NS_WB_White_Andheri_500m_1_DN</t>
  </si>
  <si>
    <t>NS_WB_Yellow_Andheri_500m_2_DN</t>
  </si>
  <si>
    <t>NS_WB_White_Andheri_250m_1_DN</t>
  </si>
  <si>
    <t>NS_WB_Yellow_Andheri_250m_2_DN</t>
  </si>
  <si>
    <t>NS_WB_Yellow_Andheri_500m_1_UP</t>
  </si>
  <si>
    <t>NS_WB_White_Andheri_500m_2_UP</t>
  </si>
  <si>
    <t>NS_WB_Yellow_Andheri_250m_1_UP</t>
  </si>
  <si>
    <t>NS_WB_White_Andheri_250m_2_UP</t>
  </si>
  <si>
    <t>NS_WB__White_Borivali_500m_1_UP</t>
  </si>
  <si>
    <t>NS_WB_ellow_Borivali_500m_2_UP</t>
  </si>
  <si>
    <t>NS_WB_Yellow_Borivali_500m_1_DN</t>
  </si>
  <si>
    <t>NS_WB_White_Borivali_500m_2_DN</t>
  </si>
  <si>
    <t>NS_WB_Yellow_Borivali_250m_1_DN</t>
  </si>
  <si>
    <t>NS_WB__White_Borivali_250m_2_DN</t>
  </si>
  <si>
    <t>NS_WB__White_Borivali_250m_1_UP</t>
  </si>
  <si>
    <t>NS_WB_ellow_Borivali_250m_2_UP</t>
  </si>
  <si>
    <t>FP_2AP5214_A</t>
  </si>
  <si>
    <t>FP_2AP9902</t>
  </si>
  <si>
    <t>auto_segment_2_4</t>
  </si>
  <si>
    <t>FP_2AP9901</t>
  </si>
  <si>
    <t>auto_segment_1_3</t>
  </si>
  <si>
    <t>FP_Track_2</t>
  </si>
  <si>
    <t>Non ATC Region</t>
  </si>
  <si>
    <t>NSP_2ABS9001_6C</t>
  </si>
  <si>
    <t>NSP_2ABS9919_6C</t>
  </si>
  <si>
    <t>NSP_2ABS9959_6C</t>
  </si>
  <si>
    <t>NSP_2ABS9961_6C</t>
  </si>
  <si>
    <t>NSP_2ABS9963_6C</t>
  </si>
  <si>
    <t>NSP_2ABS9965_6C</t>
  </si>
  <si>
    <t>NSP_2ABS9967_6C</t>
  </si>
  <si>
    <t>NSP_2ABS9921_6C</t>
  </si>
  <si>
    <t>NSP_2ABS9923_6C</t>
  </si>
  <si>
    <t>NSP_2ABS9925_6C</t>
  </si>
  <si>
    <t>NSP_2ABS9927_6C</t>
  </si>
  <si>
    <t>NSP_2ABS9929_6C</t>
  </si>
  <si>
    <t>NSP_2ABS9931_6C</t>
  </si>
  <si>
    <t>NSP_2ABS9933_6C</t>
  </si>
  <si>
    <t>NSP_2ABS9935_6C</t>
  </si>
  <si>
    <t>NSP_2ABS9937_6C</t>
  </si>
  <si>
    <t>NSP_2ABS9939_6C</t>
  </si>
  <si>
    <t>NSP_2ABS9941_6C</t>
  </si>
  <si>
    <t>NSP_2ABS9943_6C</t>
  </si>
  <si>
    <t>NSP_2ABS9945_6C</t>
  </si>
  <si>
    <t>NSP_2ABS9947_6C</t>
  </si>
  <si>
    <t>NSP_2ABS9949_6C</t>
  </si>
  <si>
    <t>NSP_2ABS9951_6C</t>
  </si>
  <si>
    <t>NSP_2ABS9953_6C</t>
  </si>
  <si>
    <t>NSP_2ABS9955_6C</t>
  </si>
  <si>
    <t>NSP_2ABS9957_6C</t>
  </si>
  <si>
    <t>PSR_-403.69_DN_40 km/h</t>
  </si>
  <si>
    <t>PSR_116.65_DN_40 km/h</t>
  </si>
  <si>
    <t>PSR_486.89_DN_40 km/h</t>
  </si>
  <si>
    <t>PSR_811.79_DN_40 km/h</t>
  </si>
  <si>
    <t>PSR_14947.61_DN_40 km/h</t>
  </si>
  <si>
    <t>PSR_15072.52_DN_40 km/h</t>
  </si>
  <si>
    <t>PSR_15324.49_DN_40 km/h</t>
  </si>
  <si>
    <t>PSR_15383.3_DN_40 km/h</t>
  </si>
  <si>
    <t>PSR_15473.2_DN_40 km/h</t>
  </si>
  <si>
    <t>PSR_15592.23_DN_40 km/h</t>
  </si>
  <si>
    <t>PSR_15850.74_DN_40 km/h</t>
  </si>
  <si>
    <t>PSR_16796.43_DN_40 km/h</t>
  </si>
  <si>
    <t>PSR_2_3_20 km/h</t>
  </si>
  <si>
    <t>20 km/h</t>
  </si>
  <si>
    <t>PSR_1_2_20 km/h</t>
  </si>
  <si>
    <t>PSR_2_3_15 km/h</t>
  </si>
  <si>
    <t>15 km/h</t>
  </si>
  <si>
    <t>PSR_1_2_15 km/h</t>
  </si>
  <si>
    <t>PSR_2_5_15 km/h</t>
  </si>
  <si>
    <t>PSR_1_4_15 km/h</t>
  </si>
  <si>
    <t>PSR_2_3_25 km/h</t>
  </si>
  <si>
    <t>25 km/h</t>
  </si>
  <si>
    <t>PSR_1_2_25 km/h</t>
  </si>
  <si>
    <t>PSR__87_15 km/h</t>
  </si>
  <si>
    <t>PSR_7_1_15 km/h</t>
  </si>
  <si>
    <t>PSR__84_15 km/h</t>
  </si>
  <si>
    <t>PSR_1_3_15 km/h</t>
  </si>
  <si>
    <t>PSR__65_15 km/h</t>
  </si>
  <si>
    <t>PSR__64_15 km/h</t>
  </si>
  <si>
    <t>PSR_2_1_15 km/h</t>
  </si>
  <si>
    <t>PSR__60_15 km/h</t>
  </si>
  <si>
    <t>PSR_6_1_15 km/h</t>
  </si>
  <si>
    <t>PSR__82_15 km/h</t>
  </si>
  <si>
    <t>PSR__80_15 km/h</t>
  </si>
  <si>
    <t>PSR_9_3_15 km/h</t>
  </si>
  <si>
    <t>PSR_113_15 km/h</t>
  </si>
  <si>
    <t>PSR__77_15 km/h</t>
  </si>
  <si>
    <t>PSR_5_1_15 km/h</t>
  </si>
  <si>
    <t>PSR_111_15 km/h</t>
  </si>
  <si>
    <t>PSR_2_9_15 km/h</t>
  </si>
  <si>
    <t>PSR_1_8_15 km/h</t>
  </si>
  <si>
    <t>PSR__73_15 km/h</t>
  </si>
  <si>
    <t>PSR__72_15 km/h</t>
  </si>
  <si>
    <t>PSR_k_1_15 km/h</t>
  </si>
  <si>
    <t>PSR_9_1_15 km/h</t>
  </si>
  <si>
    <t>PSR__67_15 km/h</t>
  </si>
  <si>
    <t>PSR_102_15 km/h</t>
  </si>
  <si>
    <t>PSR_0_3_15 km/h</t>
  </si>
  <si>
    <t>PSR_2_3_1_25 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</si>
</sst>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4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2"/>
      <name val="Arial"/>
      <family val="2"/>
    </font>
    <font>
      <sz val="10"/>
      <color indexed="57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u/>
      <sz val="10"/>
      <color indexed="48"/>
      <name val="Arial"/>
      <family val="2"/>
    </font>
    <font>
      <sz val="10"/>
      <color indexed="14"/>
      <name val="Arial"/>
      <family val="2"/>
    </font>
    <font>
      <b/>
      <sz val="10"/>
      <color indexed="48"/>
      <name val="Arial"/>
      <family val="2"/>
    </font>
    <font>
      <b/>
      <sz val="10"/>
      <color indexed="14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6100"/>
      <name val="Calibri"/>
      <family val="2"/>
      <scheme val="minor"/>
    </font>
    <font>
      <sz val="10"/>
      <color rgb="FF006100"/>
      <name val="Arial"/>
      <family val="2"/>
    </font>
    <font>
      <sz val="10"/>
      <color indexed="48"/>
      <name val="Arial"/>
      <family val="2"/>
    </font>
    <font>
      <sz val="10"/>
      <color rgb="FF9C650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color rgb="FF172B4D"/>
      <name val="Segoe UI"/>
      <family val="2"/>
    </font>
    <font>
      <sz val="8"/>
      <name val="Segoe UI"/>
      <family val="2"/>
    </font>
    <font>
      <b/>
      <sz val="11"/>
      <color indexed="20"/>
      <name val="Calibri"/>
      <family val="2"/>
    </font>
    <font>
      <sz val="11"/>
      <color indexed="20"/>
      <name val="Calibri"/>
      <family val="2"/>
    </font>
    <font>
      <sz val="14"/>
      <name val="Arial"/>
      <family val="2"/>
    </font>
    <font>
      <b/>
      <sz val="8"/>
      <color indexed="8"/>
      <name val="Tahoma"/>
      <family val="2"/>
    </font>
    <font>
      <sz val="10"/>
      <name val="Calibri"/>
      <family val="2"/>
      <scheme val="minor"/>
    </font>
    <font>
      <sz val="8"/>
      <color indexed="8"/>
      <name val="Tahoma"/>
      <family val="2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31"/>
        <bgColor indexed="2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indexed="29"/>
      </patternFill>
    </fill>
    <fill>
      <patternFill patternType="solid">
        <fgColor theme="8" tint="0.39997558519241921"/>
        <bgColor indexed="22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3" tint="0.79998168889431442"/>
        <bgColor indexed="22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6" tint="0.79998168889431442"/>
        <bgColor indexed="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22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">
    <xf numFmtId="0" fontId="0" fillId="0" borderId="0"/>
    <xf numFmtId="0" fontId="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1" fillId="2" borderId="0" applyNumberFormat="0" applyBorder="0" applyAlignment="0" applyProtection="0"/>
    <xf numFmtId="0" fontId="5" fillId="7" borderId="0" applyNumberFormat="0" applyFont="0" applyBorder="0" applyAlignment="0" applyProtection="0"/>
    <xf numFmtId="0" fontId="5" fillId="8" borderId="0" applyNumberFormat="0" applyFont="0" applyBorder="0" applyAlignment="0" applyProtection="0"/>
    <xf numFmtId="0" fontId="5" fillId="10" borderId="0" applyNumberFormat="0" applyFont="0" applyBorder="0" applyAlignment="0" applyProtection="0"/>
    <xf numFmtId="0" fontId="5" fillId="9" borderId="0" applyNumberFormat="0" applyFont="0" applyBorder="0" applyAlignment="0" applyProtection="0"/>
    <xf numFmtId="0" fontId="19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7" fillId="0" borderId="0"/>
    <xf numFmtId="0" fontId="5" fillId="0" borderId="0"/>
    <xf numFmtId="0" fontId="17" fillId="0" borderId="0"/>
    <xf numFmtId="0" fontId="17" fillId="6" borderId="2" applyNumberFormat="0" applyFont="0" applyAlignment="0" applyProtection="0"/>
    <xf numFmtId="0" fontId="4" fillId="0" borderId="0"/>
    <xf numFmtId="0" fontId="20" fillId="11" borderId="0" applyNumberFormat="0" applyBorder="0" applyAlignment="0" applyProtection="0"/>
    <xf numFmtId="0" fontId="21" fillId="13" borderId="0" applyNumberFormat="0" applyBorder="0" applyAlignment="0" applyProtection="0"/>
    <xf numFmtId="0" fontId="24" fillId="5" borderId="0" applyNumberFormat="0" applyBorder="0" applyAlignment="0" applyProtection="0"/>
    <xf numFmtId="0" fontId="5" fillId="0" borderId="0"/>
    <xf numFmtId="0" fontId="5" fillId="6" borderId="2" applyNumberFormat="0" applyFont="0" applyAlignment="0" applyProtection="0"/>
    <xf numFmtId="0" fontId="5" fillId="6" borderId="2" applyNumberFormat="0" applyFont="0" applyAlignment="0" applyProtection="0"/>
    <xf numFmtId="0" fontId="21" fillId="12" borderId="0" applyNumberFormat="0" applyBorder="0" applyAlignment="0" applyProtection="0"/>
    <xf numFmtId="0" fontId="5" fillId="7" borderId="0" applyNumberFormat="0" applyFont="0" applyBorder="0" applyAlignment="0" applyProtection="0"/>
    <xf numFmtId="0" fontId="3" fillId="0" borderId="0"/>
    <xf numFmtId="0" fontId="5" fillId="0" borderId="0"/>
    <xf numFmtId="0" fontId="34" fillId="2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</cellStyleXfs>
  <cellXfs count="237">
    <xf numFmtId="0" fontId="0" fillId="0" borderId="0" xfId="0"/>
    <xf numFmtId="0" fontId="8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0" fillId="0" borderId="0" xfId="0" applyAlignment="1">
      <alignment horizontal="left"/>
    </xf>
    <xf numFmtId="0" fontId="10" fillId="0" borderId="0" xfId="0" applyFont="1"/>
    <xf numFmtId="165" fontId="0" fillId="0" borderId="0" xfId="0" applyNumberFormat="1"/>
    <xf numFmtId="0" fontId="9" fillId="0" borderId="0" xfId="19" applyFont="1"/>
    <xf numFmtId="0" fontId="13" fillId="0" borderId="0" xfId="9" applyFont="1" applyAlignment="1">
      <alignment horizontal="center"/>
    </xf>
    <xf numFmtId="0" fontId="14" fillId="0" borderId="0" xfId="19" applyFont="1" applyAlignment="1">
      <alignment horizontal="center"/>
    </xf>
    <xf numFmtId="2" fontId="14" fillId="0" borderId="0" xfId="19" applyNumberFormat="1" applyFont="1"/>
    <xf numFmtId="0" fontId="14" fillId="0" borderId="0" xfId="19" applyFont="1"/>
    <xf numFmtId="0" fontId="0" fillId="0" borderId="0" xfId="19" applyFont="1"/>
    <xf numFmtId="0" fontId="0" fillId="0" borderId="0" xfId="19" applyFont="1" applyAlignment="1">
      <alignment horizontal="center"/>
    </xf>
    <xf numFmtId="0" fontId="5" fillId="0" borderId="0" xfId="19"/>
    <xf numFmtId="0" fontId="9" fillId="0" borderId="0" xfId="19" applyFont="1" applyAlignment="1">
      <alignment horizontal="center"/>
    </xf>
    <xf numFmtId="0" fontId="9" fillId="3" borderId="0" xfId="19" applyFont="1" applyFill="1"/>
    <xf numFmtId="0" fontId="16" fillId="3" borderId="0" xfId="19" applyFont="1" applyFill="1" applyAlignment="1">
      <alignment horizontal="center"/>
    </xf>
    <xf numFmtId="2" fontId="16" fillId="3" borderId="0" xfId="19" applyNumberFormat="1" applyFont="1" applyFill="1"/>
    <xf numFmtId="0" fontId="16" fillId="3" borderId="0" xfId="19" applyFont="1" applyFill="1"/>
    <xf numFmtId="0" fontId="9" fillId="3" borderId="0" xfId="19" applyFont="1" applyFill="1" applyAlignment="1">
      <alignment horizontal="center"/>
    </xf>
    <xf numFmtId="0" fontId="5" fillId="3" borderId="0" xfId="19" applyFill="1"/>
    <xf numFmtId="0" fontId="19" fillId="5" borderId="0" xfId="8"/>
    <xf numFmtId="165" fontId="19" fillId="5" borderId="0" xfId="8" applyNumberFormat="1"/>
    <xf numFmtId="0" fontId="12" fillId="5" borderId="0" xfId="9" applyFill="1"/>
    <xf numFmtId="165" fontId="0" fillId="0" borderId="0" xfId="19" applyNumberFormat="1" applyFont="1" applyAlignment="1">
      <alignment horizontal="center"/>
    </xf>
    <xf numFmtId="0" fontId="15" fillId="3" borderId="0" xfId="19" applyFont="1" applyFill="1" applyAlignment="1">
      <alignment horizontal="center" wrapText="1"/>
    </xf>
    <xf numFmtId="0" fontId="16" fillId="3" borderId="0" xfId="19" applyFont="1" applyFill="1" applyAlignment="1">
      <alignment horizontal="center" wrapText="1"/>
    </xf>
    <xf numFmtId="165" fontId="9" fillId="3" borderId="0" xfId="19" applyNumberFormat="1" applyFont="1" applyFill="1" applyAlignment="1">
      <alignment horizontal="center"/>
    </xf>
    <xf numFmtId="22" fontId="0" fillId="0" borderId="0" xfId="0" applyNumberFormat="1" applyAlignment="1">
      <alignment horizontal="left"/>
    </xf>
    <xf numFmtId="0" fontId="12" fillId="0" borderId="0" xfId="9"/>
    <xf numFmtId="0" fontId="25" fillId="5" borderId="2" xfId="8" applyFont="1" applyBorder="1"/>
    <xf numFmtId="165" fontId="25" fillId="5" borderId="2" xfId="8" applyNumberFormat="1" applyFont="1" applyBorder="1"/>
    <xf numFmtId="0" fontId="25" fillId="5" borderId="2" xfId="8" applyFont="1" applyBorder="1" applyAlignment="1">
      <alignment horizontal="left"/>
    </xf>
    <xf numFmtId="0" fontId="5" fillId="6" borderId="2" xfId="20" applyFont="1"/>
    <xf numFmtId="0" fontId="5" fillId="6" borderId="2" xfId="20" applyFont="1" applyAlignment="1">
      <alignment horizontal="left"/>
    </xf>
    <xf numFmtId="0" fontId="12" fillId="6" borderId="2" xfId="20" quotePrefix="1" applyFont="1"/>
    <xf numFmtId="165" fontId="12" fillId="6" borderId="2" xfId="20" applyNumberFormat="1" applyFont="1"/>
    <xf numFmtId="165" fontId="7" fillId="6" borderId="2" xfId="20" applyNumberFormat="1" applyFont="1"/>
    <xf numFmtId="0" fontId="12" fillId="6" borderId="2" xfId="20" applyFont="1" applyAlignment="1">
      <alignment horizontal="left"/>
    </xf>
    <xf numFmtId="0" fontId="12" fillId="6" borderId="2" xfId="20" applyFont="1" applyAlignment="1"/>
    <xf numFmtId="0" fontId="12" fillId="0" borderId="0" xfId="9" applyNumberFormat="1" applyFill="1" applyBorder="1" applyAlignment="1" applyProtection="1"/>
    <xf numFmtId="0" fontId="13" fillId="0" borderId="0" xfId="9" applyNumberFormat="1" applyFont="1" applyFill="1" applyBorder="1" applyAlignment="1" applyProtection="1">
      <alignment horizontal="center"/>
    </xf>
    <xf numFmtId="165" fontId="7" fillId="0" borderId="0" xfId="10" applyNumberFormat="1" applyAlignment="1">
      <alignment horizontal="center"/>
    </xf>
    <xf numFmtId="165" fontId="7" fillId="0" borderId="0" xfId="10" applyNumberFormat="1"/>
    <xf numFmtId="165" fontId="5" fillId="0" borderId="0" xfId="19" applyNumberFormat="1" applyAlignment="1">
      <alignment horizontal="center"/>
    </xf>
    <xf numFmtId="165" fontId="5" fillId="0" borderId="0" xfId="19" applyNumberFormat="1"/>
    <xf numFmtId="0" fontId="5" fillId="0" borderId="0" xfId="19" applyAlignment="1">
      <alignment horizontal="center"/>
    </xf>
    <xf numFmtId="0" fontId="5" fillId="0" borderId="0" xfId="19" applyAlignment="1">
      <alignment horizontal="left"/>
    </xf>
    <xf numFmtId="0" fontId="5" fillId="0" borderId="0" xfId="0" applyFont="1"/>
    <xf numFmtId="0" fontId="26" fillId="0" borderId="0" xfId="19" applyFont="1" applyAlignment="1">
      <alignment horizontal="center"/>
    </xf>
    <xf numFmtId="0" fontId="9" fillId="15" borderId="3" xfId="19" applyFont="1" applyFill="1" applyBorder="1"/>
    <xf numFmtId="0" fontId="15" fillId="15" borderId="3" xfId="19" applyFont="1" applyFill="1" applyBorder="1" applyAlignment="1">
      <alignment horizontal="center"/>
    </xf>
    <xf numFmtId="165" fontId="7" fillId="15" borderId="3" xfId="10" applyNumberFormat="1" applyFill="1" applyBorder="1" applyAlignment="1">
      <alignment horizontal="center"/>
    </xf>
    <xf numFmtId="165" fontId="7" fillId="15" borderId="3" xfId="10" applyNumberFormat="1" applyFill="1" applyBorder="1"/>
    <xf numFmtId="0" fontId="16" fillId="15" borderId="3" xfId="19" applyFont="1" applyFill="1" applyBorder="1"/>
    <xf numFmtId="165" fontId="9" fillId="15" borderId="3" xfId="19" applyNumberFormat="1" applyFont="1" applyFill="1" applyBorder="1" applyAlignment="1">
      <alignment horizontal="center"/>
    </xf>
    <xf numFmtId="165" fontId="9" fillId="15" borderId="3" xfId="19" applyNumberFormat="1" applyFont="1" applyFill="1" applyBorder="1"/>
    <xf numFmtId="0" fontId="5" fillId="15" borderId="3" xfId="19" applyFill="1" applyBorder="1"/>
    <xf numFmtId="0" fontId="5" fillId="15" borderId="3" xfId="19" applyFill="1" applyBorder="1" applyAlignment="1">
      <alignment horizontal="left"/>
    </xf>
    <xf numFmtId="0" fontId="27" fillId="11" borderId="0" xfId="16" applyFont="1"/>
    <xf numFmtId="0" fontId="27" fillId="16" borderId="0" xfId="16" applyFont="1" applyFill="1"/>
    <xf numFmtId="0" fontId="5" fillId="17" borderId="3" xfId="0" applyFont="1" applyFill="1" applyBorder="1"/>
    <xf numFmtId="165" fontId="5" fillId="17" borderId="3" xfId="0" applyNumberFormat="1" applyFont="1" applyFill="1" applyBorder="1"/>
    <xf numFmtId="0" fontId="5" fillId="17" borderId="3" xfId="0" applyFont="1" applyFill="1" applyBorder="1" applyAlignment="1">
      <alignment horizontal="left"/>
    </xf>
    <xf numFmtId="0" fontId="25" fillId="5" borderId="0" xfId="8" applyFont="1"/>
    <xf numFmtId="165" fontId="27" fillId="11" borderId="0" xfId="16" applyNumberFormat="1" applyFont="1"/>
    <xf numFmtId="0" fontId="27" fillId="11" borderId="0" xfId="16" applyFont="1" applyAlignment="1">
      <alignment horizontal="left"/>
    </xf>
    <xf numFmtId="0" fontId="29" fillId="18" borderId="3" xfId="0" applyFont="1" applyFill="1" applyBorder="1"/>
    <xf numFmtId="49" fontId="29" fillId="18" borderId="3" xfId="0" applyNumberFormat="1" applyFont="1" applyFill="1" applyBorder="1"/>
    <xf numFmtId="0" fontId="5" fillId="18" borderId="3" xfId="0" applyFont="1" applyFill="1" applyBorder="1"/>
    <xf numFmtId="165" fontId="29" fillId="18" borderId="3" xfId="0" applyNumberFormat="1" applyFont="1" applyFill="1" applyBorder="1"/>
    <xf numFmtId="2" fontId="29" fillId="18" borderId="3" xfId="0" applyNumberFormat="1" applyFont="1" applyFill="1" applyBorder="1" applyAlignment="1">
      <alignment horizontal="left"/>
    </xf>
    <xf numFmtId="49" fontId="29" fillId="18" borderId="3" xfId="0" applyNumberFormat="1" applyFont="1" applyFill="1" applyBorder="1" applyAlignment="1">
      <alignment horizontal="left"/>
    </xf>
    <xf numFmtId="0" fontId="0" fillId="18" borderId="3" xfId="0" applyFill="1" applyBorder="1"/>
    <xf numFmtId="49" fontId="5" fillId="18" borderId="3" xfId="0" applyNumberFormat="1" applyFont="1" applyFill="1" applyBorder="1"/>
    <xf numFmtId="164" fontId="5" fillId="18" borderId="3" xfId="0" applyNumberFormat="1" applyFont="1" applyFill="1" applyBorder="1"/>
    <xf numFmtId="165" fontId="5" fillId="18" borderId="3" xfId="0" applyNumberFormat="1" applyFont="1" applyFill="1" applyBorder="1"/>
    <xf numFmtId="0" fontId="30" fillId="18" borderId="3" xfId="0" quotePrefix="1" applyFont="1" applyFill="1" applyBorder="1" applyAlignment="1">
      <alignment horizontal="left"/>
    </xf>
    <xf numFmtId="0" fontId="5" fillId="18" borderId="3" xfId="0" applyFont="1" applyFill="1" applyBorder="1" applyAlignment="1">
      <alignment horizontal="left"/>
    </xf>
    <xf numFmtId="0" fontId="31" fillId="0" borderId="0" xfId="0" applyFont="1"/>
    <xf numFmtId="0" fontId="6" fillId="0" borderId="0" xfId="0" applyFont="1"/>
    <xf numFmtId="0" fontId="19" fillId="5" borderId="0" xfId="8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19" applyAlignment="1">
      <alignment horizontal="center" vertical="center"/>
    </xf>
    <xf numFmtId="0" fontId="32" fillId="0" borderId="0" xfId="0" applyFont="1"/>
    <xf numFmtId="0" fontId="12" fillId="6" borderId="2" xfId="20" applyFont="1"/>
    <xf numFmtId="0" fontId="27" fillId="16" borderId="0" xfId="16" applyFont="1" applyFill="1" applyAlignment="1">
      <alignment horizontal="left"/>
    </xf>
    <xf numFmtId="165" fontId="27" fillId="16" borderId="0" xfId="16" applyNumberFormat="1" applyFont="1" applyFill="1"/>
    <xf numFmtId="0" fontId="25" fillId="16" borderId="0" xfId="8" applyFont="1" applyFill="1"/>
    <xf numFmtId="165" fontId="6" fillId="0" borderId="0" xfId="0" applyNumberFormat="1" applyFont="1"/>
    <xf numFmtId="1" fontId="0" fillId="21" borderId="0" xfId="0" applyNumberFormat="1" applyFill="1" applyAlignment="1">
      <alignment horizontal="center"/>
    </xf>
    <xf numFmtId="0" fontId="11" fillId="0" borderId="0" xfId="0" applyFont="1"/>
    <xf numFmtId="0" fontId="11" fillId="21" borderId="0" xfId="0" applyFont="1" applyFill="1"/>
    <xf numFmtId="0" fontId="0" fillId="21" borderId="0" xfId="0" applyFill="1"/>
    <xf numFmtId="0" fontId="9" fillId="0" borderId="0" xfId="0" applyFont="1"/>
    <xf numFmtId="0" fontId="0" fillId="21" borderId="0" xfId="0" applyFill="1" applyAlignment="1">
      <alignment horizontal="left"/>
    </xf>
    <xf numFmtId="0" fontId="10" fillId="22" borderId="0" xfId="0" applyFont="1" applyFill="1"/>
    <xf numFmtId="0" fontId="10" fillId="22" borderId="0" xfId="0" applyFont="1" applyFill="1" applyAlignment="1">
      <alignment horizontal="left"/>
    </xf>
    <xf numFmtId="0" fontId="10" fillId="22" borderId="0" xfId="0" applyFont="1" applyFill="1" applyAlignment="1">
      <alignment horizontal="center"/>
    </xf>
    <xf numFmtId="0" fontId="9" fillId="22" borderId="0" xfId="0" applyFont="1" applyFill="1" applyAlignment="1">
      <alignment horizontal="left"/>
    </xf>
    <xf numFmtId="2" fontId="33" fillId="23" borderId="0" xfId="26" applyNumberFormat="1" applyFont="1" applyFill="1" applyBorder="1" applyAlignment="1" applyProtection="1">
      <alignment horizontal="center"/>
    </xf>
    <xf numFmtId="166" fontId="0" fillId="0" borderId="0" xfId="0" applyNumberFormat="1"/>
    <xf numFmtId="0" fontId="19" fillId="0" borderId="0" xfId="8" applyFill="1"/>
    <xf numFmtId="0" fontId="11" fillId="21" borderId="0" xfId="0" applyFont="1" applyFill="1" applyAlignment="1">
      <alignment horizontal="left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2" borderId="0" xfId="3" applyNumberFormat="1" applyFont="1" applyBorder="1" applyAlignment="1" applyProtection="1">
      <alignment horizontal="center"/>
    </xf>
    <xf numFmtId="2" fontId="10" fillId="2" borderId="0" xfId="3" applyNumberFormat="1" applyFont="1" applyBorder="1" applyAlignment="1" applyProtection="1">
      <alignment horizontal="center"/>
    </xf>
    <xf numFmtId="2" fontId="11" fillId="2" borderId="0" xfId="3" applyNumberFormat="1" applyBorder="1" applyAlignment="1" applyProtection="1">
      <alignment horizontal="center"/>
    </xf>
    <xf numFmtId="0" fontId="25" fillId="14" borderId="2" xfId="8" applyFont="1" applyFill="1" applyBorder="1"/>
    <xf numFmtId="0" fontId="5" fillId="0" borderId="2" xfId="20" applyFont="1" applyFill="1"/>
    <xf numFmtId="164" fontId="0" fillId="0" borderId="0" xfId="0" applyNumberFormat="1"/>
    <xf numFmtId="0" fontId="35" fillId="0" borderId="0" xfId="0" applyFont="1"/>
    <xf numFmtId="0" fontId="11" fillId="24" borderId="0" xfId="0" applyFont="1" applyFill="1"/>
    <xf numFmtId="2" fontId="0" fillId="0" borderId="0" xfId="0" applyNumberFormat="1"/>
    <xf numFmtId="164" fontId="0" fillId="0" borderId="0" xfId="19" applyNumberFormat="1" applyFont="1" applyAlignment="1">
      <alignment horizontal="center"/>
    </xf>
    <xf numFmtId="0" fontId="1" fillId="0" borderId="0" xfId="30"/>
    <xf numFmtId="0" fontId="9" fillId="3" borderId="0" xfId="19" applyFont="1" applyFill="1" applyAlignment="1">
      <alignment horizontal="center" vertical="center"/>
    </xf>
    <xf numFmtId="0" fontId="15" fillId="3" borderId="0" xfId="19" applyFont="1" applyFill="1" applyAlignment="1">
      <alignment horizontal="center"/>
    </xf>
    <xf numFmtId="164" fontId="9" fillId="3" borderId="0" xfId="19" applyNumberFormat="1" applyFont="1" applyFill="1" applyAlignment="1">
      <alignment horizontal="center"/>
    </xf>
    <xf numFmtId="0" fontId="0" fillId="3" borderId="0" xfId="19" applyFont="1" applyFill="1"/>
    <xf numFmtId="0" fontId="0" fillId="3" borderId="0" xfId="19" applyFont="1" applyFill="1" applyAlignment="1">
      <alignment horizontal="center"/>
    </xf>
    <xf numFmtId="0" fontId="5" fillId="3" borderId="0" xfId="19" applyFill="1" applyAlignment="1">
      <alignment horizontal="left"/>
    </xf>
    <xf numFmtId="1" fontId="14" fillId="0" borderId="0" xfId="19" applyNumberFormat="1" applyFont="1" applyAlignment="1">
      <alignment horizontal="center"/>
    </xf>
    <xf numFmtId="2" fontId="26" fillId="0" borderId="0" xfId="19" applyNumberFormat="1" applyFont="1" applyAlignment="1">
      <alignment horizontal="center"/>
    </xf>
    <xf numFmtId="2" fontId="15" fillId="3" borderId="0" xfId="19" applyNumberFormat="1" applyFont="1" applyFill="1" applyAlignment="1">
      <alignment horizontal="center"/>
    </xf>
    <xf numFmtId="4" fontId="0" fillId="0" borderId="0" xfId="0" applyNumberFormat="1" applyAlignment="1">
      <alignment horizontal="left"/>
    </xf>
    <xf numFmtId="0" fontId="9" fillId="3" borderId="0" xfId="19" applyFont="1" applyFill="1" applyAlignment="1">
      <alignment vertical="center"/>
    </xf>
    <xf numFmtId="0" fontId="15" fillId="3" borderId="0" xfId="19" applyFont="1" applyFill="1" applyAlignment="1">
      <alignment horizontal="center" vertical="center"/>
    </xf>
    <xf numFmtId="0" fontId="16" fillId="3" borderId="0" xfId="19" applyFont="1" applyFill="1" applyAlignment="1">
      <alignment horizontal="center" vertical="center"/>
    </xf>
    <xf numFmtId="2" fontId="16" fillId="3" borderId="0" xfId="19" applyNumberFormat="1" applyFont="1" applyFill="1" applyAlignment="1">
      <alignment vertical="center"/>
    </xf>
    <xf numFmtId="0" fontId="16" fillId="3" borderId="0" xfId="19" applyFont="1" applyFill="1" applyAlignment="1">
      <alignment vertical="center"/>
    </xf>
    <xf numFmtId="165" fontId="9" fillId="3" borderId="0" xfId="19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2" fontId="19" fillId="5" borderId="0" xfId="8" applyNumberFormat="1"/>
    <xf numFmtId="2" fontId="13" fillId="0" borderId="0" xfId="9" applyNumberFormat="1" applyFont="1" applyAlignment="1">
      <alignment horizontal="center"/>
    </xf>
    <xf numFmtId="2" fontId="16" fillId="3" borderId="0" xfId="19" applyNumberFormat="1" applyFont="1" applyFill="1" applyAlignment="1">
      <alignment horizontal="center" vertical="center"/>
    </xf>
    <xf numFmtId="0" fontId="27" fillId="0" borderId="0" xfId="0" applyFont="1"/>
    <xf numFmtId="0" fontId="27" fillId="19" borderId="0" xfId="16" applyFont="1" applyFill="1"/>
    <xf numFmtId="0" fontId="25" fillId="19" borderId="0" xfId="8" applyFont="1" applyFill="1"/>
    <xf numFmtId="165" fontId="27" fillId="19" borderId="0" xfId="16" applyNumberFormat="1" applyFont="1" applyFill="1"/>
    <xf numFmtId="0" fontId="27" fillId="19" borderId="0" xfId="16" applyFont="1" applyFill="1" applyAlignment="1">
      <alignment horizontal="left"/>
    </xf>
    <xf numFmtId="2" fontId="28" fillId="19" borderId="0" xfId="1" applyNumberFormat="1" applyFont="1" applyFill="1"/>
    <xf numFmtId="2" fontId="25" fillId="5" borderId="2" xfId="8" applyNumberFormat="1" applyFont="1" applyBorder="1"/>
    <xf numFmtId="2" fontId="12" fillId="6" borderId="2" xfId="20" applyNumberFormat="1" applyFont="1"/>
    <xf numFmtId="2" fontId="26" fillId="0" borderId="0" xfId="19" applyNumberFormat="1" applyFont="1" applyAlignment="1">
      <alignment horizontal="right"/>
    </xf>
    <xf numFmtId="2" fontId="15" fillId="15" borderId="3" xfId="19" applyNumberFormat="1" applyFont="1" applyFill="1" applyBorder="1" applyAlignment="1">
      <alignment horizontal="center"/>
    </xf>
    <xf numFmtId="2" fontId="5" fillId="17" borderId="3" xfId="0" applyNumberFormat="1" applyFont="1" applyFill="1" applyBorder="1"/>
    <xf numFmtId="2" fontId="27" fillId="11" borderId="0" xfId="16" applyNumberFormat="1" applyFont="1" applyAlignment="1">
      <alignment horizontal="center" vertical="center"/>
    </xf>
    <xf numFmtId="2" fontId="28" fillId="11" borderId="0" xfId="1" applyNumberFormat="1" applyFont="1" applyFill="1"/>
    <xf numFmtId="2" fontId="28" fillId="18" borderId="3" xfId="1" applyNumberFormat="1" applyFont="1" applyFill="1" applyBorder="1"/>
    <xf numFmtId="2" fontId="28" fillId="16" borderId="0" xfId="1" applyNumberFormat="1" applyFont="1" applyFill="1"/>
    <xf numFmtId="0" fontId="6" fillId="0" borderId="3" xfId="0" applyFont="1" applyBorder="1"/>
    <xf numFmtId="2" fontId="7" fillId="6" borderId="2" xfId="20" applyNumberFormat="1" applyFont="1"/>
    <xf numFmtId="2" fontId="7" fillId="0" borderId="0" xfId="10" applyNumberFormat="1" applyAlignment="1">
      <alignment horizontal="center"/>
    </xf>
    <xf numFmtId="2" fontId="7" fillId="15" borderId="3" xfId="10" applyNumberFormat="1" applyFill="1" applyBorder="1" applyAlignment="1">
      <alignment horizontal="center"/>
    </xf>
    <xf numFmtId="2" fontId="7" fillId="17" borderId="3" xfId="10" applyNumberFormat="1" applyFill="1" applyBorder="1"/>
    <xf numFmtId="2" fontId="7" fillId="11" borderId="0" xfId="10" applyNumberFormat="1" applyFill="1"/>
    <xf numFmtId="2" fontId="7" fillId="16" borderId="0" xfId="10" applyNumberFormat="1" applyFill="1"/>
    <xf numFmtId="2" fontId="7" fillId="19" borderId="0" xfId="10" applyNumberFormat="1" applyFill="1"/>
    <xf numFmtId="165" fontId="7" fillId="0" borderId="3" xfId="0" applyNumberFormat="1" applyFont="1" applyBorder="1"/>
    <xf numFmtId="0" fontId="27" fillId="19" borderId="0" xfId="16" applyFont="1" applyFill="1" applyBorder="1"/>
    <xf numFmtId="0" fontId="5" fillId="18" borderId="0" xfId="0" applyFont="1" applyFill="1"/>
    <xf numFmtId="49" fontId="5" fillId="18" borderId="0" xfId="0" applyNumberFormat="1" applyFont="1" applyFill="1"/>
    <xf numFmtId="2" fontId="28" fillId="18" borderId="0" xfId="1" applyNumberFormat="1" applyFont="1" applyFill="1" applyBorder="1"/>
    <xf numFmtId="164" fontId="5" fillId="18" borderId="0" xfId="0" applyNumberFormat="1" applyFont="1" applyFill="1"/>
    <xf numFmtId="165" fontId="5" fillId="18" borderId="0" xfId="0" applyNumberFormat="1" applyFont="1" applyFill="1"/>
    <xf numFmtId="165" fontId="29" fillId="18" borderId="0" xfId="0" applyNumberFormat="1" applyFont="1" applyFill="1"/>
    <xf numFmtId="2" fontId="28" fillId="19" borderId="0" xfId="1" applyNumberFormat="1" applyFont="1" applyFill="1" applyBorder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3" borderId="0" xfId="19" applyFont="1" applyFill="1" applyAlignment="1">
      <alignment horizontal="left"/>
    </xf>
    <xf numFmtId="0" fontId="9" fillId="0" borderId="0" xfId="19" applyFont="1" applyAlignment="1">
      <alignment horizontal="left"/>
    </xf>
    <xf numFmtId="0" fontId="19" fillId="5" borderId="0" xfId="8" applyAlignment="1">
      <alignment horizontal="left"/>
    </xf>
    <xf numFmtId="0" fontId="5" fillId="25" borderId="0" xfId="19" applyFill="1"/>
    <xf numFmtId="0" fontId="11" fillId="26" borderId="0" xfId="0" applyFont="1" applyFill="1"/>
    <xf numFmtId="0" fontId="0" fillId="27" borderId="0" xfId="0" applyFill="1"/>
    <xf numFmtId="2" fontId="0" fillId="27" borderId="0" xfId="0" applyNumberFormat="1" applyFill="1"/>
    <xf numFmtId="0" fontId="0" fillId="28" borderId="0" xfId="0" applyFill="1"/>
    <xf numFmtId="0" fontId="0" fillId="27" borderId="0" xfId="0" applyFill="1" applyAlignment="1">
      <alignment horizontal="center" vertical="center"/>
    </xf>
    <xf numFmtId="0" fontId="5" fillId="29" borderId="0" xfId="19" applyFill="1"/>
    <xf numFmtId="0" fontId="11" fillId="30" borderId="0" xfId="0" applyFont="1" applyFill="1"/>
    <xf numFmtId="0" fontId="0" fillId="31" borderId="0" xfId="0" applyFill="1"/>
    <xf numFmtId="2" fontId="0" fillId="31" borderId="0" xfId="0" applyNumberFormat="1" applyFill="1"/>
    <xf numFmtId="0" fontId="6" fillId="0" borderId="0" xfId="0" applyFont="1" applyAlignment="1">
      <alignment horizontal="left" vertical="center"/>
    </xf>
    <xf numFmtId="0" fontId="37" fillId="0" borderId="0" xfId="0" applyFont="1"/>
    <xf numFmtId="0" fontId="37" fillId="0" borderId="0" xfId="0" applyFont="1" applyAlignment="1">
      <alignment horizontal="center"/>
    </xf>
    <xf numFmtId="2" fontId="14" fillId="0" borderId="0" xfId="19" applyNumberFormat="1" applyFont="1" applyAlignment="1">
      <alignment horizontal="center"/>
    </xf>
    <xf numFmtId="0" fontId="0" fillId="32" borderId="0" xfId="0" applyFill="1"/>
    <xf numFmtId="0" fontId="0" fillId="19" borderId="0" xfId="0" applyFill="1"/>
    <xf numFmtId="2" fontId="7" fillId="19" borderId="0" xfId="10" applyNumberFormat="1" applyFill="1" applyBorder="1"/>
    <xf numFmtId="0" fontId="27" fillId="19" borderId="3" xfId="16" applyFont="1" applyFill="1" applyBorder="1"/>
    <xf numFmtId="2" fontId="28" fillId="19" borderId="3" xfId="1" applyNumberFormat="1" applyFont="1" applyFill="1" applyBorder="1"/>
    <xf numFmtId="2" fontId="7" fillId="19" borderId="3" xfId="10" applyNumberFormat="1" applyFill="1" applyBorder="1"/>
    <xf numFmtId="0" fontId="25" fillId="19" borderId="3" xfId="8" applyFont="1" applyFill="1" applyBorder="1"/>
    <xf numFmtId="2" fontId="7" fillId="11" borderId="3" xfId="10" applyNumberFormat="1" applyFill="1" applyBorder="1"/>
    <xf numFmtId="165" fontId="27" fillId="19" borderId="3" xfId="16" applyNumberFormat="1" applyFont="1" applyFill="1" applyBorder="1"/>
    <xf numFmtId="0" fontId="0" fillId="0" borderId="3" xfId="0" applyBorder="1"/>
    <xf numFmtId="165" fontId="6" fillId="0" borderId="3" xfId="0" applyNumberFormat="1" applyFont="1" applyBorder="1"/>
    <xf numFmtId="4" fontId="0" fillId="0" borderId="3" xfId="0" applyNumberFormat="1" applyBorder="1"/>
    <xf numFmtId="49" fontId="5" fillId="18" borderId="3" xfId="0" quotePrefix="1" applyNumberFormat="1" applyFont="1" applyFill="1" applyBorder="1"/>
    <xf numFmtId="0" fontId="12" fillId="0" borderId="0" xfId="9" applyAlignment="1">
      <alignment horizontal="left" vertical="center"/>
    </xf>
    <xf numFmtId="0" fontId="5" fillId="0" borderId="0" xfId="19" applyAlignment="1">
      <alignment horizontal="left" vertical="center"/>
    </xf>
    <xf numFmtId="0" fontId="9" fillId="3" borderId="0" xfId="19" applyFont="1" applyFill="1" applyAlignment="1">
      <alignment horizontal="left" vertical="center"/>
    </xf>
    <xf numFmtId="0" fontId="11" fillId="0" borderId="0" xfId="3" applyFill="1"/>
    <xf numFmtId="0" fontId="11" fillId="2" borderId="0" xfId="3"/>
    <xf numFmtId="0" fontId="20" fillId="0" borderId="0" xfId="16" applyFill="1"/>
    <xf numFmtId="0" fontId="20" fillId="11" borderId="0" xfId="16"/>
    <xf numFmtId="0" fontId="9" fillId="33" borderId="0" xfId="0" applyFont="1" applyFill="1"/>
    <xf numFmtId="0" fontId="9" fillId="33" borderId="0" xfId="19" applyFont="1" applyFill="1"/>
    <xf numFmtId="0" fontId="9" fillId="33" borderId="3" xfId="19" applyFont="1" applyFill="1" applyBorder="1"/>
    <xf numFmtId="0" fontId="9" fillId="33" borderId="0" xfId="19" applyFont="1" applyFill="1" applyAlignment="1">
      <alignment vertical="center"/>
    </xf>
    <xf numFmtId="0" fontId="11" fillId="34" borderId="0" xfId="0" applyFont="1" applyFill="1"/>
    <xf numFmtId="0" fontId="12" fillId="6" borderId="4" xfId="20" applyFont="1" applyBorder="1"/>
    <xf numFmtId="0" fontId="12" fillId="6" borderId="5" xfId="20" applyFont="1" applyBorder="1"/>
    <xf numFmtId="0" fontId="12" fillId="6" borderId="6" xfId="20" applyFont="1" applyBorder="1"/>
    <xf numFmtId="0" fontId="0" fillId="0" borderId="0" xfId="0" applyFill="1"/>
    <xf numFmtId="0" fontId="9" fillId="0" borderId="1" xfId="0" applyFont="1" applyFill="1" applyBorder="1"/>
    <xf numFmtId="0" fontId="10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9" fillId="0" borderId="0" xfId="19" applyFont="1" applyFill="1"/>
    <xf numFmtId="0" fontId="0" fillId="0" borderId="0" xfId="19" applyFont="1" applyFill="1"/>
    <xf numFmtId="0" fontId="5" fillId="0" borderId="0" xfId="19" applyFill="1"/>
    <xf numFmtId="0" fontId="9" fillId="0" borderId="0" xfId="11" applyFont="1" applyFill="1"/>
    <xf numFmtId="0" fontId="0" fillId="0" borderId="0" xfId="11" applyFont="1" applyFill="1"/>
    <xf numFmtId="0" fontId="37" fillId="0" borderId="0" xfId="19" applyFont="1" applyFill="1" applyAlignment="1">
      <alignment horizontal="center"/>
    </xf>
    <xf numFmtId="0" fontId="0" fillId="0" borderId="3" xfId="19" applyFont="1" applyFill="1" applyBorder="1"/>
    <xf numFmtId="0" fontId="0" fillId="8" borderId="0" xfId="5" applyFont="1"/>
    <xf numFmtId="165" fontId="0" fillId="8" borderId="0" xfId="5" applyNumberFormat="1" applyFont="1"/>
    <xf numFmtId="165" fontId="6" fillId="8" borderId="0" xfId="5" applyNumberFormat="1" applyFont="1"/>
    <xf numFmtId="0" fontId="37" fillId="8" borderId="0" xfId="5" applyFont="1"/>
    <xf numFmtId="0" fontId="0" fillId="8" borderId="3" xfId="5" applyFont="1" applyBorder="1"/>
    <xf numFmtId="165" fontId="6" fillId="8" borderId="3" xfId="5" applyNumberFormat="1" applyFont="1" applyBorder="1"/>
    <xf numFmtId="0" fontId="6" fillId="8" borderId="0" xfId="5" applyFont="1"/>
  </cellXfs>
  <cellStyles count="31">
    <cellStyle name="20% - Accent1 2" xfId="22" xr:uid="{DC7BC188-06D9-49F0-980C-3586487D0D7A}"/>
    <cellStyle name="40% - Accent1 2" xfId="17" xr:uid="{6A073492-FE49-49EB-958E-56F21BD6911F}"/>
    <cellStyle name="Auto" xfId="1" xr:uid="{00000000-0005-0000-0000-000000000000}"/>
    <cellStyle name="Bad 2" xfId="2" xr:uid="{00000000-0005-0000-0000-000001000000}"/>
    <cellStyle name="Excel_BuiltIn_40% - Accent1" xfId="3" xr:uid="{00000000-0005-0000-0000-000002000000}"/>
    <cellStyle name="Excel_BuiltIn_Bad" xfId="26" xr:uid="{5EC711BC-B688-4A1B-954F-A8F3EA5DD9F1}"/>
    <cellStyle name="FPT Auto" xfId="4" xr:uid="{ACEEB4B9-F4CC-4490-ABA2-5F6F5DD7CB15}"/>
    <cellStyle name="FPT Generated" xfId="5" xr:uid="{2AEE5133-6620-450D-BB98-8AF8F2E86D2E}"/>
    <cellStyle name="FPT Generated 2" xfId="23" xr:uid="{82D98AF3-DE8B-438B-A022-7BF1AA14D4E1}"/>
    <cellStyle name="FPT Information" xfId="6" xr:uid="{F9BF6690-4868-4FA3-9EA8-EF1CD11F8226}"/>
    <cellStyle name="FPT Modified" xfId="7" xr:uid="{8A31B2ED-4041-406F-8C3B-1DF112325A1A}"/>
    <cellStyle name="Good" xfId="8" builtinId="26"/>
    <cellStyle name="Good 2" xfId="18" xr:uid="{733A102D-08B5-4255-A145-2B4575E43EDA}"/>
    <cellStyle name="Hyperlink" xfId="9" builtinId="8"/>
    <cellStyle name="Info" xfId="10" xr:uid="{00000000-0005-0000-0000-00000A000000}"/>
    <cellStyle name="Neutral 2" xfId="16" xr:uid="{230A17F0-30F8-40FB-8F90-1A3075CC9D00}"/>
    <cellStyle name="Normal" xfId="0" builtinId="0"/>
    <cellStyle name="Normal 2" xfId="11" xr:uid="{00000000-0005-0000-0000-00000C000000}"/>
    <cellStyle name="Normal 2 2" xfId="19" xr:uid="{CD44D97E-781C-4C90-B3EE-31DC1E9504FA}"/>
    <cellStyle name="Normal 3" xfId="12" xr:uid="{00000000-0005-0000-0000-00000D000000}"/>
    <cellStyle name="Normal 3 2" xfId="13" xr:uid="{00000000-0005-0000-0000-00000E000000}"/>
    <cellStyle name="Normal 3 2 2" xfId="25" xr:uid="{C6273767-F5DE-4CE5-AF5B-EC969725515A}"/>
    <cellStyle name="Normal 4" xfId="15" xr:uid="{823D55F8-27FF-4780-AE73-86A42AB25439}"/>
    <cellStyle name="Normal 4 2" xfId="27" xr:uid="{4A66E82D-E50A-454D-805F-BC65C4684A87}"/>
    <cellStyle name="Normal 6 2 2 2 2" xfId="30" xr:uid="{6C1FFDF5-7177-4731-AA9C-E3CE8DEA0669}"/>
    <cellStyle name="Normal 9 2" xfId="24" xr:uid="{D60E2EEE-8F35-4A6D-821A-822E59C0B56C}"/>
    <cellStyle name="Normal 9 2 2" xfId="29" xr:uid="{7AA78FC8-2E29-4A87-A9B1-9A4757884A19}"/>
    <cellStyle name="Normal 9 2 3" xfId="28" xr:uid="{5CE272C3-F5D3-4592-AD1E-E810EBB98DED}"/>
    <cellStyle name="Note 2" xfId="14" xr:uid="{00000000-0005-0000-0000-00000F000000}"/>
    <cellStyle name="Note 2 2" xfId="20" xr:uid="{264A2D08-2FE1-4E4F-98A3-E948B6EEBF0E}"/>
    <cellStyle name="Note 3" xfId="21" xr:uid="{DCAA8EB6-93E3-4FBF-BFA2-FD6ECF887B87}"/>
  </cellStyles>
  <dxfs count="376"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5"/>
  <sheetViews>
    <sheetView workbookViewId="0">
      <selection activeCell="D3" sqref="D3"/>
    </sheetView>
  </sheetViews>
  <sheetFormatPr defaultColWidth="9.140625" defaultRowHeight="12.75" x14ac:dyDescent="0.2"/>
  <cols>
    <col min="1" max="1" width="21.5703125" style="218" customWidth="1"/>
    <col min="3" max="3" width="10.42578125" bestFit="1" customWidth="1"/>
    <col min="4" max="4" width="24.85546875" bestFit="1" customWidth="1"/>
  </cols>
  <sheetData>
    <row r="1" spans="1:4" ht="15.75" x14ac:dyDescent="0.25">
      <c r="B1" s="1" t="s">
        <v>0</v>
      </c>
    </row>
    <row r="2" spans="1:4" x14ac:dyDescent="0.2">
      <c r="A2" s="219" t="s">
        <v>1</v>
      </c>
      <c r="B2" s="2"/>
      <c r="C2" s="3" t="s">
        <v>2</v>
      </c>
      <c r="D2" s="3" t="s">
        <v>3</v>
      </c>
    </row>
    <row r="3" spans="1:4" x14ac:dyDescent="0.2">
      <c r="A3" s="218" t="s">
        <v>4</v>
      </c>
      <c r="B3" s="4"/>
      <c r="C3" t="s">
        <v>5</v>
      </c>
      <c r="D3" t="s">
        <v>929</v>
      </c>
    </row>
    <row r="4" spans="1:4" x14ac:dyDescent="0.2">
      <c r="A4" s="218" t="s">
        <v>4</v>
      </c>
      <c r="C4" t="s">
        <v>0</v>
      </c>
      <c r="D4" t="str">
        <f>D3</f>
        <v>MMRBEM_Features_Track</v>
      </c>
    </row>
    <row r="5" spans="1:4" x14ac:dyDescent="0.2">
      <c r="A5" s="218" t="s">
        <v>4</v>
      </c>
      <c r="C5" t="s">
        <v>31</v>
      </c>
      <c r="D5" s="29">
        <f ca="1">NOW()</f>
        <v>45666.456746064818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2DB0-8845-4F9F-84D4-37D57FE293E2}">
  <dimension ref="A1:V23"/>
  <sheetViews>
    <sheetView workbookViewId="0">
      <selection activeCell="I12" sqref="I12 I13 I14 I15 I16 I17 I18 I19 I20 I21 I22 I23"/>
    </sheetView>
  </sheetViews>
  <sheetFormatPr defaultRowHeight="12.75" x14ac:dyDescent="0.2"/>
  <cols>
    <col min="1" max="1" width="14.140625" style="218" customWidth="1"/>
    <col min="3" max="3" width="39" bestFit="1" customWidth="1"/>
    <col min="4" max="4" width="28.85546875" customWidth="1"/>
    <col min="5" max="5" width="29" bestFit="1" customWidth="1"/>
    <col min="7" max="7" width="10" bestFit="1" customWidth="1"/>
    <col min="8" max="8" width="12.140625" style="116" bestFit="1" customWidth="1"/>
    <col min="18" max="18" width="11.42578125" bestFit="1" customWidth="1"/>
    <col min="19" max="19" width="17.28515625" bestFit="1" customWidth="1"/>
    <col min="20" max="20" width="18.42578125" bestFit="1" customWidth="1"/>
    <col min="21" max="21" width="13.42578125" bestFit="1" customWidth="1"/>
    <col min="22" max="22" width="6" customWidth="1"/>
    <col min="23" max="23" width="11.7109375" bestFit="1" customWidth="1"/>
    <col min="25" max="25" width="12.28515625" bestFit="1" customWidth="1"/>
    <col min="26" max="27" width="16" bestFit="1" customWidth="1"/>
  </cols>
  <sheetData>
    <row r="1" spans="1:22" s="31" customFormat="1" x14ac:dyDescent="0.2">
      <c r="A1" s="111" t="s">
        <v>32</v>
      </c>
      <c r="G1" s="145"/>
      <c r="H1" s="145"/>
      <c r="I1" s="32"/>
      <c r="M1" s="32"/>
      <c r="N1" s="32"/>
      <c r="O1" s="32"/>
      <c r="P1" s="32"/>
      <c r="Q1" s="32"/>
      <c r="T1" s="33"/>
      <c r="V1" s="33"/>
    </row>
    <row r="2" spans="1:22" s="34" customFormat="1" x14ac:dyDescent="0.2">
      <c r="A2" s="112"/>
      <c r="C2" s="86" t="s">
        <v>33</v>
      </c>
      <c r="D2" s="86">
        <v>0.44703999999999999</v>
      </c>
      <c r="E2" s="215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7"/>
      <c r="V2" s="35"/>
    </row>
    <row r="3" spans="1:22" s="34" customFormat="1" x14ac:dyDescent="0.2">
      <c r="A3" s="112"/>
      <c r="C3" s="86" t="s">
        <v>34</v>
      </c>
      <c r="D3" s="36">
        <v>0</v>
      </c>
      <c r="E3" s="34" t="s">
        <v>35</v>
      </c>
      <c r="F3" s="86"/>
      <c r="G3" s="146"/>
      <c r="H3" s="155"/>
      <c r="I3" s="38"/>
      <c r="J3" s="86"/>
      <c r="K3" s="86"/>
      <c r="L3" s="86"/>
      <c r="M3" s="37"/>
      <c r="N3" s="37"/>
      <c r="O3" s="37"/>
      <c r="P3" s="37"/>
      <c r="Q3" s="37"/>
      <c r="R3" s="86"/>
      <c r="S3" s="86"/>
      <c r="T3" s="39"/>
      <c r="U3" s="86"/>
      <c r="V3" s="35"/>
    </row>
    <row r="4" spans="1:22" s="34" customFormat="1" x14ac:dyDescent="0.2">
      <c r="A4" s="112"/>
      <c r="C4" s="86" t="s">
        <v>36</v>
      </c>
      <c r="D4" s="36">
        <v>0</v>
      </c>
      <c r="E4" s="86" t="s">
        <v>26</v>
      </c>
      <c r="F4" s="86"/>
      <c r="G4" s="146"/>
      <c r="H4" s="155"/>
      <c r="I4" s="38"/>
      <c r="J4" s="86"/>
      <c r="K4" s="86"/>
      <c r="L4" s="86"/>
      <c r="M4" s="37"/>
      <c r="N4" s="37"/>
      <c r="O4" s="37"/>
      <c r="P4" s="37"/>
      <c r="Q4" s="37"/>
      <c r="R4" s="86"/>
      <c r="S4" s="86"/>
      <c r="T4" s="39"/>
      <c r="U4" s="86"/>
      <c r="V4" s="35"/>
    </row>
    <row r="5" spans="1:22" s="34" customFormat="1" x14ac:dyDescent="0.2">
      <c r="A5" s="112"/>
      <c r="C5" s="34" t="s">
        <v>37</v>
      </c>
      <c r="D5" s="36">
        <v>1</v>
      </c>
      <c r="E5" s="40" t="s">
        <v>38</v>
      </c>
      <c r="F5" s="40">
        <v>0.27777800000000002</v>
      </c>
      <c r="G5" s="146"/>
      <c r="H5" s="155"/>
      <c r="I5" s="38"/>
      <c r="J5" s="86"/>
      <c r="K5" s="86"/>
      <c r="L5" s="86"/>
      <c r="M5" s="37"/>
      <c r="N5" s="37"/>
      <c r="O5" s="37"/>
      <c r="P5" s="37"/>
      <c r="Q5" s="37"/>
      <c r="R5" s="86"/>
      <c r="S5" s="86"/>
      <c r="T5" s="39"/>
      <c r="U5" s="86"/>
      <c r="V5" s="35"/>
    </row>
    <row r="6" spans="1:22" s="34" customFormat="1" x14ac:dyDescent="0.2">
      <c r="A6" s="112"/>
      <c r="F6" s="86"/>
      <c r="G6" s="146"/>
      <c r="H6" s="155"/>
      <c r="I6" s="38"/>
      <c r="J6" s="86"/>
      <c r="K6" s="86"/>
      <c r="L6" s="86"/>
      <c r="M6" s="37"/>
      <c r="N6" s="37"/>
      <c r="O6" s="37"/>
      <c r="P6" s="37"/>
      <c r="Q6" s="37"/>
      <c r="R6" s="86"/>
      <c r="S6" s="86"/>
      <c r="T6" s="39"/>
      <c r="U6" s="86"/>
      <c r="V6" s="35"/>
    </row>
    <row r="7" spans="1:22" s="31" customFormat="1" x14ac:dyDescent="0.2">
      <c r="A7" s="111" t="s">
        <v>39</v>
      </c>
      <c r="G7" s="145"/>
      <c r="H7" s="145"/>
      <c r="I7" s="32"/>
      <c r="M7" s="32"/>
      <c r="N7" s="32"/>
      <c r="O7" s="32"/>
      <c r="P7" s="32"/>
      <c r="Q7" s="32"/>
      <c r="T7" s="33"/>
      <c r="V7" s="33"/>
    </row>
    <row r="8" spans="1:22" s="14" customFormat="1" x14ac:dyDescent="0.2">
      <c r="A8" s="223" t="s">
        <v>1</v>
      </c>
      <c r="B8" s="7" t="s">
        <v>18</v>
      </c>
      <c r="C8" s="7" t="s">
        <v>2</v>
      </c>
      <c r="D8" s="15"/>
      <c r="E8" s="41"/>
      <c r="F8" s="42"/>
      <c r="G8" s="147"/>
      <c r="H8" s="156"/>
      <c r="I8" s="44"/>
      <c r="J8" s="11"/>
      <c r="K8" s="11"/>
      <c r="M8" s="45"/>
      <c r="N8" s="45"/>
      <c r="O8" s="46"/>
      <c r="P8" s="46"/>
      <c r="Q8" s="46"/>
      <c r="S8" s="47"/>
      <c r="T8" s="48"/>
      <c r="V8" s="48"/>
    </row>
    <row r="9" spans="1:22" s="14" customFormat="1" x14ac:dyDescent="0.2">
      <c r="A9" s="225" t="s">
        <v>19</v>
      </c>
      <c r="B9" s="81">
        <v>73016</v>
      </c>
      <c r="C9" s="14" t="s">
        <v>1036</v>
      </c>
      <c r="D9" s="15"/>
      <c r="E9" s="49"/>
      <c r="F9" s="42"/>
      <c r="G9" s="147"/>
      <c r="H9" s="156"/>
      <c r="I9" s="44"/>
      <c r="J9" s="11"/>
      <c r="K9" s="11"/>
      <c r="M9" s="45"/>
      <c r="N9" s="45"/>
      <c r="O9" s="46"/>
      <c r="P9" s="46"/>
      <c r="Q9" s="46"/>
      <c r="S9" s="47"/>
      <c r="T9" s="48"/>
      <c r="V9" s="48"/>
    </row>
    <row r="10" spans="1:22" s="14" customFormat="1" x14ac:dyDescent="0.2">
      <c r="A10" s="225"/>
      <c r="D10" s="15"/>
      <c r="F10" s="50"/>
      <c r="G10" s="147"/>
      <c r="H10" s="156"/>
      <c r="I10" s="44"/>
      <c r="J10" s="11"/>
      <c r="K10" s="11"/>
      <c r="M10" s="45"/>
      <c r="N10" s="45"/>
      <c r="O10" s="46"/>
      <c r="P10" s="46"/>
      <c r="Q10" s="46"/>
      <c r="S10" s="47"/>
      <c r="T10" s="48"/>
      <c r="V10" s="48"/>
    </row>
    <row r="11" spans="1:22" s="58" customFormat="1" x14ac:dyDescent="0.2">
      <c r="A11" s="212" t="s">
        <v>1</v>
      </c>
      <c r="B11" s="51" t="s">
        <v>18</v>
      </c>
      <c r="C11" s="51" t="s">
        <v>2</v>
      </c>
      <c r="D11" s="51" t="s">
        <v>14</v>
      </c>
      <c r="E11" s="51" t="s">
        <v>9</v>
      </c>
      <c r="F11" s="52" t="s">
        <v>40</v>
      </c>
      <c r="G11" s="148" t="s">
        <v>13</v>
      </c>
      <c r="H11" s="157" t="s">
        <v>10</v>
      </c>
      <c r="I11" s="54" t="s">
        <v>7</v>
      </c>
      <c r="J11" s="55" t="s">
        <v>6</v>
      </c>
      <c r="K11" s="51" t="s">
        <v>15</v>
      </c>
      <c r="L11" s="51" t="s">
        <v>20</v>
      </c>
      <c r="M11" s="56" t="s">
        <v>21</v>
      </c>
      <c r="N11" s="56" t="s">
        <v>22</v>
      </c>
      <c r="O11" s="56" t="s">
        <v>29</v>
      </c>
      <c r="P11" s="57" t="s">
        <v>23</v>
      </c>
      <c r="Q11" s="57" t="s">
        <v>24</v>
      </c>
      <c r="R11" s="51" t="s">
        <v>25</v>
      </c>
      <c r="T11" s="59"/>
      <c r="V11" s="59"/>
    </row>
    <row r="12" spans="1:22" s="140" customFormat="1" x14ac:dyDescent="0.2">
      <c r="A12" s="224" t="s">
        <v>129</v>
      </c>
      <c r="B12" s="81">
        <v>73004</v>
      </c>
      <c r="C12" s="140" t="s">
        <v>931</v>
      </c>
      <c r="D12" s="140" t="s">
        <v>928</v>
      </c>
      <c r="E12" s="140" t="s">
        <v>188</v>
      </c>
      <c r="G12" s="144">
        <v>-480.9</v>
      </c>
      <c r="H12" s="161">
        <f>G12+F12</f>
        <v>-480.9</v>
      </c>
      <c r="I12" s="232">
        <f>IF("generated"=1, "Path=MMRBEM_7_DOWN, Scaled Offset=-480.89999999999997726263245567679405", 44.3619365159214)</f>
        <v>44.3619365159214</v>
      </c>
      <c r="J12" s="141"/>
      <c r="L12" s="140">
        <v>1</v>
      </c>
      <c r="M12" s="142"/>
      <c r="N12" s="142"/>
      <c r="O12" s="142"/>
      <c r="P12" s="142"/>
      <c r="Q12" s="142"/>
      <c r="R12" s="140" t="s">
        <v>1085</v>
      </c>
      <c r="T12" s="143"/>
      <c r="V12" s="143"/>
    </row>
    <row r="13" spans="1:22" s="140" customFormat="1" x14ac:dyDescent="0.2">
      <c r="A13" s="224" t="s">
        <v>129</v>
      </c>
      <c r="B13" s="81">
        <v>73005</v>
      </c>
      <c r="C13" s="140" t="s">
        <v>932</v>
      </c>
      <c r="D13" s="140" t="s">
        <v>928</v>
      </c>
      <c r="E13" s="140" t="s">
        <v>188</v>
      </c>
      <c r="G13" s="144">
        <v>-435.06</v>
      </c>
      <c r="H13" s="161">
        <f t="shared" ref="H13:H23" si="0">G13+F13</f>
        <v>-435.06</v>
      </c>
      <c r="I13" s="232">
        <f>IF("generated"=1, "Path=MMRBEM_7_DOWN, Scaled Offset=-435.06000000000000227373675443232059", 89.5519625134734)</f>
        <v>89.551962513473399</v>
      </c>
      <c r="J13" s="141"/>
      <c r="L13" s="140">
        <v>1</v>
      </c>
      <c r="M13" s="142"/>
      <c r="N13" s="142"/>
      <c r="O13" s="142"/>
      <c r="P13" s="142"/>
      <c r="Q13" s="142"/>
      <c r="R13" s="140" t="s">
        <v>1085</v>
      </c>
      <c r="T13" s="143"/>
      <c r="V13" s="143"/>
    </row>
    <row r="14" spans="1:22" s="140" customFormat="1" x14ac:dyDescent="0.2">
      <c r="A14" s="224" t="s">
        <v>129</v>
      </c>
      <c r="B14" s="81">
        <v>73006</v>
      </c>
      <c r="C14" s="140" t="s">
        <v>933</v>
      </c>
      <c r="D14" s="140" t="s">
        <v>928</v>
      </c>
      <c r="E14" s="140" t="s">
        <v>187</v>
      </c>
      <c r="G14" s="144">
        <v>-480.9</v>
      </c>
      <c r="H14" s="161">
        <f t="shared" si="0"/>
        <v>-480.9</v>
      </c>
      <c r="I14" s="232">
        <f>IF("generated"=1, "Path=MMRBEM_7_UP, Scaled Offset=-480.89999999999997726263245567679405", 44.3601761243883)</f>
        <v>44.360176124388303</v>
      </c>
      <c r="J14" s="141"/>
      <c r="L14" s="140">
        <v>1</v>
      </c>
      <c r="M14" s="142"/>
      <c r="N14" s="142"/>
      <c r="O14" s="142"/>
      <c r="P14" s="142"/>
      <c r="Q14" s="142"/>
      <c r="R14" s="140" t="s">
        <v>1085</v>
      </c>
      <c r="T14" s="143"/>
      <c r="V14" s="143"/>
    </row>
    <row r="15" spans="1:22" s="140" customFormat="1" x14ac:dyDescent="0.2">
      <c r="A15" s="224" t="s">
        <v>129</v>
      </c>
      <c r="B15" s="81">
        <v>73007</v>
      </c>
      <c r="C15" s="140" t="s">
        <v>934</v>
      </c>
      <c r="D15" s="140" t="s">
        <v>928</v>
      </c>
      <c r="E15" s="140" t="s">
        <v>187</v>
      </c>
      <c r="G15" s="144">
        <v>-435.06</v>
      </c>
      <c r="H15" s="161">
        <f t="shared" si="0"/>
        <v>-435.06</v>
      </c>
      <c r="I15" s="232">
        <f>IF("generated"=1, "Path=MMRBEM_7_UP, Scaled Offset=-435.06000000000000227373675443232059", 89.5484088697653)</f>
        <v>89.548408869765296</v>
      </c>
      <c r="J15" s="141"/>
      <c r="L15" s="140">
        <v>1</v>
      </c>
      <c r="M15" s="142"/>
      <c r="N15" s="142"/>
      <c r="O15" s="142"/>
      <c r="P15" s="142"/>
      <c r="Q15" s="142"/>
      <c r="R15" s="140" t="s">
        <v>1085</v>
      </c>
      <c r="T15" s="143"/>
      <c r="V15" s="143"/>
    </row>
    <row r="16" spans="1:22" x14ac:dyDescent="0.2">
      <c r="A16" s="224" t="s">
        <v>129</v>
      </c>
      <c r="B16">
        <v>73008</v>
      </c>
      <c r="C16" t="s">
        <v>967</v>
      </c>
      <c r="D16" s="140" t="s">
        <v>928</v>
      </c>
      <c r="E16" s="140" t="s">
        <v>187</v>
      </c>
      <c r="G16" s="170">
        <v>5659.38</v>
      </c>
      <c r="H16" s="192">
        <f t="shared" si="0"/>
        <v>5659.38</v>
      </c>
      <c r="I16" s="230">
        <f>IF("generated"=1, "Path=MMRBEM_7_UP, Scaled Offset=5659.3800000000001091393642127513885", 6086.08025120254)</f>
        <v>6086.0802512025402</v>
      </c>
      <c r="L16" s="163">
        <v>1</v>
      </c>
      <c r="R16" t="s">
        <v>1090</v>
      </c>
    </row>
    <row r="17" spans="1:18" x14ac:dyDescent="0.2">
      <c r="A17" s="224" t="s">
        <v>129</v>
      </c>
      <c r="B17">
        <v>73009</v>
      </c>
      <c r="C17" s="140" t="s">
        <v>968</v>
      </c>
      <c r="D17" s="140" t="s">
        <v>928</v>
      </c>
      <c r="E17" s="140" t="s">
        <v>187</v>
      </c>
      <c r="G17">
        <v>5705.22</v>
      </c>
      <c r="H17" s="192">
        <f t="shared" si="0"/>
        <v>5705.22</v>
      </c>
      <c r="I17" s="230">
        <f>IF("generated"=1, "Path=MMRBEM_7_UP, Scaled Offset=5705.2200000000002546585164964199066", 6131.1890013062)</f>
        <v>6131.1890013062002</v>
      </c>
      <c r="L17" s="163">
        <v>1</v>
      </c>
      <c r="R17" t="s">
        <v>1090</v>
      </c>
    </row>
    <row r="18" spans="1:18" x14ac:dyDescent="0.2">
      <c r="A18" s="224" t="s">
        <v>129</v>
      </c>
      <c r="B18">
        <v>73010</v>
      </c>
      <c r="C18" t="s">
        <v>977</v>
      </c>
      <c r="D18" s="140" t="s">
        <v>928</v>
      </c>
      <c r="E18" s="140" t="s">
        <v>187</v>
      </c>
      <c r="G18">
        <v>6533.12</v>
      </c>
      <c r="H18" s="192">
        <f t="shared" si="0"/>
        <v>6533.12</v>
      </c>
      <c r="I18" s="230">
        <f>IF("generated"=1, "Path=MMRBEM_7_UP, Scaled Offset=6533.1199999999998908606357872486115", 6947.28893065557)</f>
        <v>6947.2889306555699</v>
      </c>
      <c r="R18" t="s">
        <v>1090</v>
      </c>
    </row>
    <row r="19" spans="1:18" x14ac:dyDescent="0.2">
      <c r="A19" s="224" t="s">
        <v>129</v>
      </c>
      <c r="B19">
        <v>73011</v>
      </c>
      <c r="C19" t="s">
        <v>978</v>
      </c>
      <c r="D19" s="140" t="s">
        <v>928</v>
      </c>
      <c r="E19" s="140" t="s">
        <v>187</v>
      </c>
      <c r="G19">
        <v>6578.96</v>
      </c>
      <c r="H19" s="192">
        <f t="shared" si="0"/>
        <v>6578.96</v>
      </c>
      <c r="I19" s="230">
        <f>IF("generated"=1, "Path=MMRBEM_7_UP, Scaled Offset=6578.9600000000000363797880709171295", 6993.0116184669)</f>
        <v>6993.0116184668996</v>
      </c>
      <c r="R19" t="s">
        <v>1090</v>
      </c>
    </row>
    <row r="20" spans="1:18" x14ac:dyDescent="0.2">
      <c r="A20" s="224" t="s">
        <v>129</v>
      </c>
      <c r="B20">
        <v>73012</v>
      </c>
      <c r="C20" t="s">
        <v>1086</v>
      </c>
      <c r="D20" s="140" t="s">
        <v>928</v>
      </c>
      <c r="E20" s="140" t="s">
        <v>187</v>
      </c>
      <c r="G20">
        <v>15203.44</v>
      </c>
      <c r="H20" s="192">
        <f t="shared" si="0"/>
        <v>15203.44</v>
      </c>
      <c r="I20" s="230">
        <f>IF("generated"=1, "Path=MMRBEM_7_UP, Scaled Offset=15203.440000000000509317032992839813", 15463.1742238189)</f>
        <v>15463.1742238189</v>
      </c>
      <c r="L20" s="163">
        <v>1</v>
      </c>
      <c r="R20" t="s">
        <v>1090</v>
      </c>
    </row>
    <row r="21" spans="1:18" x14ac:dyDescent="0.2">
      <c r="A21" s="224" t="s">
        <v>129</v>
      </c>
      <c r="B21">
        <v>73013</v>
      </c>
      <c r="C21" t="s">
        <v>1087</v>
      </c>
      <c r="D21" s="140" t="s">
        <v>928</v>
      </c>
      <c r="E21" s="140" t="s">
        <v>187</v>
      </c>
      <c r="G21">
        <v>15249.28</v>
      </c>
      <c r="H21" s="192">
        <f t="shared" si="0"/>
        <v>15249.28</v>
      </c>
      <c r="I21" s="230">
        <f>IF("generated"=1, "Path=MMRBEM_7_UP, Scaled Offset=15249.280000000000654836185276508331", 15504.3342701186)</f>
        <v>15504.334270118599</v>
      </c>
      <c r="L21" s="163">
        <v>1</v>
      </c>
      <c r="R21" t="s">
        <v>1090</v>
      </c>
    </row>
    <row r="22" spans="1:18" x14ac:dyDescent="0.2">
      <c r="A22" s="224" t="s">
        <v>129</v>
      </c>
      <c r="B22">
        <v>73014</v>
      </c>
      <c r="C22" t="s">
        <v>1088</v>
      </c>
      <c r="D22" s="140" t="s">
        <v>928</v>
      </c>
      <c r="E22" s="140" t="s">
        <v>187</v>
      </c>
      <c r="G22">
        <v>15260.01</v>
      </c>
      <c r="H22" s="192">
        <f t="shared" si="0"/>
        <v>15260.01</v>
      </c>
      <c r="I22" s="230">
        <f>IF("generated"=1, "Path=MMRBEM_7_UP, Scaled Offset=15260.010000000000218278728425502777", 15513.968809752)</f>
        <v>15513.968809751999</v>
      </c>
      <c r="R22" t="s">
        <v>1090</v>
      </c>
    </row>
    <row r="23" spans="1:18" x14ac:dyDescent="0.2">
      <c r="A23" s="224" t="s">
        <v>129</v>
      </c>
      <c r="B23">
        <v>73015</v>
      </c>
      <c r="C23" t="s">
        <v>1089</v>
      </c>
      <c r="D23" s="140" t="s">
        <v>928</v>
      </c>
      <c r="E23" s="140" t="s">
        <v>187</v>
      </c>
      <c r="G23">
        <v>15305.85</v>
      </c>
      <c r="H23" s="192">
        <f t="shared" si="0"/>
        <v>15305.85</v>
      </c>
      <c r="I23" s="230">
        <f>IF("generated"=1, "Path=MMRBEM_7_UP, Scaled Offset=15305.850000000000363797880709171295", 15555.1288560516)</f>
        <v>15555.1288560516</v>
      </c>
      <c r="R23" t="s">
        <v>1090</v>
      </c>
    </row>
  </sheetData>
  <mergeCells count="1">
    <mergeCell ref="E2:U2"/>
  </mergeCells>
  <conditionalFormatting sqref="N11:O11">
    <cfRule type="cellIs" dxfId="16" priority="1" stopIfTrue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1C69-0C94-4476-97FB-B18BB276B385}">
  <dimension ref="A1:AB415"/>
  <sheetViews>
    <sheetView topLeftCell="A6" workbookViewId="0">
      <selection activeCell="I212" sqref="I212:I415 I7:I210"/>
    </sheetView>
  </sheetViews>
  <sheetFormatPr defaultRowHeight="12.75" x14ac:dyDescent="0.2"/>
  <cols>
    <col min="1" max="1" width="9.5703125" style="218" bestFit="1" customWidth="1"/>
    <col min="2" max="2" width="6" bestFit="1" customWidth="1"/>
    <col min="3" max="3" width="25.140625" bestFit="1" customWidth="1"/>
    <col min="4" max="4" width="31.28515625" bestFit="1" customWidth="1"/>
    <col min="5" max="5" width="18.7109375" bestFit="1" customWidth="1"/>
    <col min="6" max="6" width="14.85546875" bestFit="1" customWidth="1"/>
    <col min="7" max="7" width="9.7109375" bestFit="1" customWidth="1"/>
    <col min="8" max="8" width="13.140625" bestFit="1" customWidth="1"/>
    <col min="9" max="9" width="12" bestFit="1" customWidth="1"/>
    <col min="10" max="10" width="11.140625" bestFit="1" customWidth="1"/>
    <col min="11" max="11" width="10.7109375" bestFit="1" customWidth="1"/>
    <col min="12" max="12" width="8.28515625" bestFit="1" customWidth="1"/>
    <col min="13" max="13" width="4.5703125" bestFit="1" customWidth="1"/>
    <col min="14" max="14" width="3.28515625" customWidth="1"/>
    <col min="27" max="27" width="14.140625" bestFit="1" customWidth="1"/>
  </cols>
  <sheetData>
    <row r="1" spans="1:28" ht="14.25" x14ac:dyDescent="0.2">
      <c r="A1" s="103"/>
      <c r="B1" s="22"/>
      <c r="C1" s="80"/>
      <c r="D1" s="24" t="s">
        <v>48</v>
      </c>
      <c r="E1" s="24">
        <v>1</v>
      </c>
      <c r="F1" s="22"/>
      <c r="G1" s="136"/>
      <c r="H1" s="22"/>
      <c r="I1" s="22"/>
      <c r="J1" s="22"/>
      <c r="K1" s="22"/>
      <c r="L1" s="22"/>
      <c r="M1" s="23"/>
      <c r="N1" s="22"/>
      <c r="O1" s="22"/>
      <c r="P1" s="22"/>
      <c r="Q1" s="22"/>
      <c r="R1" s="82"/>
      <c r="S1" s="22"/>
      <c r="T1" s="22"/>
      <c r="U1" s="22"/>
      <c r="V1" s="22"/>
      <c r="W1" s="22"/>
      <c r="X1" s="22"/>
      <c r="Y1" s="22"/>
      <c r="Z1" s="22"/>
    </row>
    <row r="2" spans="1:28" x14ac:dyDescent="0.2">
      <c r="C2" s="80"/>
      <c r="G2" s="116"/>
      <c r="M2" s="6"/>
      <c r="R2" s="83"/>
    </row>
    <row r="3" spans="1:28" x14ac:dyDescent="0.2">
      <c r="A3" s="226" t="s">
        <v>1</v>
      </c>
      <c r="B3" s="7" t="s">
        <v>18</v>
      </c>
      <c r="C3" s="7" t="s">
        <v>2</v>
      </c>
      <c r="D3" s="15"/>
      <c r="E3" s="30"/>
      <c r="F3" s="8"/>
      <c r="G3" s="137"/>
      <c r="H3" s="9"/>
      <c r="I3" s="10"/>
      <c r="J3" s="11"/>
      <c r="K3" s="11"/>
      <c r="L3" s="12"/>
      <c r="M3" s="25"/>
      <c r="N3" s="13"/>
      <c r="O3" s="12"/>
      <c r="P3" s="12"/>
      <c r="Q3" s="12"/>
      <c r="R3" s="84"/>
      <c r="S3" s="14"/>
      <c r="T3" s="14"/>
      <c r="U3" s="14"/>
      <c r="V3" s="14"/>
      <c r="W3" s="14"/>
      <c r="X3" s="14"/>
      <c r="Y3" s="14"/>
      <c r="Z3" s="14"/>
    </row>
    <row r="4" spans="1:28" x14ac:dyDescent="0.2">
      <c r="A4" s="227" t="s">
        <v>19</v>
      </c>
      <c r="B4" s="171">
        <v>74542</v>
      </c>
      <c r="C4" t="s">
        <v>1037</v>
      </c>
      <c r="D4" s="15"/>
      <c r="F4" s="8"/>
      <c r="G4" s="137"/>
      <c r="H4" s="9"/>
      <c r="I4" s="10"/>
      <c r="J4" s="11"/>
      <c r="K4" s="11"/>
      <c r="L4" s="12"/>
      <c r="M4" s="25"/>
      <c r="N4" s="13"/>
      <c r="O4" s="12"/>
      <c r="P4" s="12"/>
      <c r="Q4" s="12"/>
      <c r="R4" s="84"/>
      <c r="S4" s="14"/>
      <c r="T4" s="14"/>
      <c r="U4" s="14"/>
      <c r="V4" s="14"/>
      <c r="W4" s="14"/>
      <c r="X4" s="14"/>
      <c r="Y4" s="14"/>
      <c r="Z4" s="14"/>
    </row>
    <row r="5" spans="1:28" x14ac:dyDescent="0.2">
      <c r="A5" s="227"/>
      <c r="C5" s="80"/>
      <c r="G5" s="116"/>
      <c r="M5" s="6"/>
      <c r="R5" s="83"/>
    </row>
    <row r="6" spans="1:28" x14ac:dyDescent="0.2">
      <c r="A6" s="213" t="s">
        <v>1</v>
      </c>
      <c r="B6" s="129" t="s">
        <v>18</v>
      </c>
      <c r="C6" s="129" t="s">
        <v>2</v>
      </c>
      <c r="D6" s="129" t="s">
        <v>14</v>
      </c>
      <c r="E6" s="129" t="s">
        <v>9</v>
      </c>
      <c r="F6" s="130" t="s">
        <v>30</v>
      </c>
      <c r="G6" s="138" t="s">
        <v>13</v>
      </c>
      <c r="H6" s="131" t="s">
        <v>10</v>
      </c>
      <c r="I6" s="132" t="s">
        <v>7</v>
      </c>
      <c r="J6" s="133" t="s">
        <v>15</v>
      </c>
      <c r="K6" s="133" t="s">
        <v>28</v>
      </c>
      <c r="L6" s="129" t="s">
        <v>20</v>
      </c>
      <c r="M6" s="134" t="s">
        <v>21</v>
      </c>
      <c r="N6" s="119" t="s">
        <v>22</v>
      </c>
      <c r="O6" s="129" t="s">
        <v>23</v>
      </c>
      <c r="P6" s="129" t="s">
        <v>24</v>
      </c>
      <c r="Q6" s="129" t="s">
        <v>25</v>
      </c>
      <c r="R6" s="129" t="s">
        <v>132</v>
      </c>
      <c r="S6" s="129" t="s">
        <v>143</v>
      </c>
      <c r="T6" s="129" t="s">
        <v>49</v>
      </c>
      <c r="U6" s="129" t="s">
        <v>50</v>
      </c>
      <c r="V6" s="129" t="s">
        <v>70</v>
      </c>
      <c r="W6" s="129" t="s">
        <v>71</v>
      </c>
      <c r="X6" s="129" t="s">
        <v>72</v>
      </c>
      <c r="Y6" s="129" t="s">
        <v>73</v>
      </c>
      <c r="Z6" s="129" t="s">
        <v>66</v>
      </c>
    </row>
    <row r="7" spans="1:28" ht="15" x14ac:dyDescent="0.25">
      <c r="A7" s="224" t="s">
        <v>129</v>
      </c>
      <c r="B7" s="83">
        <v>74000</v>
      </c>
      <c r="C7" s="176" t="str">
        <f>"PSR_"&amp;G7&amp;IF(L7=0,"_DN_","_UP_")&amp;Q7</f>
        <v>PSR_-525.9_DN_80 km/h</v>
      </c>
      <c r="D7" s="177" t="s">
        <v>1045</v>
      </c>
      <c r="E7" s="177" t="s">
        <v>188</v>
      </c>
      <c r="F7" s="178"/>
      <c r="G7" s="179">
        <v>-525.9</v>
      </c>
      <c r="H7" s="179">
        <f t="shared" ref="H7:H14" si="0">G7+F7</f>
        <v>-525.9</v>
      </c>
      <c r="I7" s="230">
        <f>IF("generated"=1, "Path=MMRBEM_7_DOWN, Scaled Offset=-525.89999999999997726263245567679405", 0)</f>
        <v>0</v>
      </c>
      <c r="J7" s="178"/>
      <c r="K7" s="178"/>
      <c r="L7" s="178"/>
      <c r="M7" s="178">
        <v>-2.5</v>
      </c>
      <c r="N7" s="178"/>
      <c r="O7" s="178"/>
      <c r="P7" s="178"/>
      <c r="Q7" s="180" t="s">
        <v>1048</v>
      </c>
      <c r="R7" s="181"/>
      <c r="S7" s="178"/>
      <c r="T7" s="178"/>
      <c r="AA7" s="21" t="s">
        <v>917</v>
      </c>
      <c r="AB7" s="21">
        <v>1</v>
      </c>
    </row>
    <row r="8" spans="1:28" ht="15" x14ac:dyDescent="0.25">
      <c r="A8" s="224" t="s">
        <v>129</v>
      </c>
      <c r="B8">
        <v>74001</v>
      </c>
      <c r="C8" s="176" t="str">
        <f t="shared" ref="C8:C14" si="1">"PSR_"&amp;G8&amp;IF(L8=0,"_DN_","_UP_")&amp;Q8</f>
        <v>PSR_-525.9_UP_80 km/h</v>
      </c>
      <c r="D8" s="177" t="s">
        <v>1045</v>
      </c>
      <c r="E8" s="177" t="str">
        <f>E7</f>
        <v>MMRBEM_7_DOWN</v>
      </c>
      <c r="F8" s="178"/>
      <c r="G8" s="179">
        <f>G7</f>
        <v>-525.9</v>
      </c>
      <c r="H8" s="179">
        <f t="shared" si="0"/>
        <v>-525.9</v>
      </c>
      <c r="I8" s="230">
        <f>IF("generated"=1, "Path=MMRBEM_7_DOWN, Scaled Offset=-525.89999999999997726263245567679405", 0)</f>
        <v>0</v>
      </c>
      <c r="J8" s="178"/>
      <c r="K8" s="178"/>
      <c r="L8" s="178">
        <v>1</v>
      </c>
      <c r="M8" s="178">
        <v>2.5</v>
      </c>
      <c r="N8" s="178"/>
      <c r="O8" s="178"/>
      <c r="P8" s="178"/>
      <c r="Q8" s="178" t="s">
        <v>1048</v>
      </c>
      <c r="R8" s="181"/>
      <c r="S8" s="178"/>
      <c r="T8" s="178"/>
      <c r="AA8" s="21" t="s">
        <v>917</v>
      </c>
      <c r="AB8" s="21">
        <v>2</v>
      </c>
    </row>
    <row r="9" spans="1:28" ht="15" x14ac:dyDescent="0.25">
      <c r="A9" s="224" t="s">
        <v>129</v>
      </c>
      <c r="B9" s="83">
        <v>74002</v>
      </c>
      <c r="C9" s="182" t="str">
        <f t="shared" si="1"/>
        <v>PSR_-123.22_DN_50 km/h</v>
      </c>
      <c r="D9" s="183" t="s">
        <v>1045</v>
      </c>
      <c r="E9" s="184" t="s">
        <v>188</v>
      </c>
      <c r="F9" s="184"/>
      <c r="G9" s="179">
        <v>-123.22</v>
      </c>
      <c r="H9" s="185">
        <f t="shared" si="0"/>
        <v>-123.22</v>
      </c>
      <c r="I9" s="230">
        <f>IF("generated"=1, "Path=MMRBEM_7_DOWN, Scaled Offset=-123.2199999999999988631316227838397", 395.809382309486)</f>
        <v>395.80938230948601</v>
      </c>
      <c r="J9" s="184"/>
      <c r="K9" s="184"/>
      <c r="L9" s="184"/>
      <c r="M9" s="184">
        <v>-2.2999999999999998</v>
      </c>
      <c r="N9" s="184"/>
      <c r="O9" s="184"/>
      <c r="P9" s="184"/>
      <c r="Q9" s="180" t="s">
        <v>1046</v>
      </c>
      <c r="R9" s="184"/>
      <c r="S9" s="184"/>
      <c r="T9" s="184"/>
      <c r="AA9" s="21" t="s">
        <v>917</v>
      </c>
      <c r="AB9" s="21">
        <v>3</v>
      </c>
    </row>
    <row r="10" spans="1:28" ht="15" x14ac:dyDescent="0.25">
      <c r="A10" s="224" t="s">
        <v>129</v>
      </c>
      <c r="B10">
        <v>74003</v>
      </c>
      <c r="C10" s="182" t="str">
        <f t="shared" si="1"/>
        <v>PSR_-123.22_UP_80 km/h</v>
      </c>
      <c r="D10" s="183" t="s">
        <v>1045</v>
      </c>
      <c r="E10" s="183" t="str">
        <f>E9</f>
        <v>MMRBEM_7_DOWN</v>
      </c>
      <c r="F10" s="184"/>
      <c r="G10" s="179">
        <f>G9</f>
        <v>-123.22</v>
      </c>
      <c r="H10" s="185">
        <f t="shared" si="0"/>
        <v>-123.22</v>
      </c>
      <c r="I10" s="230">
        <f>IF("generated"=1, "Path=MMRBEM_7_DOWN, Scaled Offset=-123.2199999999999988631316227838397", 395.809382309486)</f>
        <v>395.80938230948601</v>
      </c>
      <c r="J10" s="184"/>
      <c r="K10" s="184"/>
      <c r="L10" s="184">
        <v>1</v>
      </c>
      <c r="M10" s="184">
        <v>2.2999999999999998</v>
      </c>
      <c r="N10" s="184"/>
      <c r="O10" s="184"/>
      <c r="P10" s="184"/>
      <c r="Q10" s="184" t="str">
        <f>Q7</f>
        <v>80 km/h</v>
      </c>
      <c r="R10" s="184"/>
      <c r="S10" s="184"/>
      <c r="T10" s="184"/>
      <c r="AA10" s="21" t="s">
        <v>917</v>
      </c>
      <c r="AB10" s="21">
        <v>4</v>
      </c>
    </row>
    <row r="11" spans="1:28" ht="15" x14ac:dyDescent="0.25">
      <c r="A11" s="224" t="s">
        <v>129</v>
      </c>
      <c r="B11" s="83">
        <v>74004</v>
      </c>
      <c r="C11" s="176" t="str">
        <f t="shared" si="1"/>
        <v>PSR_-22.81_DN_80 km/h</v>
      </c>
      <c r="D11" s="177" t="s">
        <v>1045</v>
      </c>
      <c r="E11" s="177" t="s">
        <v>188</v>
      </c>
      <c r="F11" s="178"/>
      <c r="G11" s="179">
        <v>-22.81</v>
      </c>
      <c r="H11" s="179">
        <f t="shared" si="0"/>
        <v>-22.81</v>
      </c>
      <c r="I11" s="230">
        <f>IF("generated"=1, "Path=MMRBEM_7_DOWN, Scaled Offset=-22.809999999999998721023075631819665", 494.820608417226)</f>
        <v>494.82060841722603</v>
      </c>
      <c r="J11" s="178"/>
      <c r="K11" s="178"/>
      <c r="L11" s="178"/>
      <c r="M11" s="178">
        <v>-2.5</v>
      </c>
      <c r="N11" s="178"/>
      <c r="O11" s="178"/>
      <c r="P11" s="178"/>
      <c r="Q11" s="180" t="s">
        <v>1048</v>
      </c>
      <c r="R11" s="181"/>
      <c r="S11" s="178"/>
      <c r="T11" s="178"/>
      <c r="AA11" s="21" t="s">
        <v>917</v>
      </c>
      <c r="AB11" s="21">
        <v>5</v>
      </c>
    </row>
    <row r="12" spans="1:28" ht="15" x14ac:dyDescent="0.25">
      <c r="A12" s="224" t="s">
        <v>129</v>
      </c>
      <c r="B12">
        <v>74005</v>
      </c>
      <c r="C12" s="176" t="str">
        <f t="shared" si="1"/>
        <v>PSR_-22.81_UP_50 km/h</v>
      </c>
      <c r="D12" s="177" t="s">
        <v>1045</v>
      </c>
      <c r="E12" s="177" t="str">
        <f>E11</f>
        <v>MMRBEM_7_DOWN</v>
      </c>
      <c r="F12" s="178"/>
      <c r="G12" s="179">
        <f>G11</f>
        <v>-22.81</v>
      </c>
      <c r="H12" s="179">
        <f t="shared" si="0"/>
        <v>-22.81</v>
      </c>
      <c r="I12" s="230">
        <f>IF("generated"=1, "Path=MMRBEM_7_DOWN, Scaled Offset=-22.809999999999998721023075631819665", 494.820608417226)</f>
        <v>494.82060841722603</v>
      </c>
      <c r="J12" s="178"/>
      <c r="K12" s="178"/>
      <c r="L12" s="178">
        <v>1</v>
      </c>
      <c r="M12" s="178">
        <v>2.5</v>
      </c>
      <c r="N12" s="178"/>
      <c r="O12" s="178"/>
      <c r="P12" s="178"/>
      <c r="Q12" s="178" t="str">
        <f>Q9</f>
        <v>50 km/h</v>
      </c>
      <c r="R12" s="181"/>
      <c r="S12" s="178"/>
      <c r="T12" s="178"/>
      <c r="AA12" s="21" t="s">
        <v>917</v>
      </c>
      <c r="AB12" s="21">
        <v>6</v>
      </c>
    </row>
    <row r="13" spans="1:28" ht="15" x14ac:dyDescent="0.25">
      <c r="A13" s="224" t="s">
        <v>129</v>
      </c>
      <c r="B13" s="83">
        <v>74006</v>
      </c>
      <c r="C13" s="182" t="str">
        <f t="shared" si="1"/>
        <v>PSR_291.3_DN_80 km/h</v>
      </c>
      <c r="D13" s="183" t="s">
        <v>1045</v>
      </c>
      <c r="E13" s="184" t="s">
        <v>188</v>
      </c>
      <c r="F13" s="184"/>
      <c r="G13" s="179">
        <v>291.3</v>
      </c>
      <c r="H13" s="185">
        <f t="shared" si="0"/>
        <v>291.3</v>
      </c>
      <c r="I13" s="230">
        <f>IF("generated"=1, "Path=MMRBEM_7_DOWN, Scaled Offset=291.30000000000001136868377216160297", 804.302042106314)</f>
        <v>804.30204210631405</v>
      </c>
      <c r="J13" s="184"/>
      <c r="K13" s="184"/>
      <c r="L13" s="184"/>
      <c r="M13" s="184">
        <v>-2.2999999999999998</v>
      </c>
      <c r="N13" s="184"/>
      <c r="O13" s="184"/>
      <c r="P13" s="184"/>
      <c r="Q13" s="180" t="s">
        <v>1048</v>
      </c>
      <c r="R13" s="184"/>
      <c r="S13" s="184"/>
      <c r="T13" s="184"/>
      <c r="AA13" s="21" t="s">
        <v>917</v>
      </c>
      <c r="AB13" s="21">
        <v>7</v>
      </c>
    </row>
    <row r="14" spans="1:28" ht="15" x14ac:dyDescent="0.25">
      <c r="A14" s="224" t="s">
        <v>129</v>
      </c>
      <c r="B14">
        <v>74007</v>
      </c>
      <c r="C14" s="182" t="str">
        <f t="shared" si="1"/>
        <v>PSR_291.3_UP_80 km/h</v>
      </c>
      <c r="D14" s="183" t="s">
        <v>1045</v>
      </c>
      <c r="E14" s="183" t="str">
        <f>E13</f>
        <v>MMRBEM_7_DOWN</v>
      </c>
      <c r="F14" s="184"/>
      <c r="G14" s="179">
        <f>G13</f>
        <v>291.3</v>
      </c>
      <c r="H14" s="185">
        <f t="shared" si="0"/>
        <v>291.3</v>
      </c>
      <c r="I14" s="230">
        <f>IF("generated"=1, "Path=MMRBEM_7_DOWN, Scaled Offset=291.30000000000001136868377216160297", 804.302042106314)</f>
        <v>804.30204210631405</v>
      </c>
      <c r="J14" s="184"/>
      <c r="K14" s="184"/>
      <c r="L14" s="184">
        <v>1</v>
      </c>
      <c r="M14" s="184">
        <v>2.2999999999999998</v>
      </c>
      <c r="N14" s="184"/>
      <c r="O14" s="184"/>
      <c r="P14" s="184"/>
      <c r="Q14" s="184" t="str">
        <f>Q11</f>
        <v>80 km/h</v>
      </c>
      <c r="R14" s="184"/>
      <c r="S14" s="184"/>
      <c r="T14" s="184"/>
      <c r="AA14" s="21" t="s">
        <v>917</v>
      </c>
      <c r="AB14" s="21">
        <v>8</v>
      </c>
    </row>
    <row r="15" spans="1:28" ht="15" x14ac:dyDescent="0.25">
      <c r="A15" s="224" t="s">
        <v>129</v>
      </c>
      <c r="B15" s="83">
        <v>74008</v>
      </c>
      <c r="C15" s="176" t="str">
        <f>"PSR_"&amp;G15&amp;IF(L15=0,"_DN_","_UP_")&amp;Q15</f>
        <v>PSR_405.95_DN_80 km/h</v>
      </c>
      <c r="D15" s="177" t="s">
        <v>1045</v>
      </c>
      <c r="E15" s="177" t="s">
        <v>188</v>
      </c>
      <c r="F15" s="178"/>
      <c r="G15" s="179">
        <v>405.95</v>
      </c>
      <c r="H15" s="179">
        <f t="shared" ref="H15:H34" si="2">G15+F15</f>
        <v>405.95</v>
      </c>
      <c r="I15" s="230">
        <f>IF("generated"=1, "Path=MMRBEM_7_DOWN, Scaled Offset=405.94999999999998863131622783839703", 917.079472275446)</f>
        <v>917.07947227544605</v>
      </c>
      <c r="J15" s="178"/>
      <c r="K15" s="178"/>
      <c r="L15" s="178"/>
      <c r="M15" s="178">
        <v>-2.5</v>
      </c>
      <c r="N15" s="178"/>
      <c r="O15" s="178"/>
      <c r="P15" s="178"/>
      <c r="Q15" s="180" t="s">
        <v>1048</v>
      </c>
      <c r="R15" s="181"/>
      <c r="S15" s="178"/>
      <c r="T15" s="178"/>
      <c r="AA15" s="21" t="s">
        <v>917</v>
      </c>
      <c r="AB15" s="21">
        <v>9</v>
      </c>
    </row>
    <row r="16" spans="1:28" ht="15" x14ac:dyDescent="0.25">
      <c r="A16" s="224" t="s">
        <v>129</v>
      </c>
      <c r="B16">
        <v>74009</v>
      </c>
      <c r="C16" s="176" t="str">
        <f t="shared" ref="C16:C22" si="3">"PSR_"&amp;G16&amp;IF(L16=0,"_DN_","_UP_")&amp;Q16</f>
        <v>PSR_405.95_UP_80 km/h</v>
      </c>
      <c r="D16" s="177" t="s">
        <v>1045</v>
      </c>
      <c r="E16" s="177" t="str">
        <f>E15</f>
        <v>MMRBEM_7_DOWN</v>
      </c>
      <c r="F16" s="178"/>
      <c r="G16" s="179">
        <f>G15</f>
        <v>405.95</v>
      </c>
      <c r="H16" s="179">
        <f t="shared" si="2"/>
        <v>405.95</v>
      </c>
      <c r="I16" s="230">
        <f>IF("generated"=1, "Path=MMRBEM_7_DOWN, Scaled Offset=405.94999999999998863131622783839703", 917.079472275446)</f>
        <v>917.07947227544605</v>
      </c>
      <c r="J16" s="178"/>
      <c r="K16" s="178"/>
      <c r="L16" s="178">
        <v>1</v>
      </c>
      <c r="M16" s="178">
        <v>2.5</v>
      </c>
      <c r="N16" s="178"/>
      <c r="O16" s="178"/>
      <c r="P16" s="178"/>
      <c r="Q16" s="178" t="str">
        <f>Q13</f>
        <v>80 km/h</v>
      </c>
      <c r="R16" s="181"/>
      <c r="S16" s="178"/>
      <c r="T16" s="178"/>
      <c r="AA16" s="21" t="s">
        <v>917</v>
      </c>
      <c r="AB16" s="21">
        <v>10</v>
      </c>
    </row>
    <row r="17" spans="1:28" ht="15" x14ac:dyDescent="0.25">
      <c r="A17" s="224" t="s">
        <v>129</v>
      </c>
      <c r="B17" s="83">
        <v>74010</v>
      </c>
      <c r="C17" s="182" t="str">
        <f t="shared" si="3"/>
        <v>PSR_465.96_DN_75 km/h</v>
      </c>
      <c r="D17" s="183" t="s">
        <v>1045</v>
      </c>
      <c r="E17" s="184" t="s">
        <v>188</v>
      </c>
      <c r="F17" s="184"/>
      <c r="G17" s="179">
        <v>465.96</v>
      </c>
      <c r="H17" s="185">
        <f t="shared" si="2"/>
        <v>465.96</v>
      </c>
      <c r="I17" s="230">
        <f>IF("generated"=1, "Path=MMRBEM_7_DOWN, Scaled Offset=465.95999999999997953636921010911465", 976.109333456864)</f>
        <v>976.10933345686396</v>
      </c>
      <c r="J17" s="184"/>
      <c r="K17" s="184"/>
      <c r="L17" s="184"/>
      <c r="M17" s="184">
        <v>-2.5</v>
      </c>
      <c r="N17" s="184"/>
      <c r="O17" s="184"/>
      <c r="P17" s="184"/>
      <c r="Q17" s="180" t="s">
        <v>1049</v>
      </c>
      <c r="R17" s="184"/>
      <c r="S17" s="184"/>
      <c r="T17" s="184"/>
      <c r="AA17" s="21" t="s">
        <v>917</v>
      </c>
      <c r="AB17" s="21">
        <v>11</v>
      </c>
    </row>
    <row r="18" spans="1:28" ht="15" x14ac:dyDescent="0.25">
      <c r="A18" s="224" t="s">
        <v>129</v>
      </c>
      <c r="B18">
        <v>74011</v>
      </c>
      <c r="C18" s="182" t="str">
        <f t="shared" si="3"/>
        <v>PSR_465.96_UP_80 km/h</v>
      </c>
      <c r="D18" s="183" t="s">
        <v>1045</v>
      </c>
      <c r="E18" s="183" t="str">
        <f>E17</f>
        <v>MMRBEM_7_DOWN</v>
      </c>
      <c r="F18" s="184"/>
      <c r="G18" s="179">
        <f>G17</f>
        <v>465.96</v>
      </c>
      <c r="H18" s="185">
        <f t="shared" si="2"/>
        <v>465.96</v>
      </c>
      <c r="I18" s="230">
        <f>IF("generated"=1, "Path=MMRBEM_7_DOWN, Scaled Offset=465.95999999999997953636921010911465", 976.109333456864)</f>
        <v>976.10933345686396</v>
      </c>
      <c r="J18" s="184"/>
      <c r="K18" s="184"/>
      <c r="L18" s="184">
        <v>1</v>
      </c>
      <c r="M18" s="184">
        <v>2.5</v>
      </c>
      <c r="N18" s="184"/>
      <c r="O18" s="184"/>
      <c r="P18" s="184"/>
      <c r="Q18" s="184" t="str">
        <f>Q15</f>
        <v>80 km/h</v>
      </c>
      <c r="R18" s="184"/>
      <c r="S18" s="184"/>
      <c r="T18" s="184"/>
      <c r="AA18" s="21" t="s">
        <v>917</v>
      </c>
      <c r="AB18" s="21">
        <v>12</v>
      </c>
    </row>
    <row r="19" spans="1:28" ht="15" x14ac:dyDescent="0.25">
      <c r="A19" s="224" t="s">
        <v>129</v>
      </c>
      <c r="B19" s="83">
        <v>74012</v>
      </c>
      <c r="C19" s="176" t="str">
        <f t="shared" si="3"/>
        <v>PSR_606.63_DN_75 km/h</v>
      </c>
      <c r="D19" s="177" t="s">
        <v>1045</v>
      </c>
      <c r="E19" s="177" t="s">
        <v>188</v>
      </c>
      <c r="F19" s="178"/>
      <c r="G19" s="179">
        <v>606.63</v>
      </c>
      <c r="H19" s="179">
        <f t="shared" si="2"/>
        <v>606.63</v>
      </c>
      <c r="I19" s="230">
        <f>IF("generated"=1, "Path=MMRBEM_7_DOWN, Scaled Offset=606.62999999999999545252649113535881", 1114.48178092212)</f>
        <v>1114.4817809221199</v>
      </c>
      <c r="J19" s="178"/>
      <c r="K19" s="178"/>
      <c r="L19" s="178"/>
      <c r="M19" s="178">
        <v>-2.5</v>
      </c>
      <c r="N19" s="178"/>
      <c r="O19" s="178"/>
      <c r="P19" s="178"/>
      <c r="Q19" s="180" t="s">
        <v>1049</v>
      </c>
      <c r="R19" s="181"/>
      <c r="S19" s="178"/>
      <c r="T19" s="178"/>
      <c r="AA19" s="21" t="s">
        <v>917</v>
      </c>
      <c r="AB19" s="21">
        <v>13</v>
      </c>
    </row>
    <row r="20" spans="1:28" ht="15" x14ac:dyDescent="0.25">
      <c r="A20" s="224" t="s">
        <v>129</v>
      </c>
      <c r="B20">
        <v>74013</v>
      </c>
      <c r="C20" s="176" t="str">
        <f t="shared" si="3"/>
        <v>PSR_606.63_UP_75 km/h</v>
      </c>
      <c r="D20" s="177" t="s">
        <v>1045</v>
      </c>
      <c r="E20" s="177" t="str">
        <f>E19</f>
        <v>MMRBEM_7_DOWN</v>
      </c>
      <c r="F20" s="178"/>
      <c r="G20" s="179">
        <f>G19</f>
        <v>606.63</v>
      </c>
      <c r="H20" s="179">
        <f t="shared" si="2"/>
        <v>606.63</v>
      </c>
      <c r="I20" s="230">
        <f>IF("generated"=1, "Path=MMRBEM_7_DOWN, Scaled Offset=606.62999999999999545252649113535881", 1114.48178092212)</f>
        <v>1114.4817809221199</v>
      </c>
      <c r="J20" s="178"/>
      <c r="K20" s="178"/>
      <c r="L20" s="178">
        <v>1</v>
      </c>
      <c r="M20" s="178">
        <v>2.5</v>
      </c>
      <c r="N20" s="178"/>
      <c r="O20" s="178"/>
      <c r="P20" s="178"/>
      <c r="Q20" s="178" t="str">
        <f>Q17</f>
        <v>75 km/h</v>
      </c>
      <c r="R20" s="181"/>
      <c r="S20" s="178"/>
      <c r="T20" s="178"/>
      <c r="AA20" s="21" t="s">
        <v>917</v>
      </c>
      <c r="AB20" s="21">
        <v>14</v>
      </c>
    </row>
    <row r="21" spans="1:28" ht="15" x14ac:dyDescent="0.25">
      <c r="A21" s="224" t="s">
        <v>129</v>
      </c>
      <c r="B21" s="83">
        <v>74014</v>
      </c>
      <c r="C21" s="182" t="str">
        <f t="shared" si="3"/>
        <v>PSR_769.15_DN_80 km/h</v>
      </c>
      <c r="D21" s="183" t="s">
        <v>1045</v>
      </c>
      <c r="E21" s="184" t="s">
        <v>188</v>
      </c>
      <c r="F21" s="184"/>
      <c r="G21" s="179">
        <v>769.15</v>
      </c>
      <c r="H21" s="185">
        <f t="shared" si="2"/>
        <v>769.15</v>
      </c>
      <c r="I21" s="230">
        <f>IF("generated"=1, "Path=MMRBEM_7_DOWN, Scaled Offset=769.14999999999997726263245567679405", 1274.34735398001)</f>
        <v>1274.34735398001</v>
      </c>
      <c r="J21" s="184"/>
      <c r="K21" s="184"/>
      <c r="L21" s="184"/>
      <c r="M21" s="184">
        <v>-2.5</v>
      </c>
      <c r="N21" s="184"/>
      <c r="O21" s="184"/>
      <c r="P21" s="184"/>
      <c r="Q21" s="180" t="s">
        <v>1048</v>
      </c>
      <c r="R21" s="184"/>
      <c r="S21" s="184"/>
      <c r="T21" s="184"/>
      <c r="AA21" s="21" t="s">
        <v>917</v>
      </c>
      <c r="AB21" s="21">
        <v>15</v>
      </c>
    </row>
    <row r="22" spans="1:28" ht="15" x14ac:dyDescent="0.25">
      <c r="A22" s="224" t="s">
        <v>129</v>
      </c>
      <c r="B22">
        <v>74015</v>
      </c>
      <c r="C22" s="182" t="str">
        <f t="shared" si="3"/>
        <v>PSR_769.15_UP_75 km/h</v>
      </c>
      <c r="D22" s="183" t="s">
        <v>1045</v>
      </c>
      <c r="E22" s="183" t="str">
        <f>E21</f>
        <v>MMRBEM_7_DOWN</v>
      </c>
      <c r="F22" s="184"/>
      <c r="G22" s="179">
        <f>G21</f>
        <v>769.15</v>
      </c>
      <c r="H22" s="185">
        <f t="shared" si="2"/>
        <v>769.15</v>
      </c>
      <c r="I22" s="230">
        <f>IF("generated"=1, "Path=MMRBEM_7_DOWN, Scaled Offset=769.14999999999997726263245567679405", 1274.34735398001)</f>
        <v>1274.34735398001</v>
      </c>
      <c r="J22" s="184"/>
      <c r="K22" s="184"/>
      <c r="L22" s="184">
        <v>1</v>
      </c>
      <c r="M22" s="184">
        <v>2.5</v>
      </c>
      <c r="N22" s="184"/>
      <c r="O22" s="184"/>
      <c r="P22" s="184"/>
      <c r="Q22" s="184" t="str">
        <f>Q19</f>
        <v>75 km/h</v>
      </c>
      <c r="R22" s="184"/>
      <c r="S22" s="184"/>
      <c r="T22" s="184"/>
      <c r="AA22" s="21" t="s">
        <v>917</v>
      </c>
      <c r="AB22" s="21">
        <v>16</v>
      </c>
    </row>
    <row r="23" spans="1:28" ht="15" x14ac:dyDescent="0.25">
      <c r="A23" s="224" t="s">
        <v>129</v>
      </c>
      <c r="B23" s="83">
        <v>74016</v>
      </c>
      <c r="C23" s="176" t="str">
        <f>"PSR_"&amp;G23&amp;IF(L23=0,"_DN_","_UP_")&amp;Q23</f>
        <v>PSR_934.69_DN_55 km/h</v>
      </c>
      <c r="D23" s="177" t="s">
        <v>1045</v>
      </c>
      <c r="E23" s="177" t="s">
        <v>188</v>
      </c>
      <c r="F23" s="178"/>
      <c r="G23" s="179">
        <v>934.69</v>
      </c>
      <c r="H23" s="179">
        <f t="shared" si="2"/>
        <v>934.69</v>
      </c>
      <c r="I23" s="230">
        <f>IF("generated"=1, "Path=MMRBEM_7_DOWN, Scaled Offset=934.69000000000005456968210637569427", 1437.18360160494)</f>
        <v>1437.1836016049399</v>
      </c>
      <c r="J23" s="178"/>
      <c r="K23" s="178"/>
      <c r="L23" s="178"/>
      <c r="M23" s="178">
        <v>-2.5</v>
      </c>
      <c r="N23" s="178"/>
      <c r="O23" s="178"/>
      <c r="P23" s="178"/>
      <c r="Q23" s="180" t="s">
        <v>1050</v>
      </c>
      <c r="R23" s="181"/>
      <c r="S23" s="178"/>
      <c r="T23" s="178"/>
      <c r="AA23" s="21" t="s">
        <v>917</v>
      </c>
      <c r="AB23" s="21">
        <v>17</v>
      </c>
    </row>
    <row r="24" spans="1:28" ht="15" x14ac:dyDescent="0.25">
      <c r="A24" s="224" t="s">
        <v>129</v>
      </c>
      <c r="B24">
        <v>74017</v>
      </c>
      <c r="C24" s="176" t="str">
        <f t="shared" ref="C24:C34" si="4">"PSR_"&amp;G24&amp;IF(L24=0,"_DN_","_UP_")&amp;Q24</f>
        <v>PSR_934.69_UP_80 km/h</v>
      </c>
      <c r="D24" s="177" t="s">
        <v>1045</v>
      </c>
      <c r="E24" s="177" t="str">
        <f>E23</f>
        <v>MMRBEM_7_DOWN</v>
      </c>
      <c r="F24" s="178"/>
      <c r="G24" s="179">
        <f>G23</f>
        <v>934.69</v>
      </c>
      <c r="H24" s="179">
        <f t="shared" si="2"/>
        <v>934.69</v>
      </c>
      <c r="I24" s="230">
        <f>IF("generated"=1, "Path=MMRBEM_7_DOWN, Scaled Offset=934.69000000000005456968210637569427", 1437.18360160494)</f>
        <v>1437.1836016049399</v>
      </c>
      <c r="J24" s="178"/>
      <c r="K24" s="178"/>
      <c r="L24" s="178">
        <v>1</v>
      </c>
      <c r="M24" s="178">
        <v>2.5</v>
      </c>
      <c r="N24" s="178"/>
      <c r="O24" s="178"/>
      <c r="P24" s="178"/>
      <c r="Q24" s="178" t="str">
        <f>Q21</f>
        <v>80 km/h</v>
      </c>
      <c r="R24" s="181"/>
      <c r="S24" s="178"/>
      <c r="T24" s="178"/>
      <c r="AA24" s="21" t="s">
        <v>917</v>
      </c>
      <c r="AB24" s="21">
        <v>18</v>
      </c>
    </row>
    <row r="25" spans="1:28" ht="15" x14ac:dyDescent="0.25">
      <c r="A25" s="224" t="s">
        <v>129</v>
      </c>
      <c r="B25" s="83">
        <v>74018</v>
      </c>
      <c r="C25" s="182" t="str">
        <f t="shared" si="4"/>
        <v>PSR_1223.79_DN_80 km/h</v>
      </c>
      <c r="D25" s="183" t="s">
        <v>1045</v>
      </c>
      <c r="E25" s="184" t="s">
        <v>188</v>
      </c>
      <c r="F25" s="184"/>
      <c r="G25" s="179">
        <v>1223.79</v>
      </c>
      <c r="H25" s="185">
        <f t="shared" si="2"/>
        <v>1223.79</v>
      </c>
      <c r="I25" s="230">
        <f>IF("generated"=1, "Path=MMRBEM_7_DOWN, Scaled Offset=1223.7899999999999636202119290828705", 1721.56175303883)</f>
        <v>1721.5617530388299</v>
      </c>
      <c r="J25" s="184"/>
      <c r="K25" s="184"/>
      <c r="L25" s="184"/>
      <c r="M25" s="184">
        <v>-2.5</v>
      </c>
      <c r="N25" s="184"/>
      <c r="O25" s="184"/>
      <c r="P25" s="184"/>
      <c r="Q25" s="180" t="s">
        <v>1048</v>
      </c>
      <c r="R25" s="184"/>
      <c r="S25" s="184"/>
      <c r="T25" s="184"/>
      <c r="AA25" s="21" t="s">
        <v>917</v>
      </c>
      <c r="AB25" s="21">
        <v>19</v>
      </c>
    </row>
    <row r="26" spans="1:28" ht="15" x14ac:dyDescent="0.25">
      <c r="A26" s="224" t="s">
        <v>129</v>
      </c>
      <c r="B26">
        <v>74019</v>
      </c>
      <c r="C26" s="182" t="str">
        <f t="shared" si="4"/>
        <v>PSR_1223.79_UP_55 km/h</v>
      </c>
      <c r="D26" s="183" t="s">
        <v>1045</v>
      </c>
      <c r="E26" s="183" t="str">
        <f>E25</f>
        <v>MMRBEM_7_DOWN</v>
      </c>
      <c r="F26" s="184"/>
      <c r="G26" s="179">
        <f>G25</f>
        <v>1223.79</v>
      </c>
      <c r="H26" s="185">
        <f t="shared" si="2"/>
        <v>1223.79</v>
      </c>
      <c r="I26" s="230">
        <f>IF("generated"=1, "Path=MMRBEM_7_DOWN, Scaled Offset=1223.7899999999999636202119290828705", 1721.56175303883)</f>
        <v>1721.5617530388299</v>
      </c>
      <c r="J26" s="184"/>
      <c r="K26" s="184"/>
      <c r="L26" s="184">
        <v>1</v>
      </c>
      <c r="M26" s="184">
        <v>2.5</v>
      </c>
      <c r="N26" s="184"/>
      <c r="O26" s="184"/>
      <c r="P26" s="184"/>
      <c r="Q26" s="184" t="str">
        <f>Q23</f>
        <v>55 km/h</v>
      </c>
      <c r="R26" s="184"/>
      <c r="S26" s="184"/>
      <c r="T26" s="184"/>
      <c r="AA26" s="21" t="s">
        <v>917</v>
      </c>
      <c r="AB26" s="21">
        <v>20</v>
      </c>
    </row>
    <row r="27" spans="1:28" ht="15" x14ac:dyDescent="0.25">
      <c r="A27" s="224" t="s">
        <v>129</v>
      </c>
      <c r="B27" s="83">
        <v>74020</v>
      </c>
      <c r="C27" s="176" t="str">
        <f t="shared" si="4"/>
        <v>PSR_1247.03_DN_55 km/h</v>
      </c>
      <c r="D27" s="177" t="s">
        <v>1045</v>
      </c>
      <c r="E27" s="177" t="s">
        <v>188</v>
      </c>
      <c r="F27" s="178"/>
      <c r="G27" s="179">
        <v>1247.03</v>
      </c>
      <c r="H27" s="179">
        <f t="shared" si="2"/>
        <v>1247.03</v>
      </c>
      <c r="I27" s="230">
        <f>IF("generated"=1, "Path=MMRBEM_7_DOWN, Scaled Offset=1247.0299999999999727151589468121529", 1744.42217586597)</f>
        <v>1744.4221758659701</v>
      </c>
      <c r="J27" s="178"/>
      <c r="K27" s="178"/>
      <c r="L27" s="178"/>
      <c r="M27" s="178">
        <v>-2.5</v>
      </c>
      <c r="N27" s="178"/>
      <c r="O27" s="178"/>
      <c r="P27" s="178"/>
      <c r="Q27" s="180" t="s">
        <v>1050</v>
      </c>
      <c r="R27" s="181"/>
      <c r="S27" s="178"/>
      <c r="T27" s="178"/>
      <c r="AA27" s="21" t="s">
        <v>917</v>
      </c>
      <c r="AB27" s="21">
        <v>21</v>
      </c>
    </row>
    <row r="28" spans="1:28" ht="15" x14ac:dyDescent="0.25">
      <c r="A28" s="224" t="s">
        <v>129</v>
      </c>
      <c r="B28">
        <v>74021</v>
      </c>
      <c r="C28" s="176" t="str">
        <f t="shared" si="4"/>
        <v>PSR_1247.03_UP_80 km/h</v>
      </c>
      <c r="D28" s="177" t="s">
        <v>1045</v>
      </c>
      <c r="E28" s="177" t="str">
        <f>E27</f>
        <v>MMRBEM_7_DOWN</v>
      </c>
      <c r="F28" s="178"/>
      <c r="G28" s="179">
        <f>G27</f>
        <v>1247.03</v>
      </c>
      <c r="H28" s="179">
        <f t="shared" si="2"/>
        <v>1247.03</v>
      </c>
      <c r="I28" s="230">
        <f>IF("generated"=1, "Path=MMRBEM_7_DOWN, Scaled Offset=1247.0299999999999727151589468121529", 1744.42217586597)</f>
        <v>1744.4221758659701</v>
      </c>
      <c r="J28" s="178"/>
      <c r="K28" s="178"/>
      <c r="L28" s="178">
        <v>1</v>
      </c>
      <c r="M28" s="178">
        <v>2.5</v>
      </c>
      <c r="N28" s="178"/>
      <c r="O28" s="178"/>
      <c r="P28" s="178"/>
      <c r="Q28" s="178" t="str">
        <f>Q25</f>
        <v>80 km/h</v>
      </c>
      <c r="R28" s="181"/>
      <c r="S28" s="178"/>
      <c r="T28" s="178"/>
      <c r="AA28" s="21" t="s">
        <v>917</v>
      </c>
      <c r="AB28" s="21">
        <v>22</v>
      </c>
    </row>
    <row r="29" spans="1:28" ht="15" x14ac:dyDescent="0.25">
      <c r="A29" s="224" t="s">
        <v>129</v>
      </c>
      <c r="B29" s="83">
        <v>74022</v>
      </c>
      <c r="C29" s="182" t="str">
        <f t="shared" si="4"/>
        <v>PSR_1466.2_DN_80 km/h</v>
      </c>
      <c r="D29" s="183" t="s">
        <v>1045</v>
      </c>
      <c r="E29" s="184" t="s">
        <v>188</v>
      </c>
      <c r="F29" s="184"/>
      <c r="G29" s="179">
        <v>1466.2</v>
      </c>
      <c r="H29" s="185">
        <f t="shared" si="2"/>
        <v>1466.2</v>
      </c>
      <c r="I29" s="230">
        <f>IF("generated"=1, "Path=MMRBEM_7_DOWN, Scaled Offset=1466.2000000000000454747350886464119", 1960.01248873268)</f>
        <v>1960.0124887326799</v>
      </c>
      <c r="J29" s="184"/>
      <c r="K29" s="184"/>
      <c r="L29" s="184"/>
      <c r="M29" s="184">
        <v>-2.5</v>
      </c>
      <c r="N29" s="184"/>
      <c r="O29" s="184"/>
      <c r="P29" s="184"/>
      <c r="Q29" s="180" t="s">
        <v>1048</v>
      </c>
      <c r="R29" s="184"/>
      <c r="S29" s="184"/>
      <c r="T29" s="184"/>
      <c r="AA29" s="21" t="s">
        <v>917</v>
      </c>
      <c r="AB29" s="21">
        <v>23</v>
      </c>
    </row>
    <row r="30" spans="1:28" ht="15" x14ac:dyDescent="0.25">
      <c r="A30" s="224" t="s">
        <v>129</v>
      </c>
      <c r="B30">
        <v>74023</v>
      </c>
      <c r="C30" s="182" t="str">
        <f t="shared" si="4"/>
        <v>PSR_1466.2_UP_55 km/h</v>
      </c>
      <c r="D30" s="183" t="s">
        <v>1045</v>
      </c>
      <c r="E30" s="183" t="str">
        <f>E29</f>
        <v>MMRBEM_7_DOWN</v>
      </c>
      <c r="F30" s="184"/>
      <c r="G30" s="179">
        <f>G29</f>
        <v>1466.2</v>
      </c>
      <c r="H30" s="185">
        <f t="shared" si="2"/>
        <v>1466.2</v>
      </c>
      <c r="I30" s="230">
        <f>IF("generated"=1, "Path=MMRBEM_7_DOWN, Scaled Offset=1466.2000000000000454747350886464119", 1960.01248873268)</f>
        <v>1960.0124887326799</v>
      </c>
      <c r="J30" s="184"/>
      <c r="K30" s="184"/>
      <c r="L30" s="184">
        <v>1</v>
      </c>
      <c r="M30" s="184">
        <v>2.5</v>
      </c>
      <c r="N30" s="184"/>
      <c r="O30" s="184"/>
      <c r="P30" s="184"/>
      <c r="Q30" s="184" t="str">
        <f>Q27</f>
        <v>55 km/h</v>
      </c>
      <c r="R30" s="184"/>
      <c r="S30" s="184"/>
      <c r="T30" s="184"/>
      <c r="AA30" s="21" t="s">
        <v>917</v>
      </c>
      <c r="AB30" s="21">
        <v>24</v>
      </c>
    </row>
    <row r="31" spans="1:28" ht="15" x14ac:dyDescent="0.25">
      <c r="A31" s="224" t="s">
        <v>129</v>
      </c>
      <c r="B31" s="83">
        <v>74024</v>
      </c>
      <c r="C31" s="176" t="str">
        <f t="shared" si="4"/>
        <v>PSR_1668.46_DN_80 km/h</v>
      </c>
      <c r="D31" s="177" t="s">
        <v>1045</v>
      </c>
      <c r="E31" s="177" t="s">
        <v>188</v>
      </c>
      <c r="F31" s="178"/>
      <c r="G31" s="179">
        <v>1668.46</v>
      </c>
      <c r="H31" s="179">
        <f t="shared" si="2"/>
        <v>1668.46</v>
      </c>
      <c r="I31" s="230">
        <f>IF("generated"=1, "Path=MMRBEM_7_DOWN, Scaled Offset=1668.4600000000000363797880709171295", 2158.96899135814)</f>
        <v>2158.9689913581401</v>
      </c>
      <c r="J31" s="178"/>
      <c r="K31" s="178"/>
      <c r="L31" s="178"/>
      <c r="M31" s="178">
        <v>-2.5</v>
      </c>
      <c r="N31" s="178"/>
      <c r="O31" s="178"/>
      <c r="P31" s="178"/>
      <c r="Q31" s="180" t="s">
        <v>1048</v>
      </c>
      <c r="R31" s="181"/>
      <c r="S31" s="178"/>
      <c r="T31" s="178"/>
      <c r="AA31" s="21" t="s">
        <v>917</v>
      </c>
      <c r="AB31" s="21">
        <v>25</v>
      </c>
    </row>
    <row r="32" spans="1:28" ht="15" x14ac:dyDescent="0.25">
      <c r="A32" s="224" t="s">
        <v>129</v>
      </c>
      <c r="B32">
        <v>74025</v>
      </c>
      <c r="C32" s="176" t="str">
        <f t="shared" si="4"/>
        <v>PSR_1668.46_UP_80 km/h</v>
      </c>
      <c r="D32" s="177" t="s">
        <v>1045</v>
      </c>
      <c r="E32" s="177" t="str">
        <f>E31</f>
        <v>MMRBEM_7_DOWN</v>
      </c>
      <c r="F32" s="178"/>
      <c r="G32" s="179">
        <f>G31</f>
        <v>1668.46</v>
      </c>
      <c r="H32" s="179">
        <f t="shared" si="2"/>
        <v>1668.46</v>
      </c>
      <c r="I32" s="230">
        <f>IF("generated"=1, "Path=MMRBEM_7_DOWN, Scaled Offset=1668.4600000000000363797880709171295", 2158.96899135814)</f>
        <v>2158.9689913581401</v>
      </c>
      <c r="J32" s="178"/>
      <c r="K32" s="178"/>
      <c r="L32" s="178">
        <v>1</v>
      </c>
      <c r="M32" s="178">
        <v>2.5</v>
      </c>
      <c r="N32" s="178"/>
      <c r="O32" s="178"/>
      <c r="P32" s="178"/>
      <c r="Q32" s="178" t="str">
        <f>Q29</f>
        <v>80 km/h</v>
      </c>
      <c r="R32" s="181"/>
      <c r="S32" s="178"/>
      <c r="T32" s="178"/>
      <c r="AA32" s="21" t="s">
        <v>917</v>
      </c>
      <c r="AB32" s="21">
        <v>26</v>
      </c>
    </row>
    <row r="33" spans="1:28" ht="15" x14ac:dyDescent="0.25">
      <c r="A33" s="224" t="s">
        <v>129</v>
      </c>
      <c r="B33" s="83">
        <v>74026</v>
      </c>
      <c r="C33" s="182" t="str">
        <f t="shared" si="4"/>
        <v>PSR_1745.5_DN_80 km/h</v>
      </c>
      <c r="D33" s="183" t="s">
        <v>1045</v>
      </c>
      <c r="E33" s="184" t="s">
        <v>188</v>
      </c>
      <c r="F33" s="184"/>
      <c r="G33" s="179">
        <v>1745.5</v>
      </c>
      <c r="H33" s="185">
        <f t="shared" si="2"/>
        <v>1745.5</v>
      </c>
      <c r="I33" s="230">
        <f>IF("generated"=1, "Path=MMRBEM_7_DOWN, Scaled Offset=1745.5", 2234.75070282983)</f>
        <v>2234.7507028298301</v>
      </c>
      <c r="J33" s="184"/>
      <c r="K33" s="184"/>
      <c r="L33" s="184"/>
      <c r="M33" s="184">
        <v>-2.5</v>
      </c>
      <c r="N33" s="184"/>
      <c r="O33" s="184"/>
      <c r="P33" s="184"/>
      <c r="Q33" s="180" t="s">
        <v>1048</v>
      </c>
      <c r="R33" s="184"/>
      <c r="S33" s="184"/>
      <c r="T33" s="184"/>
      <c r="AA33" s="21" t="s">
        <v>917</v>
      </c>
      <c r="AB33" s="21">
        <v>27</v>
      </c>
    </row>
    <row r="34" spans="1:28" ht="15" x14ac:dyDescent="0.25">
      <c r="A34" s="224" t="s">
        <v>129</v>
      </c>
      <c r="B34">
        <v>74027</v>
      </c>
      <c r="C34" s="182" t="str">
        <f t="shared" si="4"/>
        <v>PSR_1745.5_UP_80 km/h</v>
      </c>
      <c r="D34" s="183" t="s">
        <v>1045</v>
      </c>
      <c r="E34" s="183" t="str">
        <f>E33</f>
        <v>MMRBEM_7_DOWN</v>
      </c>
      <c r="F34" s="184"/>
      <c r="G34" s="179">
        <f>G33</f>
        <v>1745.5</v>
      </c>
      <c r="H34" s="185">
        <f t="shared" si="2"/>
        <v>1745.5</v>
      </c>
      <c r="I34" s="230">
        <f>IF("generated"=1, "Path=MMRBEM_7_DOWN, Scaled Offset=1745.5", 2234.75070282983)</f>
        <v>2234.7507028298301</v>
      </c>
      <c r="J34" s="184"/>
      <c r="K34" s="184"/>
      <c r="L34" s="184">
        <v>1</v>
      </c>
      <c r="M34" s="184">
        <v>2.5</v>
      </c>
      <c r="N34" s="184"/>
      <c r="O34" s="184"/>
      <c r="P34" s="184"/>
      <c r="Q34" s="184" t="str">
        <f>Q31</f>
        <v>80 km/h</v>
      </c>
      <c r="R34" s="184"/>
      <c r="S34" s="184"/>
      <c r="T34" s="184"/>
      <c r="AA34" s="21" t="s">
        <v>917</v>
      </c>
      <c r="AB34" s="21">
        <v>28</v>
      </c>
    </row>
    <row r="35" spans="1:28" ht="15" x14ac:dyDescent="0.25">
      <c r="A35" s="224" t="s">
        <v>129</v>
      </c>
      <c r="B35" s="83">
        <v>74028</v>
      </c>
      <c r="C35" s="176" t="str">
        <f>"PSR_"&amp;G35&amp;IF(L35=0,"_DN_","_UP_")&amp;Q35</f>
        <v>PSR_1993.82_DN_80 km/h</v>
      </c>
      <c r="D35" s="177" t="s">
        <v>1045</v>
      </c>
      <c r="E35" s="177" t="s">
        <v>188</v>
      </c>
      <c r="F35" s="178"/>
      <c r="G35" s="179">
        <v>1993.82</v>
      </c>
      <c r="H35" s="179">
        <f t="shared" ref="H35:H64" si="5">G35+F35</f>
        <v>1993.82</v>
      </c>
      <c r="I35" s="230">
        <f>IF("generated"=1, "Path=MMRBEM_7_DOWN, Scaled Offset=1993.8199999999999363353708758950233", 2479.01491093798)</f>
        <v>2479.0149109379799</v>
      </c>
      <c r="J35" s="178"/>
      <c r="K35" s="178"/>
      <c r="L35" s="178"/>
      <c r="M35" s="178">
        <v>-2.5</v>
      </c>
      <c r="N35" s="178"/>
      <c r="O35" s="178"/>
      <c r="P35" s="178"/>
      <c r="Q35" s="180" t="s">
        <v>1048</v>
      </c>
      <c r="R35" s="181"/>
      <c r="S35" s="178"/>
      <c r="T35" s="178"/>
      <c r="AA35" s="21" t="s">
        <v>917</v>
      </c>
      <c r="AB35" s="21">
        <v>29</v>
      </c>
    </row>
    <row r="36" spans="1:28" ht="15" x14ac:dyDescent="0.25">
      <c r="A36" s="224" t="s">
        <v>129</v>
      </c>
      <c r="B36">
        <v>74029</v>
      </c>
      <c r="C36" s="176" t="str">
        <f t="shared" ref="C36:C42" si="6">"PSR_"&amp;G36&amp;IF(L36=0,"_DN_","_UP_")&amp;Q36</f>
        <v>PSR_1993.82_UP_80 km/h</v>
      </c>
      <c r="D36" s="177" t="s">
        <v>1045</v>
      </c>
      <c r="E36" s="177" t="str">
        <f>E35</f>
        <v>MMRBEM_7_DOWN</v>
      </c>
      <c r="F36" s="178"/>
      <c r="G36" s="179">
        <f>G35</f>
        <v>1993.82</v>
      </c>
      <c r="H36" s="179">
        <f t="shared" si="5"/>
        <v>1993.82</v>
      </c>
      <c r="I36" s="230">
        <f>IF("generated"=1, "Path=MMRBEM_7_DOWN, Scaled Offset=1993.8199999999999363353708758950233", 2479.01491093798)</f>
        <v>2479.0149109379799</v>
      </c>
      <c r="J36" s="178"/>
      <c r="K36" s="178"/>
      <c r="L36" s="178">
        <v>1</v>
      </c>
      <c r="M36" s="178">
        <v>2.5</v>
      </c>
      <c r="N36" s="178"/>
      <c r="O36" s="178"/>
      <c r="P36" s="178"/>
      <c r="Q36" s="178" t="str">
        <f>Q33</f>
        <v>80 km/h</v>
      </c>
      <c r="R36" s="181"/>
      <c r="S36" s="178"/>
      <c r="T36" s="178"/>
      <c r="AA36" s="21" t="s">
        <v>917</v>
      </c>
      <c r="AB36" s="21">
        <v>30</v>
      </c>
    </row>
    <row r="37" spans="1:28" ht="15" x14ac:dyDescent="0.25">
      <c r="A37" s="224" t="s">
        <v>129</v>
      </c>
      <c r="B37" s="83">
        <v>74030</v>
      </c>
      <c r="C37" s="182" t="str">
        <f t="shared" si="6"/>
        <v>PSR_2071.33_DN_80 km/h</v>
      </c>
      <c r="D37" s="183" t="s">
        <v>1045</v>
      </c>
      <c r="E37" s="184" t="s">
        <v>188</v>
      </c>
      <c r="F37" s="184"/>
      <c r="G37" s="179">
        <v>2071.33</v>
      </c>
      <c r="H37" s="185">
        <f t="shared" si="5"/>
        <v>2071.33</v>
      </c>
      <c r="I37" s="230">
        <f>IF("generated"=1, "Path=MMRBEM_7_DOWN, Scaled Offset=2071.329999999999927240423858165741", 2555.25894593501)</f>
        <v>2555.2589459350102</v>
      </c>
      <c r="J37" s="184"/>
      <c r="K37" s="184"/>
      <c r="L37" s="184"/>
      <c r="M37" s="184">
        <v>-2.5</v>
      </c>
      <c r="N37" s="184"/>
      <c r="O37" s="184"/>
      <c r="P37" s="184"/>
      <c r="Q37" s="180" t="s">
        <v>1048</v>
      </c>
      <c r="R37" s="184"/>
      <c r="S37" s="184"/>
      <c r="T37" s="184"/>
      <c r="AA37" s="21" t="s">
        <v>917</v>
      </c>
      <c r="AB37" s="21">
        <v>31</v>
      </c>
    </row>
    <row r="38" spans="1:28" ht="15" x14ac:dyDescent="0.25">
      <c r="A38" s="224" t="s">
        <v>129</v>
      </c>
      <c r="B38">
        <v>74031</v>
      </c>
      <c r="C38" s="182" t="str">
        <f t="shared" si="6"/>
        <v>PSR_2071.33_UP_80 km/h</v>
      </c>
      <c r="D38" s="183" t="s">
        <v>1045</v>
      </c>
      <c r="E38" s="183" t="str">
        <f>E37</f>
        <v>MMRBEM_7_DOWN</v>
      </c>
      <c r="F38" s="184"/>
      <c r="G38" s="179">
        <f>G37</f>
        <v>2071.33</v>
      </c>
      <c r="H38" s="185">
        <f t="shared" si="5"/>
        <v>2071.33</v>
      </c>
      <c r="I38" s="230">
        <f>IF("generated"=1, "Path=MMRBEM_7_DOWN, Scaled Offset=2071.329999999999927240423858165741", 2555.25894593501)</f>
        <v>2555.2589459350102</v>
      </c>
      <c r="J38" s="184"/>
      <c r="K38" s="184"/>
      <c r="L38" s="184">
        <v>1</v>
      </c>
      <c r="M38" s="184">
        <v>2.5</v>
      </c>
      <c r="N38" s="184"/>
      <c r="O38" s="184"/>
      <c r="P38" s="184"/>
      <c r="Q38" s="184" t="str">
        <f>Q35</f>
        <v>80 km/h</v>
      </c>
      <c r="R38" s="184"/>
      <c r="S38" s="184"/>
      <c r="T38" s="184"/>
      <c r="AA38" s="21" t="s">
        <v>917</v>
      </c>
      <c r="AB38" s="21">
        <v>32</v>
      </c>
    </row>
    <row r="39" spans="1:28" ht="15" x14ac:dyDescent="0.25">
      <c r="A39" s="224" t="s">
        <v>129</v>
      </c>
      <c r="B39" s="83">
        <v>74032</v>
      </c>
      <c r="C39" s="176" t="str">
        <f t="shared" si="6"/>
        <v>PSR_2442.7_DN_75 km/h</v>
      </c>
      <c r="D39" s="177" t="s">
        <v>1045</v>
      </c>
      <c r="E39" s="177" t="s">
        <v>188</v>
      </c>
      <c r="F39" s="178"/>
      <c r="G39" s="179">
        <v>2442.6999999999998</v>
      </c>
      <c r="H39" s="179">
        <f t="shared" si="5"/>
        <v>2442.6999999999998</v>
      </c>
      <c r="I39" s="230">
        <f>IF("generated"=1, "Path=MMRBEM_7_DOWN, Scaled Offset=2442.6999999999998181010596454143524", 2920.56338764378)</f>
        <v>2920.5633876437801</v>
      </c>
      <c r="J39" s="178"/>
      <c r="K39" s="178"/>
      <c r="L39" s="178"/>
      <c r="M39" s="178">
        <v>-2.5</v>
      </c>
      <c r="N39" s="178"/>
      <c r="O39" s="178"/>
      <c r="P39" s="178"/>
      <c r="Q39" s="180" t="s">
        <v>1049</v>
      </c>
      <c r="R39" s="181"/>
      <c r="S39" s="178"/>
      <c r="T39" s="178"/>
      <c r="AA39" s="21" t="s">
        <v>917</v>
      </c>
      <c r="AB39" s="21">
        <v>33</v>
      </c>
    </row>
    <row r="40" spans="1:28" ht="15" x14ac:dyDescent="0.25">
      <c r="A40" s="224" t="s">
        <v>129</v>
      </c>
      <c r="B40">
        <v>74033</v>
      </c>
      <c r="C40" s="176" t="str">
        <f t="shared" si="6"/>
        <v>PSR_2442.7_UP_80 km/h</v>
      </c>
      <c r="D40" s="177" t="s">
        <v>1045</v>
      </c>
      <c r="E40" s="177" t="str">
        <f>E39</f>
        <v>MMRBEM_7_DOWN</v>
      </c>
      <c r="F40" s="178"/>
      <c r="G40" s="179">
        <f>G39</f>
        <v>2442.6999999999998</v>
      </c>
      <c r="H40" s="179">
        <f t="shared" si="5"/>
        <v>2442.6999999999998</v>
      </c>
      <c r="I40" s="230">
        <f>IF("generated"=1, "Path=MMRBEM_7_DOWN, Scaled Offset=2442.6999999999998181010596454143524", 2920.56338764378)</f>
        <v>2920.5633876437801</v>
      </c>
      <c r="J40" s="178"/>
      <c r="K40" s="178"/>
      <c r="L40" s="178">
        <v>1</v>
      </c>
      <c r="M40" s="178">
        <v>2.5</v>
      </c>
      <c r="N40" s="178"/>
      <c r="O40" s="178"/>
      <c r="P40" s="178"/>
      <c r="Q40" s="178" t="str">
        <f>Q37</f>
        <v>80 km/h</v>
      </c>
      <c r="R40" s="181"/>
      <c r="S40" s="178"/>
      <c r="T40" s="178"/>
      <c r="AA40" s="21" t="s">
        <v>917</v>
      </c>
      <c r="AB40" s="21">
        <v>34</v>
      </c>
    </row>
    <row r="41" spans="1:28" ht="15" x14ac:dyDescent="0.25">
      <c r="A41" s="224" t="s">
        <v>129</v>
      </c>
      <c r="B41" s="83">
        <v>74034</v>
      </c>
      <c r="C41" s="182" t="str">
        <f t="shared" si="6"/>
        <v>PSR_2585.84_DN_80 km/h</v>
      </c>
      <c r="D41" s="183" t="s">
        <v>1045</v>
      </c>
      <c r="E41" s="184" t="s">
        <v>188</v>
      </c>
      <c r="F41" s="184"/>
      <c r="G41" s="179">
        <v>2585.84</v>
      </c>
      <c r="H41" s="185">
        <f t="shared" si="5"/>
        <v>2585.84</v>
      </c>
      <c r="I41" s="230">
        <f>IF("generated"=1, "Path=MMRBEM_7_DOWN, Scaled Offset=2585.8400000000001455191522836685181", 3061.36549278472)</f>
        <v>3061.3654927847201</v>
      </c>
      <c r="J41" s="184"/>
      <c r="K41" s="184"/>
      <c r="L41" s="184"/>
      <c r="M41" s="184">
        <v>-2.5</v>
      </c>
      <c r="N41" s="184"/>
      <c r="O41" s="184"/>
      <c r="P41" s="184"/>
      <c r="Q41" s="180" t="s">
        <v>1048</v>
      </c>
      <c r="R41" s="184"/>
      <c r="S41" s="184"/>
      <c r="T41" s="184"/>
      <c r="AA41" s="21" t="s">
        <v>917</v>
      </c>
      <c r="AB41" s="21">
        <v>35</v>
      </c>
    </row>
    <row r="42" spans="1:28" ht="15" x14ac:dyDescent="0.25">
      <c r="A42" s="224" t="s">
        <v>129</v>
      </c>
      <c r="B42">
        <v>74035</v>
      </c>
      <c r="C42" s="182" t="str">
        <f t="shared" si="6"/>
        <v>PSR_2585.84_UP_75 km/h</v>
      </c>
      <c r="D42" s="183" t="s">
        <v>1045</v>
      </c>
      <c r="E42" s="183" t="str">
        <f>E41</f>
        <v>MMRBEM_7_DOWN</v>
      </c>
      <c r="F42" s="184"/>
      <c r="G42" s="179">
        <f>G41</f>
        <v>2585.84</v>
      </c>
      <c r="H42" s="185">
        <f t="shared" si="5"/>
        <v>2585.84</v>
      </c>
      <c r="I42" s="230">
        <f>IF("generated"=1, "Path=MMRBEM_7_DOWN, Scaled Offset=2585.8400000000001455191522836685181", 3061.36549278472)</f>
        <v>3061.3654927847201</v>
      </c>
      <c r="J42" s="184"/>
      <c r="K42" s="184"/>
      <c r="L42" s="184">
        <v>1</v>
      </c>
      <c r="M42" s="184">
        <v>2.5</v>
      </c>
      <c r="N42" s="184"/>
      <c r="O42" s="184"/>
      <c r="P42" s="184"/>
      <c r="Q42" s="184" t="str">
        <f>Q39</f>
        <v>75 km/h</v>
      </c>
      <c r="R42" s="184"/>
      <c r="S42" s="184"/>
      <c r="T42" s="184"/>
      <c r="AA42" s="21" t="s">
        <v>917</v>
      </c>
      <c r="AB42" s="21">
        <v>36</v>
      </c>
    </row>
    <row r="43" spans="1:28" ht="15" x14ac:dyDescent="0.25">
      <c r="A43" s="224" t="s">
        <v>129</v>
      </c>
      <c r="B43" s="83">
        <v>74036</v>
      </c>
      <c r="C43" s="176" t="str">
        <f>"PSR_"&amp;G43&amp;IF(L43=0,"_DN_","_UP_")&amp;Q43</f>
        <v>PSR_2733.44_DN_80 km/h</v>
      </c>
      <c r="D43" s="177" t="s">
        <v>1045</v>
      </c>
      <c r="E43" s="177" t="s">
        <v>188</v>
      </c>
      <c r="F43" s="178"/>
      <c r="G43" s="179">
        <v>2733.44</v>
      </c>
      <c r="H43" s="179">
        <f t="shared" si="5"/>
        <v>2733.44</v>
      </c>
      <c r="I43" s="230">
        <f>IF("generated"=1, "Path=MMRBEM_7_DOWN, Scaled Offset=2733.4400000000000545696821063756943", 3206.55475308096)</f>
        <v>3206.5547530809599</v>
      </c>
      <c r="J43" s="178"/>
      <c r="K43" s="178"/>
      <c r="L43" s="178"/>
      <c r="M43" s="178">
        <v>-2.5</v>
      </c>
      <c r="N43" s="178"/>
      <c r="O43" s="178"/>
      <c r="P43" s="178"/>
      <c r="Q43" s="180" t="s">
        <v>1048</v>
      </c>
      <c r="R43" s="181"/>
      <c r="S43" s="178"/>
      <c r="T43" s="178"/>
      <c r="AA43" s="21" t="s">
        <v>917</v>
      </c>
      <c r="AB43" s="21">
        <v>37</v>
      </c>
    </row>
    <row r="44" spans="1:28" ht="15" x14ac:dyDescent="0.25">
      <c r="A44" s="224" t="s">
        <v>129</v>
      </c>
      <c r="B44">
        <v>74037</v>
      </c>
      <c r="C44" s="176" t="str">
        <f t="shared" ref="C44:C52" si="7">"PSR_"&amp;G44&amp;IF(L44=0,"_DN_","_UP_")&amp;Q44</f>
        <v>PSR_2733.44_UP_80 km/h</v>
      </c>
      <c r="D44" s="177" t="s">
        <v>1045</v>
      </c>
      <c r="E44" s="177" t="str">
        <f>E43</f>
        <v>MMRBEM_7_DOWN</v>
      </c>
      <c r="F44" s="178"/>
      <c r="G44" s="179">
        <f>G43</f>
        <v>2733.44</v>
      </c>
      <c r="H44" s="179">
        <f t="shared" si="5"/>
        <v>2733.44</v>
      </c>
      <c r="I44" s="230">
        <f>IF("generated"=1, "Path=MMRBEM_7_DOWN, Scaled Offset=2733.4400000000000545696821063756943", 3206.55475308096)</f>
        <v>3206.5547530809599</v>
      </c>
      <c r="J44" s="178"/>
      <c r="K44" s="178"/>
      <c r="L44" s="178">
        <v>1</v>
      </c>
      <c r="M44" s="178">
        <v>2.5</v>
      </c>
      <c r="N44" s="178"/>
      <c r="O44" s="178"/>
      <c r="P44" s="178"/>
      <c r="Q44" s="178" t="str">
        <f>Q41</f>
        <v>80 km/h</v>
      </c>
      <c r="R44" s="181"/>
      <c r="S44" s="178"/>
      <c r="T44" s="178"/>
      <c r="AA44" s="21" t="s">
        <v>917</v>
      </c>
      <c r="AB44" s="21">
        <v>38</v>
      </c>
    </row>
    <row r="45" spans="1:28" ht="15" x14ac:dyDescent="0.25">
      <c r="A45" s="224" t="s">
        <v>129</v>
      </c>
      <c r="B45" s="83">
        <v>74038</v>
      </c>
      <c r="C45" s="182" t="str">
        <f t="shared" si="7"/>
        <v>PSR_2766.24_DN_80 km/h</v>
      </c>
      <c r="D45" s="183" t="s">
        <v>1045</v>
      </c>
      <c r="E45" s="184" t="s">
        <v>188</v>
      </c>
      <c r="F45" s="184"/>
      <c r="G45" s="179">
        <v>2766.24</v>
      </c>
      <c r="H45" s="185">
        <f t="shared" si="5"/>
        <v>2766.24</v>
      </c>
      <c r="I45" s="230">
        <f>IF("generated"=1, "Path=MMRBEM_7_DOWN, Scaled Offset=2766.2399999999997817212715744972229", 3238.81903314679)</f>
        <v>3238.8190331467899</v>
      </c>
      <c r="J45" s="184"/>
      <c r="K45" s="184"/>
      <c r="L45" s="184"/>
      <c r="M45" s="184">
        <v>-2.5</v>
      </c>
      <c r="N45" s="184"/>
      <c r="O45" s="184"/>
      <c r="P45" s="184"/>
      <c r="Q45" s="180" t="s">
        <v>1048</v>
      </c>
      <c r="R45" s="184"/>
      <c r="S45" s="184"/>
      <c r="T45" s="184"/>
      <c r="AA45" s="21" t="s">
        <v>917</v>
      </c>
      <c r="AB45" s="21">
        <v>39</v>
      </c>
    </row>
    <row r="46" spans="1:28" ht="15" x14ac:dyDescent="0.25">
      <c r="A46" s="224" t="s">
        <v>129</v>
      </c>
      <c r="B46">
        <v>74039</v>
      </c>
      <c r="C46" s="182" t="str">
        <f t="shared" si="7"/>
        <v>PSR_2766.24_UP_80 km/h</v>
      </c>
      <c r="D46" s="183" t="s">
        <v>1045</v>
      </c>
      <c r="E46" s="183" t="str">
        <f>E45</f>
        <v>MMRBEM_7_DOWN</v>
      </c>
      <c r="F46" s="184"/>
      <c r="G46" s="179">
        <f>G45</f>
        <v>2766.24</v>
      </c>
      <c r="H46" s="185">
        <f t="shared" si="5"/>
        <v>2766.24</v>
      </c>
      <c r="I46" s="230">
        <f>IF("generated"=1, "Path=MMRBEM_7_DOWN, Scaled Offset=2766.2399999999997817212715744972229", 3238.81903314679)</f>
        <v>3238.8190331467899</v>
      </c>
      <c r="J46" s="184"/>
      <c r="K46" s="184"/>
      <c r="L46" s="184">
        <v>1</v>
      </c>
      <c r="M46" s="184">
        <v>2.5</v>
      </c>
      <c r="N46" s="184"/>
      <c r="O46" s="184"/>
      <c r="P46" s="184"/>
      <c r="Q46" s="184" t="str">
        <f>Q43</f>
        <v>80 km/h</v>
      </c>
      <c r="R46" s="184"/>
      <c r="S46" s="184"/>
      <c r="T46" s="184"/>
      <c r="AA46" s="21" t="s">
        <v>917</v>
      </c>
      <c r="AB46" s="21">
        <v>40</v>
      </c>
    </row>
    <row r="47" spans="1:28" ht="15" x14ac:dyDescent="0.25">
      <c r="A47" s="224" t="s">
        <v>129</v>
      </c>
      <c r="B47" s="83">
        <v>74040</v>
      </c>
      <c r="C47" s="176" t="str">
        <f t="shared" si="7"/>
        <v>PSR_2847.45_DN_80 km/h</v>
      </c>
      <c r="D47" s="177" t="s">
        <v>1045</v>
      </c>
      <c r="E47" s="177" t="s">
        <v>188</v>
      </c>
      <c r="F47" s="178"/>
      <c r="G47" s="179">
        <v>2847.45</v>
      </c>
      <c r="H47" s="179">
        <f t="shared" si="5"/>
        <v>2847.45</v>
      </c>
      <c r="I47" s="230">
        <f>IF("generated"=1, "Path=MMRBEM_7_DOWN, Scaled Offset=2847.4499999999998181010596454143524", 3318.70263632198)</f>
        <v>3318.7026363219802</v>
      </c>
      <c r="J47" s="178"/>
      <c r="K47" s="178"/>
      <c r="L47" s="178"/>
      <c r="M47" s="178">
        <v>-2.5</v>
      </c>
      <c r="N47" s="178"/>
      <c r="O47" s="178"/>
      <c r="P47" s="178"/>
      <c r="Q47" s="180" t="s">
        <v>1048</v>
      </c>
      <c r="R47" s="181"/>
      <c r="S47" s="178"/>
      <c r="T47" s="178"/>
      <c r="AA47" s="21" t="s">
        <v>917</v>
      </c>
      <c r="AB47" s="21">
        <v>41</v>
      </c>
    </row>
    <row r="48" spans="1:28" ht="15" x14ac:dyDescent="0.25">
      <c r="A48" s="224" t="s">
        <v>129</v>
      </c>
      <c r="B48">
        <v>74041</v>
      </c>
      <c r="C48" s="176" t="str">
        <f t="shared" si="7"/>
        <v>PSR_2847.45_UP_80 km/h</v>
      </c>
      <c r="D48" s="177" t="s">
        <v>1045</v>
      </c>
      <c r="E48" s="177" t="str">
        <f>E47</f>
        <v>MMRBEM_7_DOWN</v>
      </c>
      <c r="F48" s="178"/>
      <c r="G48" s="179">
        <f>G47</f>
        <v>2847.45</v>
      </c>
      <c r="H48" s="179">
        <f t="shared" si="5"/>
        <v>2847.45</v>
      </c>
      <c r="I48" s="230">
        <f>IF("generated"=1, "Path=MMRBEM_7_DOWN, Scaled Offset=2847.4499999999998181010596454143524", 3318.70263632198)</f>
        <v>3318.7026363219802</v>
      </c>
      <c r="J48" s="178"/>
      <c r="K48" s="178"/>
      <c r="L48" s="178">
        <v>1</v>
      </c>
      <c r="M48" s="178">
        <v>2.5</v>
      </c>
      <c r="N48" s="178"/>
      <c r="O48" s="178"/>
      <c r="P48" s="178"/>
      <c r="Q48" s="178" t="str">
        <f>Q45</f>
        <v>80 km/h</v>
      </c>
      <c r="R48" s="181"/>
      <c r="S48" s="178"/>
      <c r="T48" s="178"/>
      <c r="AA48" s="21" t="s">
        <v>917</v>
      </c>
      <c r="AB48" s="21">
        <v>42</v>
      </c>
    </row>
    <row r="49" spans="1:28" ht="15" x14ac:dyDescent="0.25">
      <c r="A49" s="224" t="s">
        <v>129</v>
      </c>
      <c r="B49" s="83">
        <v>74042</v>
      </c>
      <c r="C49" s="182" t="str">
        <f t="shared" si="7"/>
        <v>PSR_2891.38_DN_55 km/h</v>
      </c>
      <c r="D49" s="183" t="s">
        <v>1045</v>
      </c>
      <c r="E49" s="184" t="s">
        <v>188</v>
      </c>
      <c r="F49" s="184"/>
      <c r="G49" s="179">
        <v>2891.38</v>
      </c>
      <c r="H49" s="185">
        <f t="shared" si="5"/>
        <v>2891.38</v>
      </c>
      <c r="I49" s="230">
        <f>IF("generated"=1, "Path=MMRBEM_7_DOWN, Scaled Offset=2891.3800000000001091393642127513885", 3361.91513093454)</f>
        <v>3361.9151309345398</v>
      </c>
      <c r="J49" s="184"/>
      <c r="K49" s="184"/>
      <c r="L49" s="184"/>
      <c r="M49" s="184">
        <v>-2.5</v>
      </c>
      <c r="N49" s="184"/>
      <c r="O49" s="184"/>
      <c r="P49" s="184"/>
      <c r="Q49" s="180" t="s">
        <v>1050</v>
      </c>
      <c r="R49" s="184"/>
      <c r="S49" s="184"/>
      <c r="T49" s="184"/>
      <c r="AA49" s="21" t="s">
        <v>917</v>
      </c>
      <c r="AB49" s="21">
        <v>43</v>
      </c>
    </row>
    <row r="50" spans="1:28" ht="15" x14ac:dyDescent="0.25">
      <c r="A50" s="224" t="s">
        <v>129</v>
      </c>
      <c r="B50">
        <v>74043</v>
      </c>
      <c r="C50" s="182" t="str">
        <f t="shared" si="7"/>
        <v>PSR_2891.38_UP_80 km/h</v>
      </c>
      <c r="D50" s="183" t="s">
        <v>1045</v>
      </c>
      <c r="E50" s="183" t="str">
        <f>E49</f>
        <v>MMRBEM_7_DOWN</v>
      </c>
      <c r="F50" s="184"/>
      <c r="G50" s="179">
        <f>G49</f>
        <v>2891.38</v>
      </c>
      <c r="H50" s="185">
        <f t="shared" si="5"/>
        <v>2891.38</v>
      </c>
      <c r="I50" s="230">
        <f>IF("generated"=1, "Path=MMRBEM_7_DOWN, Scaled Offset=2891.3800000000001091393642127513885", 3361.91513093454)</f>
        <v>3361.9151309345398</v>
      </c>
      <c r="J50" s="184"/>
      <c r="K50" s="184"/>
      <c r="L50" s="184">
        <v>1</v>
      </c>
      <c r="M50" s="184">
        <v>2.5</v>
      </c>
      <c r="N50" s="184"/>
      <c r="O50" s="184"/>
      <c r="P50" s="184"/>
      <c r="Q50" s="184" t="str">
        <f>Q47</f>
        <v>80 km/h</v>
      </c>
      <c r="R50" s="184"/>
      <c r="S50" s="184"/>
      <c r="T50" s="184"/>
      <c r="AA50" s="21" t="s">
        <v>917</v>
      </c>
      <c r="AB50" s="21">
        <v>44</v>
      </c>
    </row>
    <row r="51" spans="1:28" ht="15" x14ac:dyDescent="0.25">
      <c r="A51" s="224" t="s">
        <v>129</v>
      </c>
      <c r="B51" s="83">
        <v>74044</v>
      </c>
      <c r="C51" s="176" t="str">
        <f t="shared" si="7"/>
        <v>PSR_3059.29_DN_80 km/h</v>
      </c>
      <c r="D51" s="177" t="s">
        <v>1045</v>
      </c>
      <c r="E51" s="177" t="s">
        <v>188</v>
      </c>
      <c r="F51" s="178"/>
      <c r="G51" s="179">
        <v>3059.29</v>
      </c>
      <c r="H51" s="179">
        <f t="shared" si="5"/>
        <v>3059.29</v>
      </c>
      <c r="I51" s="230">
        <f>IF("generated"=1, "Path=MMRBEM_7_DOWN, Scaled Offset=3059.2899999999999636202119290828705", 3527.08266952764)</f>
        <v>3527.0826695276401</v>
      </c>
      <c r="J51" s="178"/>
      <c r="K51" s="178"/>
      <c r="L51" s="178"/>
      <c r="M51" s="178">
        <v>-2.5</v>
      </c>
      <c r="N51" s="178"/>
      <c r="O51" s="178"/>
      <c r="P51" s="178"/>
      <c r="Q51" s="180" t="s">
        <v>1048</v>
      </c>
      <c r="R51" s="181"/>
      <c r="S51" s="178"/>
      <c r="T51" s="178"/>
      <c r="AA51" s="21" t="s">
        <v>917</v>
      </c>
      <c r="AB51" s="21">
        <v>45</v>
      </c>
    </row>
    <row r="52" spans="1:28" ht="15" x14ac:dyDescent="0.25">
      <c r="A52" s="224" t="s">
        <v>129</v>
      </c>
      <c r="B52">
        <v>74045</v>
      </c>
      <c r="C52" s="176" t="str">
        <f t="shared" si="7"/>
        <v>PSR_3059.29_UP_55 km/h</v>
      </c>
      <c r="D52" s="177" t="s">
        <v>1045</v>
      </c>
      <c r="E52" s="177" t="str">
        <f>E51</f>
        <v>MMRBEM_7_DOWN</v>
      </c>
      <c r="F52" s="178"/>
      <c r="G52" s="179">
        <f>G51</f>
        <v>3059.29</v>
      </c>
      <c r="H52" s="179">
        <f t="shared" si="5"/>
        <v>3059.29</v>
      </c>
      <c r="I52" s="230">
        <f>IF("generated"=1, "Path=MMRBEM_7_DOWN, Scaled Offset=3059.2899999999999636202119290828705", 3527.08266952764)</f>
        <v>3527.0826695276401</v>
      </c>
      <c r="J52" s="178"/>
      <c r="K52" s="178"/>
      <c r="L52" s="178">
        <v>1</v>
      </c>
      <c r="M52" s="178">
        <v>2.5</v>
      </c>
      <c r="N52" s="178"/>
      <c r="O52" s="178"/>
      <c r="P52" s="178"/>
      <c r="Q52" s="178" t="str">
        <f>Q49</f>
        <v>55 km/h</v>
      </c>
      <c r="R52" s="181"/>
      <c r="S52" s="178"/>
      <c r="T52" s="178"/>
      <c r="AA52" s="21" t="s">
        <v>917</v>
      </c>
      <c r="AB52" s="21">
        <v>46</v>
      </c>
    </row>
    <row r="53" spans="1:28" ht="15" x14ac:dyDescent="0.25">
      <c r="A53" s="224" t="s">
        <v>129</v>
      </c>
      <c r="B53" s="83">
        <v>74046</v>
      </c>
      <c r="C53" s="182" t="str">
        <f>"PSR_"&amp;G53&amp;IF(L53=0,"_DN_","_UP_")&amp;Q53</f>
        <v>PSR_3323.3_DN_75 km/h</v>
      </c>
      <c r="D53" s="183" t="s">
        <v>1045</v>
      </c>
      <c r="E53" s="184" t="s">
        <v>188</v>
      </c>
      <c r="F53" s="184"/>
      <c r="G53" s="179">
        <v>3323.3</v>
      </c>
      <c r="H53" s="185">
        <f t="shared" si="5"/>
        <v>3323.3</v>
      </c>
      <c r="I53" s="230">
        <f>IF("generated"=1, "Path=MMRBEM_7_DOWN, Scaled Offset=3323.3000000000001818989403545856476", 3786.78061404533)</f>
        <v>3786.7806140453299</v>
      </c>
      <c r="J53" s="184"/>
      <c r="K53" s="184"/>
      <c r="L53" s="184"/>
      <c r="M53" s="184">
        <v>-2.5</v>
      </c>
      <c r="N53" s="184"/>
      <c r="O53" s="184"/>
      <c r="P53" s="184"/>
      <c r="Q53" s="180" t="s">
        <v>1049</v>
      </c>
      <c r="R53" s="184"/>
      <c r="S53" s="184"/>
      <c r="T53" s="184"/>
      <c r="AA53" s="21" t="s">
        <v>917</v>
      </c>
      <c r="AB53" s="21">
        <v>47</v>
      </c>
    </row>
    <row r="54" spans="1:28" ht="15" x14ac:dyDescent="0.25">
      <c r="A54" s="224" t="s">
        <v>129</v>
      </c>
      <c r="B54">
        <v>74047</v>
      </c>
      <c r="C54" s="182" t="str">
        <f t="shared" ref="C54:C64" si="8">"PSR_"&amp;G54&amp;IF(L54=0,"_DN_","_UP_")&amp;Q54</f>
        <v>PSR_3323.3_UP_80 km/h</v>
      </c>
      <c r="D54" s="183" t="s">
        <v>1045</v>
      </c>
      <c r="E54" s="183" t="str">
        <f>E53</f>
        <v>MMRBEM_7_DOWN</v>
      </c>
      <c r="F54" s="184"/>
      <c r="G54" s="179">
        <f>G53</f>
        <v>3323.3</v>
      </c>
      <c r="H54" s="185">
        <f t="shared" si="5"/>
        <v>3323.3</v>
      </c>
      <c r="I54" s="230">
        <f>IF("generated"=1, "Path=MMRBEM_7_DOWN, Scaled Offset=3323.3000000000001818989403545856476", 3786.78061404533)</f>
        <v>3786.7806140453299</v>
      </c>
      <c r="J54" s="184"/>
      <c r="K54" s="184"/>
      <c r="L54" s="184">
        <v>1</v>
      </c>
      <c r="M54" s="184">
        <v>2.5</v>
      </c>
      <c r="N54" s="184"/>
      <c r="O54" s="184"/>
      <c r="P54" s="184"/>
      <c r="Q54" s="184" t="str">
        <f>Q51</f>
        <v>80 km/h</v>
      </c>
      <c r="R54" s="184"/>
      <c r="S54" s="184"/>
      <c r="T54" s="184"/>
      <c r="AA54" s="21" t="s">
        <v>917</v>
      </c>
      <c r="AB54" s="21">
        <v>48</v>
      </c>
    </row>
    <row r="55" spans="1:28" ht="15" x14ac:dyDescent="0.25">
      <c r="A55" s="224" t="s">
        <v>129</v>
      </c>
      <c r="B55" s="83">
        <v>74048</v>
      </c>
      <c r="C55" s="176" t="str">
        <f t="shared" si="8"/>
        <v>PSR_3504.04_DN_80 km/h</v>
      </c>
      <c r="D55" s="177" t="s">
        <v>1045</v>
      </c>
      <c r="E55" s="177" t="s">
        <v>188</v>
      </c>
      <c r="F55" s="178"/>
      <c r="G55" s="179">
        <v>3504.04</v>
      </c>
      <c r="H55" s="179">
        <f t="shared" si="5"/>
        <v>3504.04</v>
      </c>
      <c r="I55" s="230">
        <f>IF("generated"=1, "Path=MMRBEM_7_DOWN, Scaled Offset=3504.0399999999999636202119290828705", 3964.56860121296)</f>
        <v>3964.5686012129599</v>
      </c>
      <c r="J55" s="178"/>
      <c r="K55" s="178"/>
      <c r="L55" s="178"/>
      <c r="M55" s="178">
        <v>-2.5</v>
      </c>
      <c r="N55" s="178"/>
      <c r="O55" s="178"/>
      <c r="P55" s="178"/>
      <c r="Q55" s="180" t="s">
        <v>1048</v>
      </c>
      <c r="R55" s="181"/>
      <c r="S55" s="178"/>
      <c r="T55" s="178"/>
      <c r="AA55" s="21" t="s">
        <v>917</v>
      </c>
      <c r="AB55" s="21">
        <v>49</v>
      </c>
    </row>
    <row r="56" spans="1:28" ht="15" x14ac:dyDescent="0.25">
      <c r="A56" s="224" t="s">
        <v>129</v>
      </c>
      <c r="B56">
        <v>74049</v>
      </c>
      <c r="C56" s="176" t="str">
        <f t="shared" si="8"/>
        <v>PSR_3504.04_UP_75 km/h</v>
      </c>
      <c r="D56" s="177" t="s">
        <v>1045</v>
      </c>
      <c r="E56" s="177" t="str">
        <f>E55</f>
        <v>MMRBEM_7_DOWN</v>
      </c>
      <c r="F56" s="178"/>
      <c r="G56" s="179">
        <f>G55</f>
        <v>3504.04</v>
      </c>
      <c r="H56" s="179">
        <f t="shared" si="5"/>
        <v>3504.04</v>
      </c>
      <c r="I56" s="230">
        <f>IF("generated"=1, "Path=MMRBEM_7_DOWN, Scaled Offset=3504.0399999999999636202119290828705", 3964.56860121296)</f>
        <v>3964.5686012129599</v>
      </c>
      <c r="J56" s="178"/>
      <c r="K56" s="178"/>
      <c r="L56" s="178">
        <v>1</v>
      </c>
      <c r="M56" s="178">
        <v>2.5</v>
      </c>
      <c r="N56" s="178"/>
      <c r="O56" s="178"/>
      <c r="P56" s="178"/>
      <c r="Q56" s="178" t="str">
        <f>Q53</f>
        <v>75 km/h</v>
      </c>
      <c r="R56" s="181"/>
      <c r="S56" s="178"/>
      <c r="T56" s="178"/>
      <c r="AA56" s="21" t="s">
        <v>917</v>
      </c>
      <c r="AB56" s="21">
        <v>50</v>
      </c>
    </row>
    <row r="57" spans="1:28" ht="15" x14ac:dyDescent="0.25">
      <c r="A57" s="224" t="s">
        <v>129</v>
      </c>
      <c r="B57" s="83">
        <v>74050</v>
      </c>
      <c r="C57" s="182" t="str">
        <f t="shared" si="8"/>
        <v>PSR_3765.51_DN_80 km/h</v>
      </c>
      <c r="D57" s="183" t="s">
        <v>1045</v>
      </c>
      <c r="E57" s="184" t="s">
        <v>188</v>
      </c>
      <c r="F57" s="184"/>
      <c r="G57" s="179">
        <v>3765.51</v>
      </c>
      <c r="H57" s="185">
        <f t="shared" si="5"/>
        <v>3765.51</v>
      </c>
      <c r="I57" s="230">
        <f>IF("generated"=1, "Path=MMRBEM_7_DOWN, Scaled Offset=3765.5100000000002182787284255027771", 4221.76803135969)</f>
        <v>4221.7680313596902</v>
      </c>
      <c r="J57" s="184"/>
      <c r="K57" s="184"/>
      <c r="L57" s="184"/>
      <c r="M57" s="184">
        <v>-2.5</v>
      </c>
      <c r="N57" s="184"/>
      <c r="O57" s="184"/>
      <c r="P57" s="184"/>
      <c r="Q57" s="180" t="s">
        <v>1048</v>
      </c>
      <c r="R57" s="184"/>
      <c r="S57" s="184"/>
      <c r="T57" s="184"/>
      <c r="AA57" s="21" t="s">
        <v>917</v>
      </c>
      <c r="AB57" s="21">
        <v>51</v>
      </c>
    </row>
    <row r="58" spans="1:28" ht="15" x14ac:dyDescent="0.25">
      <c r="A58" s="224" t="s">
        <v>129</v>
      </c>
      <c r="B58">
        <v>74051</v>
      </c>
      <c r="C58" s="182" t="str">
        <f t="shared" si="8"/>
        <v>PSR_3765.51_UP_80 km/h</v>
      </c>
      <c r="D58" s="183" t="s">
        <v>1045</v>
      </c>
      <c r="E58" s="183" t="str">
        <f>E57</f>
        <v>MMRBEM_7_DOWN</v>
      </c>
      <c r="F58" s="184"/>
      <c r="G58" s="179">
        <f>G57</f>
        <v>3765.51</v>
      </c>
      <c r="H58" s="185">
        <f t="shared" si="5"/>
        <v>3765.51</v>
      </c>
      <c r="I58" s="230">
        <f>IF("generated"=1, "Path=MMRBEM_7_DOWN, Scaled Offset=3765.5100000000002182787284255027771", 4221.76803135969)</f>
        <v>4221.7680313596902</v>
      </c>
      <c r="J58" s="184"/>
      <c r="K58" s="184"/>
      <c r="L58" s="184">
        <v>1</v>
      </c>
      <c r="M58" s="184">
        <v>2.5</v>
      </c>
      <c r="N58" s="184"/>
      <c r="O58" s="184"/>
      <c r="P58" s="184"/>
      <c r="Q58" s="184" t="str">
        <f>Q55</f>
        <v>80 km/h</v>
      </c>
      <c r="R58" s="184"/>
      <c r="S58" s="184"/>
      <c r="T58" s="184"/>
      <c r="AA58" s="21" t="s">
        <v>917</v>
      </c>
      <c r="AB58" s="21">
        <v>52</v>
      </c>
    </row>
    <row r="59" spans="1:28" ht="15" x14ac:dyDescent="0.25">
      <c r="A59" s="224" t="s">
        <v>129</v>
      </c>
      <c r="B59" s="83">
        <v>74052</v>
      </c>
      <c r="C59" s="176" t="str">
        <f t="shared" si="8"/>
        <v>PSR_3851.71_DN_80 km/h</v>
      </c>
      <c r="D59" s="177" t="s">
        <v>1045</v>
      </c>
      <c r="E59" s="177" t="s">
        <v>188</v>
      </c>
      <c r="F59" s="178"/>
      <c r="G59" s="179">
        <v>3851.71</v>
      </c>
      <c r="H59" s="179">
        <f t="shared" si="5"/>
        <v>3851.71</v>
      </c>
      <c r="I59" s="230">
        <f>IF("generated"=1, "Path=MMRBEM_7_DOWN, Scaled Offset=3851.7100000000000363797880709171295", 4306.56013324002)</f>
        <v>4306.5601332400201</v>
      </c>
      <c r="J59" s="178"/>
      <c r="K59" s="178"/>
      <c r="L59" s="178"/>
      <c r="M59" s="178">
        <v>-2.5</v>
      </c>
      <c r="N59" s="178"/>
      <c r="O59" s="178"/>
      <c r="P59" s="178"/>
      <c r="Q59" s="180" t="s">
        <v>1048</v>
      </c>
      <c r="R59" s="181"/>
      <c r="S59" s="178"/>
      <c r="T59" s="178"/>
      <c r="AA59" s="21" t="s">
        <v>917</v>
      </c>
      <c r="AB59" s="21">
        <v>53</v>
      </c>
    </row>
    <row r="60" spans="1:28" ht="15" x14ac:dyDescent="0.25">
      <c r="A60" s="224" t="s">
        <v>129</v>
      </c>
      <c r="B60">
        <v>74053</v>
      </c>
      <c r="C60" s="176" t="str">
        <f t="shared" si="8"/>
        <v>PSR_3851.71_UP_80 km/h</v>
      </c>
      <c r="D60" s="177" t="s">
        <v>1045</v>
      </c>
      <c r="E60" s="177" t="str">
        <f>E59</f>
        <v>MMRBEM_7_DOWN</v>
      </c>
      <c r="F60" s="178"/>
      <c r="G60" s="179">
        <f>G59</f>
        <v>3851.71</v>
      </c>
      <c r="H60" s="179">
        <f t="shared" si="5"/>
        <v>3851.71</v>
      </c>
      <c r="I60" s="230">
        <f>IF("generated"=1, "Path=MMRBEM_7_DOWN, Scaled Offset=3851.7100000000000363797880709171295", 4306.56013324002)</f>
        <v>4306.5601332400201</v>
      </c>
      <c r="J60" s="178"/>
      <c r="K60" s="178"/>
      <c r="L60" s="178">
        <v>1</v>
      </c>
      <c r="M60" s="178">
        <v>2.5</v>
      </c>
      <c r="N60" s="178"/>
      <c r="O60" s="178"/>
      <c r="P60" s="178"/>
      <c r="Q60" s="178" t="str">
        <f>Q57</f>
        <v>80 km/h</v>
      </c>
      <c r="R60" s="181"/>
      <c r="S60" s="178"/>
      <c r="T60" s="178"/>
      <c r="AA60" s="21" t="s">
        <v>917</v>
      </c>
      <c r="AB60" s="21">
        <v>54</v>
      </c>
    </row>
    <row r="61" spans="1:28" ht="15" x14ac:dyDescent="0.25">
      <c r="A61" s="224" t="s">
        <v>129</v>
      </c>
      <c r="B61" s="83">
        <v>74054</v>
      </c>
      <c r="C61" s="182" t="str">
        <f t="shared" si="8"/>
        <v>PSR_3958.11_DN_80 km/h</v>
      </c>
      <c r="D61" s="183" t="s">
        <v>1045</v>
      </c>
      <c r="E61" s="184" t="s">
        <v>188</v>
      </c>
      <c r="F61" s="184"/>
      <c r="G61" s="179">
        <v>3958.11</v>
      </c>
      <c r="H61" s="185">
        <f t="shared" si="5"/>
        <v>3958.11</v>
      </c>
      <c r="I61" s="230">
        <f>IF("generated"=1, "Path=MMRBEM_7_DOWN, Scaled Offset=3958.1100000000001273292582482099533", 4411.22231003893)</f>
        <v>4411.2223100389301</v>
      </c>
      <c r="J61" s="184"/>
      <c r="K61" s="184"/>
      <c r="L61" s="184"/>
      <c r="M61" s="184">
        <v>-2.5</v>
      </c>
      <c r="N61" s="184"/>
      <c r="O61" s="184"/>
      <c r="P61" s="184"/>
      <c r="Q61" s="180" t="s">
        <v>1048</v>
      </c>
      <c r="R61" s="184"/>
      <c r="S61" s="184"/>
      <c r="T61" s="184"/>
      <c r="AA61" s="21" t="s">
        <v>917</v>
      </c>
      <c r="AB61" s="21">
        <v>55</v>
      </c>
    </row>
    <row r="62" spans="1:28" ht="15" x14ac:dyDescent="0.25">
      <c r="A62" s="224" t="s">
        <v>129</v>
      </c>
      <c r="B62">
        <v>74055</v>
      </c>
      <c r="C62" s="182" t="str">
        <f t="shared" si="8"/>
        <v>PSR_3958.11_UP_80 km/h</v>
      </c>
      <c r="D62" s="183" t="s">
        <v>1045</v>
      </c>
      <c r="E62" s="183" t="str">
        <f>E61</f>
        <v>MMRBEM_7_DOWN</v>
      </c>
      <c r="F62" s="184"/>
      <c r="G62" s="179">
        <f>G61</f>
        <v>3958.11</v>
      </c>
      <c r="H62" s="185">
        <f t="shared" si="5"/>
        <v>3958.11</v>
      </c>
      <c r="I62" s="230">
        <f>IF("generated"=1, "Path=MMRBEM_7_DOWN, Scaled Offset=3958.1100000000001273292582482099533", 4411.22231003893)</f>
        <v>4411.2223100389301</v>
      </c>
      <c r="J62" s="184"/>
      <c r="K62" s="184"/>
      <c r="L62" s="184">
        <v>1</v>
      </c>
      <c r="M62" s="184">
        <v>2.5</v>
      </c>
      <c r="N62" s="184"/>
      <c r="O62" s="184"/>
      <c r="P62" s="184"/>
      <c r="Q62" s="184" t="str">
        <f>Q59</f>
        <v>80 km/h</v>
      </c>
      <c r="R62" s="184"/>
      <c r="S62" s="184"/>
      <c r="T62" s="184"/>
      <c r="AA62" s="21" t="s">
        <v>917</v>
      </c>
      <c r="AB62" s="21">
        <v>56</v>
      </c>
    </row>
    <row r="63" spans="1:28" ht="15" x14ac:dyDescent="0.25">
      <c r="A63" s="224" t="s">
        <v>129</v>
      </c>
      <c r="B63" s="83">
        <v>74056</v>
      </c>
      <c r="C63" s="176" t="str">
        <f t="shared" si="8"/>
        <v>PSR_4046.6_DN_80 km/h</v>
      </c>
      <c r="D63" s="177" t="s">
        <v>1045</v>
      </c>
      <c r="E63" s="177" t="s">
        <v>188</v>
      </c>
      <c r="F63" s="178"/>
      <c r="G63" s="179">
        <v>4046.6</v>
      </c>
      <c r="H63" s="179">
        <f t="shared" si="5"/>
        <v>4046.6</v>
      </c>
      <c r="I63" s="230">
        <f>IF("generated"=1, "Path=MMRBEM_7_DOWN, Scaled Offset=4046.5999999999999090505298227071762", 4498.26700952141)</f>
        <v>4498.2670095214098</v>
      </c>
      <c r="J63" s="178"/>
      <c r="K63" s="178"/>
      <c r="L63" s="178"/>
      <c r="M63" s="178">
        <v>-2.5</v>
      </c>
      <c r="N63" s="178"/>
      <c r="O63" s="178"/>
      <c r="P63" s="178"/>
      <c r="Q63" s="180" t="s">
        <v>1048</v>
      </c>
      <c r="R63" s="181"/>
      <c r="S63" s="178"/>
      <c r="T63" s="178"/>
      <c r="AA63" s="21" t="s">
        <v>917</v>
      </c>
      <c r="AB63" s="21">
        <v>57</v>
      </c>
    </row>
    <row r="64" spans="1:28" ht="15" x14ac:dyDescent="0.25">
      <c r="A64" s="224" t="s">
        <v>129</v>
      </c>
      <c r="B64">
        <v>74057</v>
      </c>
      <c r="C64" s="176" t="str">
        <f t="shared" si="8"/>
        <v>PSR_4046.6_UP_80 km/h</v>
      </c>
      <c r="D64" s="177" t="s">
        <v>1045</v>
      </c>
      <c r="E64" s="177" t="str">
        <f>E63</f>
        <v>MMRBEM_7_DOWN</v>
      </c>
      <c r="F64" s="178"/>
      <c r="G64" s="179">
        <f>G63</f>
        <v>4046.6</v>
      </c>
      <c r="H64" s="179">
        <f t="shared" si="5"/>
        <v>4046.6</v>
      </c>
      <c r="I64" s="230">
        <f>IF("generated"=1, "Path=MMRBEM_7_DOWN, Scaled Offset=4046.5999999999999090505298227071762", 4498.26700952141)</f>
        <v>4498.2670095214098</v>
      </c>
      <c r="J64" s="178"/>
      <c r="K64" s="178"/>
      <c r="L64" s="178">
        <v>1</v>
      </c>
      <c r="M64" s="178">
        <v>2.5</v>
      </c>
      <c r="N64" s="178"/>
      <c r="O64" s="178"/>
      <c r="P64" s="178"/>
      <c r="Q64" s="178" t="str">
        <f>Q61</f>
        <v>80 km/h</v>
      </c>
      <c r="R64" s="181"/>
      <c r="S64" s="178"/>
      <c r="T64" s="178"/>
      <c r="AA64" s="21" t="s">
        <v>917</v>
      </c>
      <c r="AB64" s="21">
        <v>58</v>
      </c>
    </row>
    <row r="65" spans="1:28" ht="15" x14ac:dyDescent="0.25">
      <c r="A65" s="224" t="s">
        <v>129</v>
      </c>
      <c r="B65" s="83">
        <v>74058</v>
      </c>
      <c r="C65" s="182" t="str">
        <f>"PSR_"&amp;G65&amp;IF(L65=0,"_DN_","_UP_")&amp;Q65</f>
        <v>PSR_4326.46_DN_80 km/h</v>
      </c>
      <c r="D65" s="183" t="s">
        <v>1045</v>
      </c>
      <c r="E65" s="184" t="s">
        <v>188</v>
      </c>
      <c r="F65" s="184"/>
      <c r="G65" s="179">
        <v>4326.46</v>
      </c>
      <c r="H65" s="185">
        <f t="shared" ref="H65:H112" si="9">G65+F65</f>
        <v>4326.46</v>
      </c>
      <c r="I65" s="230">
        <f>IF("generated"=1, "Path=MMRBEM_7_DOWN, Scaled Offset=4326.4600000000000363797880709171295", 4773.55607718066)</f>
        <v>4773.5560771806604</v>
      </c>
      <c r="J65" s="184"/>
      <c r="K65" s="184"/>
      <c r="L65" s="184"/>
      <c r="M65" s="184">
        <v>-2.5</v>
      </c>
      <c r="N65" s="184"/>
      <c r="O65" s="184"/>
      <c r="P65" s="184"/>
      <c r="Q65" s="180" t="s">
        <v>1048</v>
      </c>
      <c r="R65" s="184"/>
      <c r="S65" s="184"/>
      <c r="T65" s="184"/>
      <c r="AA65" s="21" t="s">
        <v>917</v>
      </c>
      <c r="AB65" s="21">
        <v>59</v>
      </c>
    </row>
    <row r="66" spans="1:28" ht="15" x14ac:dyDescent="0.25">
      <c r="A66" s="224" t="s">
        <v>129</v>
      </c>
      <c r="B66">
        <v>74059</v>
      </c>
      <c r="C66" s="182" t="str">
        <f t="shared" ref="C66:C72" si="10">"PSR_"&amp;G66&amp;IF(L66=0,"_DN_","_UP_")&amp;Q66</f>
        <v>PSR_4326.46_UP_80 km/h</v>
      </c>
      <c r="D66" s="183" t="s">
        <v>1045</v>
      </c>
      <c r="E66" s="183" t="str">
        <f>E65</f>
        <v>MMRBEM_7_DOWN</v>
      </c>
      <c r="F66" s="184"/>
      <c r="G66" s="179">
        <f>G65</f>
        <v>4326.46</v>
      </c>
      <c r="H66" s="185">
        <f t="shared" si="9"/>
        <v>4326.46</v>
      </c>
      <c r="I66" s="230">
        <f>IF("generated"=1, "Path=MMRBEM_7_DOWN, Scaled Offset=4326.4600000000000363797880709171295", 4773.55607718066)</f>
        <v>4773.5560771806604</v>
      </c>
      <c r="J66" s="184"/>
      <c r="K66" s="184"/>
      <c r="L66" s="184">
        <v>1</v>
      </c>
      <c r="M66" s="184">
        <v>2.5</v>
      </c>
      <c r="N66" s="184"/>
      <c r="O66" s="184"/>
      <c r="P66" s="184"/>
      <c r="Q66" s="184" t="str">
        <f>Q63</f>
        <v>80 km/h</v>
      </c>
      <c r="R66" s="184"/>
      <c r="S66" s="184"/>
      <c r="T66" s="184"/>
      <c r="AA66" s="21" t="s">
        <v>917</v>
      </c>
      <c r="AB66" s="21">
        <v>60</v>
      </c>
    </row>
    <row r="67" spans="1:28" ht="15" x14ac:dyDescent="0.25">
      <c r="A67" s="224" t="s">
        <v>129</v>
      </c>
      <c r="B67" s="83">
        <v>74060</v>
      </c>
      <c r="C67" s="176" t="str">
        <f t="shared" si="10"/>
        <v>PSR_4497.17_DN_80 km/h</v>
      </c>
      <c r="D67" s="177" t="s">
        <v>1045</v>
      </c>
      <c r="E67" s="177" t="s">
        <v>188</v>
      </c>
      <c r="F67" s="178"/>
      <c r="G67" s="179">
        <v>4497.17</v>
      </c>
      <c r="H67" s="179">
        <f t="shared" si="9"/>
        <v>4497.17</v>
      </c>
      <c r="I67" s="230">
        <f>IF("generated"=1, "Path=MMRBEM_7_DOWN, Scaled Offset=4497.170000000000072759576141834259", 4941.47788358426)</f>
        <v>4941.4778835842599</v>
      </c>
      <c r="J67" s="178"/>
      <c r="K67" s="178"/>
      <c r="L67" s="178"/>
      <c r="M67" s="178">
        <v>-2.5</v>
      </c>
      <c r="N67" s="178"/>
      <c r="O67" s="178"/>
      <c r="P67" s="178"/>
      <c r="Q67" s="180" t="s">
        <v>1048</v>
      </c>
      <c r="R67" s="181"/>
      <c r="S67" s="178"/>
      <c r="T67" s="178"/>
      <c r="AA67" s="21" t="s">
        <v>917</v>
      </c>
      <c r="AB67" s="21">
        <v>61</v>
      </c>
    </row>
    <row r="68" spans="1:28" ht="15" x14ac:dyDescent="0.25">
      <c r="A68" s="224" t="s">
        <v>129</v>
      </c>
      <c r="B68">
        <v>74061</v>
      </c>
      <c r="C68" s="176" t="str">
        <f t="shared" si="10"/>
        <v>PSR_4497.17_UP_80 km/h</v>
      </c>
      <c r="D68" s="177" t="s">
        <v>1045</v>
      </c>
      <c r="E68" s="177" t="str">
        <f>E67</f>
        <v>MMRBEM_7_DOWN</v>
      </c>
      <c r="F68" s="178"/>
      <c r="G68" s="179">
        <f>G67</f>
        <v>4497.17</v>
      </c>
      <c r="H68" s="179">
        <f t="shared" si="9"/>
        <v>4497.17</v>
      </c>
      <c r="I68" s="230">
        <f>IF("generated"=1, "Path=MMRBEM_7_DOWN, Scaled Offset=4497.170000000000072759576141834259", 4941.47788358426)</f>
        <v>4941.4778835842599</v>
      </c>
      <c r="J68" s="178"/>
      <c r="K68" s="178"/>
      <c r="L68" s="178">
        <v>1</v>
      </c>
      <c r="M68" s="178">
        <v>2.5</v>
      </c>
      <c r="N68" s="178"/>
      <c r="O68" s="178"/>
      <c r="P68" s="178"/>
      <c r="Q68" s="178" t="str">
        <f>Q65</f>
        <v>80 km/h</v>
      </c>
      <c r="R68" s="181"/>
      <c r="S68" s="178"/>
      <c r="T68" s="178"/>
      <c r="AA68" s="21" t="s">
        <v>917</v>
      </c>
      <c r="AB68" s="21">
        <v>62</v>
      </c>
    </row>
    <row r="69" spans="1:28" ht="15" x14ac:dyDescent="0.25">
      <c r="A69" s="224" t="s">
        <v>129</v>
      </c>
      <c r="B69" s="83">
        <v>74062</v>
      </c>
      <c r="C69" s="182" t="str">
        <f t="shared" si="10"/>
        <v>PSR_4544.67_DN_80 km/h</v>
      </c>
      <c r="D69" s="183" t="s">
        <v>1045</v>
      </c>
      <c r="E69" s="184" t="s">
        <v>188</v>
      </c>
      <c r="F69" s="184"/>
      <c r="G69" s="179">
        <v>4544.67</v>
      </c>
      <c r="H69" s="185">
        <f t="shared" si="9"/>
        <v>4544.67</v>
      </c>
      <c r="I69" s="230">
        <f>IF("generated"=1, "Path=MMRBEM_7_DOWN, Scaled Offset=4544.670000000000072759576141834259", 4988.20206965521)</f>
        <v>4988.2020696552099</v>
      </c>
      <c r="J69" s="184"/>
      <c r="K69" s="184"/>
      <c r="L69" s="184"/>
      <c r="M69" s="184">
        <v>-2.5</v>
      </c>
      <c r="N69" s="184"/>
      <c r="O69" s="184"/>
      <c r="P69" s="184"/>
      <c r="Q69" s="180" t="s">
        <v>1048</v>
      </c>
      <c r="R69" s="184"/>
      <c r="S69" s="184"/>
      <c r="T69" s="184"/>
      <c r="AA69" s="21" t="s">
        <v>917</v>
      </c>
      <c r="AB69" s="21">
        <v>63</v>
      </c>
    </row>
    <row r="70" spans="1:28" ht="15" x14ac:dyDescent="0.25">
      <c r="A70" s="224" t="s">
        <v>129</v>
      </c>
      <c r="B70">
        <v>74063</v>
      </c>
      <c r="C70" s="182" t="str">
        <f t="shared" si="10"/>
        <v>PSR_4544.67_UP_80 km/h</v>
      </c>
      <c r="D70" s="183" t="s">
        <v>1045</v>
      </c>
      <c r="E70" s="183" t="str">
        <f>E69</f>
        <v>MMRBEM_7_DOWN</v>
      </c>
      <c r="F70" s="184"/>
      <c r="G70" s="179">
        <f>G69</f>
        <v>4544.67</v>
      </c>
      <c r="H70" s="185">
        <f t="shared" si="9"/>
        <v>4544.67</v>
      </c>
      <c r="I70" s="230">
        <f>IF("generated"=1, "Path=MMRBEM_7_DOWN, Scaled Offset=4544.670000000000072759576141834259", 4988.20206965521)</f>
        <v>4988.2020696552099</v>
      </c>
      <c r="J70" s="184"/>
      <c r="K70" s="184"/>
      <c r="L70" s="184">
        <v>1</v>
      </c>
      <c r="M70" s="184">
        <v>2.5</v>
      </c>
      <c r="N70" s="184"/>
      <c r="O70" s="184"/>
      <c r="P70" s="184"/>
      <c r="Q70" s="184" t="str">
        <f>Q67</f>
        <v>80 km/h</v>
      </c>
      <c r="R70" s="184"/>
      <c r="S70" s="184"/>
      <c r="T70" s="184"/>
      <c r="AA70" s="21" t="s">
        <v>917</v>
      </c>
      <c r="AB70" s="21">
        <v>64</v>
      </c>
    </row>
    <row r="71" spans="1:28" ht="15" x14ac:dyDescent="0.25">
      <c r="A71" s="224" t="s">
        <v>129</v>
      </c>
      <c r="B71" s="83">
        <v>74064</v>
      </c>
      <c r="C71" s="176" t="str">
        <f t="shared" si="10"/>
        <v>PSR_4636.61_DN_80 km/h</v>
      </c>
      <c r="D71" s="177" t="s">
        <v>1045</v>
      </c>
      <c r="E71" s="177" t="s">
        <v>188</v>
      </c>
      <c r="F71" s="178"/>
      <c r="G71" s="179">
        <v>4636.6099999999997</v>
      </c>
      <c r="H71" s="179">
        <f t="shared" si="9"/>
        <v>4636.6099999999997</v>
      </c>
      <c r="I71" s="230">
        <f>IF("generated"=1, "Path=MMRBEM_7_DOWN, Scaled Offset=4636.6099999999996725819073617458344", 5078.64042054705)</f>
        <v>5078.6404205470499</v>
      </c>
      <c r="J71" s="178"/>
      <c r="K71" s="178"/>
      <c r="L71" s="178"/>
      <c r="M71" s="178">
        <v>-2.5</v>
      </c>
      <c r="N71" s="178"/>
      <c r="O71" s="178"/>
      <c r="P71" s="178"/>
      <c r="Q71" s="180" t="s">
        <v>1048</v>
      </c>
      <c r="R71" s="181"/>
      <c r="S71" s="178"/>
      <c r="T71" s="178"/>
      <c r="AA71" s="21" t="s">
        <v>917</v>
      </c>
      <c r="AB71" s="21">
        <v>65</v>
      </c>
    </row>
    <row r="72" spans="1:28" ht="15" x14ac:dyDescent="0.25">
      <c r="A72" s="224" t="s">
        <v>129</v>
      </c>
      <c r="B72">
        <v>74065</v>
      </c>
      <c r="C72" s="176" t="str">
        <f t="shared" si="10"/>
        <v>PSR_4636.61_UP_80 km/h</v>
      </c>
      <c r="D72" s="177" t="s">
        <v>1045</v>
      </c>
      <c r="E72" s="177" t="str">
        <f>E71</f>
        <v>MMRBEM_7_DOWN</v>
      </c>
      <c r="F72" s="178"/>
      <c r="G72" s="179">
        <f>G71</f>
        <v>4636.6099999999997</v>
      </c>
      <c r="H72" s="179">
        <f t="shared" si="9"/>
        <v>4636.6099999999997</v>
      </c>
      <c r="I72" s="230">
        <f>IF("generated"=1, "Path=MMRBEM_7_DOWN, Scaled Offset=4636.6099999999996725819073617458344", 5078.64042054705)</f>
        <v>5078.6404205470499</v>
      </c>
      <c r="J72" s="178"/>
      <c r="K72" s="178"/>
      <c r="L72" s="178">
        <v>1</v>
      </c>
      <c r="M72" s="178">
        <v>2.5</v>
      </c>
      <c r="N72" s="178"/>
      <c r="O72" s="178"/>
      <c r="P72" s="178"/>
      <c r="Q72" s="178" t="str">
        <f>Q69</f>
        <v>80 km/h</v>
      </c>
      <c r="R72" s="181"/>
      <c r="S72" s="178"/>
      <c r="T72" s="178"/>
      <c r="AA72" s="21" t="s">
        <v>917</v>
      </c>
      <c r="AB72" s="21">
        <v>66</v>
      </c>
    </row>
    <row r="73" spans="1:28" ht="15" x14ac:dyDescent="0.25">
      <c r="A73" s="224" t="s">
        <v>129</v>
      </c>
      <c r="B73" s="83">
        <v>74066</v>
      </c>
      <c r="C73" s="182" t="str">
        <f>"PSR_"&amp;G73&amp;IF(L73=0,"_DN_","_UP_")&amp;Q73</f>
        <v>PSR_5063.13_DN_80 km/h</v>
      </c>
      <c r="D73" s="183" t="s">
        <v>1045</v>
      </c>
      <c r="E73" s="184" t="s">
        <v>188</v>
      </c>
      <c r="F73" s="184"/>
      <c r="G73" s="179">
        <v>5063.13</v>
      </c>
      <c r="H73" s="185">
        <f t="shared" si="9"/>
        <v>5063.13</v>
      </c>
      <c r="I73" s="230">
        <f>IF("generated"=1, "Path=MMRBEM_7_DOWN, Scaled Offset=5063.1300000000001091393642127513885", 5498.19410145188)</f>
        <v>5498.1941014518798</v>
      </c>
      <c r="J73" s="184"/>
      <c r="K73" s="184"/>
      <c r="L73" s="184"/>
      <c r="M73" s="184">
        <v>-2.5</v>
      </c>
      <c r="N73" s="184"/>
      <c r="O73" s="184"/>
      <c r="P73" s="184"/>
      <c r="Q73" s="180" t="s">
        <v>1048</v>
      </c>
      <c r="R73" s="184"/>
      <c r="S73" s="184"/>
      <c r="T73" s="184"/>
      <c r="AA73" s="21" t="s">
        <v>917</v>
      </c>
      <c r="AB73" s="21">
        <v>67</v>
      </c>
    </row>
    <row r="74" spans="1:28" ht="15" x14ac:dyDescent="0.25">
      <c r="A74" s="224" t="s">
        <v>129</v>
      </c>
      <c r="B74">
        <v>74067</v>
      </c>
      <c r="C74" s="182" t="str">
        <f t="shared" ref="C74:C82" si="11">"PSR_"&amp;G74&amp;IF(L74=0,"_DN_","_UP_")&amp;Q74</f>
        <v>PSR_5063.13_UP_80 km/h</v>
      </c>
      <c r="D74" s="183" t="s">
        <v>1045</v>
      </c>
      <c r="E74" s="183" t="str">
        <f>E73</f>
        <v>MMRBEM_7_DOWN</v>
      </c>
      <c r="F74" s="184"/>
      <c r="G74" s="179">
        <f>G73</f>
        <v>5063.13</v>
      </c>
      <c r="H74" s="185">
        <f t="shared" si="9"/>
        <v>5063.13</v>
      </c>
      <c r="I74" s="230">
        <f>IF("generated"=1, "Path=MMRBEM_7_DOWN, Scaled Offset=5063.1300000000001091393642127513885", 5498.19410145188)</f>
        <v>5498.1941014518798</v>
      </c>
      <c r="J74" s="184"/>
      <c r="K74" s="184"/>
      <c r="L74" s="184">
        <v>1</v>
      </c>
      <c r="M74" s="184">
        <v>2.5</v>
      </c>
      <c r="N74" s="184"/>
      <c r="O74" s="184"/>
      <c r="P74" s="184"/>
      <c r="Q74" s="184" t="str">
        <f>Q71</f>
        <v>80 km/h</v>
      </c>
      <c r="R74" s="184"/>
      <c r="S74" s="184"/>
      <c r="T74" s="184"/>
      <c r="AA74" s="21" t="s">
        <v>917</v>
      </c>
      <c r="AB74" s="21">
        <v>68</v>
      </c>
    </row>
    <row r="75" spans="1:28" ht="15" x14ac:dyDescent="0.25">
      <c r="A75" s="224" t="s">
        <v>129</v>
      </c>
      <c r="B75" s="83">
        <v>74068</v>
      </c>
      <c r="C75" s="176" t="str">
        <f t="shared" si="11"/>
        <v>PSR_5151.21_DN_80 km/h</v>
      </c>
      <c r="D75" s="177" t="s">
        <v>1045</v>
      </c>
      <c r="E75" s="177" t="s">
        <v>188</v>
      </c>
      <c r="F75" s="178"/>
      <c r="G75" s="179">
        <v>5151.21</v>
      </c>
      <c r="H75" s="179">
        <f t="shared" si="9"/>
        <v>5151.21</v>
      </c>
      <c r="I75" s="230">
        <f>IF("generated"=1, "Path=MMRBEM_7_DOWN, Scaled Offset=5151.2100000000000363797880709171295", 5584.83549743354)</f>
        <v>5584.8354974335398</v>
      </c>
      <c r="J75" s="178"/>
      <c r="K75" s="178"/>
      <c r="L75" s="178"/>
      <c r="M75" s="178">
        <v>-2.5</v>
      </c>
      <c r="N75" s="178"/>
      <c r="O75" s="178"/>
      <c r="P75" s="178"/>
      <c r="Q75" s="180" t="s">
        <v>1048</v>
      </c>
      <c r="R75" s="181"/>
      <c r="S75" s="178"/>
      <c r="T75" s="178"/>
      <c r="AA75" s="21" t="s">
        <v>917</v>
      </c>
      <c r="AB75" s="21">
        <v>69</v>
      </c>
    </row>
    <row r="76" spans="1:28" ht="15" x14ac:dyDescent="0.25">
      <c r="A76" s="224" t="s">
        <v>129</v>
      </c>
      <c r="B76">
        <v>74069</v>
      </c>
      <c r="C76" s="176" t="str">
        <f t="shared" si="11"/>
        <v>PSR_5151.21_UP_80 km/h</v>
      </c>
      <c r="D76" s="177" t="s">
        <v>1045</v>
      </c>
      <c r="E76" s="177" t="str">
        <f>E75</f>
        <v>MMRBEM_7_DOWN</v>
      </c>
      <c r="F76" s="178"/>
      <c r="G76" s="179">
        <f>G75</f>
        <v>5151.21</v>
      </c>
      <c r="H76" s="179">
        <f t="shared" si="9"/>
        <v>5151.21</v>
      </c>
      <c r="I76" s="230">
        <f>IF("generated"=1, "Path=MMRBEM_7_DOWN, Scaled Offset=5151.2100000000000363797880709171295", 5584.83549743354)</f>
        <v>5584.8354974335398</v>
      </c>
      <c r="J76" s="178"/>
      <c r="K76" s="178"/>
      <c r="L76" s="178">
        <v>1</v>
      </c>
      <c r="M76" s="178">
        <v>2.5</v>
      </c>
      <c r="N76" s="178"/>
      <c r="O76" s="178"/>
      <c r="P76" s="178"/>
      <c r="Q76" s="178" t="str">
        <f>Q73</f>
        <v>80 km/h</v>
      </c>
      <c r="R76" s="181"/>
      <c r="S76" s="178"/>
      <c r="T76" s="178"/>
      <c r="AA76" s="21" t="s">
        <v>917</v>
      </c>
      <c r="AB76" s="21">
        <v>70</v>
      </c>
    </row>
    <row r="77" spans="1:28" ht="15" x14ac:dyDescent="0.25">
      <c r="A77" s="224" t="s">
        <v>129</v>
      </c>
      <c r="B77" s="83">
        <v>74070</v>
      </c>
      <c r="C77" s="182" t="str">
        <f t="shared" si="11"/>
        <v>PSR_5545.76_DN_80 km/h</v>
      </c>
      <c r="D77" s="183" t="s">
        <v>1045</v>
      </c>
      <c r="E77" s="184" t="s">
        <v>188</v>
      </c>
      <c r="F77" s="184"/>
      <c r="G77" s="179">
        <v>5545.76</v>
      </c>
      <c r="H77" s="185">
        <f t="shared" si="9"/>
        <v>5545.76</v>
      </c>
      <c r="I77" s="230">
        <f>IF("generated"=1, "Path=MMRBEM_7_DOWN, Scaled Offset=5545.7600000000002182787284255027771", 5972.94134194493)</f>
        <v>5972.9413419449302</v>
      </c>
      <c r="J77" s="184"/>
      <c r="K77" s="184"/>
      <c r="L77" s="184"/>
      <c r="M77" s="184">
        <v>-2.5</v>
      </c>
      <c r="N77" s="184"/>
      <c r="O77" s="184"/>
      <c r="P77" s="184"/>
      <c r="Q77" s="180" t="s">
        <v>1048</v>
      </c>
      <c r="R77" s="184"/>
      <c r="S77" s="184"/>
      <c r="T77" s="184"/>
      <c r="AA77" s="21" t="s">
        <v>917</v>
      </c>
      <c r="AB77" s="21">
        <v>71</v>
      </c>
    </row>
    <row r="78" spans="1:28" ht="15" x14ac:dyDescent="0.25">
      <c r="A78" s="224" t="s">
        <v>129</v>
      </c>
      <c r="B78">
        <v>74071</v>
      </c>
      <c r="C78" s="182" t="str">
        <f t="shared" si="11"/>
        <v>PSR_5545.76_UP_80 km/h</v>
      </c>
      <c r="D78" s="183" t="s">
        <v>1045</v>
      </c>
      <c r="E78" s="183" t="str">
        <f>E77</f>
        <v>MMRBEM_7_DOWN</v>
      </c>
      <c r="F78" s="184"/>
      <c r="G78" s="179">
        <f>G77</f>
        <v>5545.76</v>
      </c>
      <c r="H78" s="185">
        <f t="shared" si="9"/>
        <v>5545.76</v>
      </c>
      <c r="I78" s="230">
        <f>IF("generated"=1, "Path=MMRBEM_7_DOWN, Scaled Offset=5545.7600000000002182787284255027771", 5972.94134194493)</f>
        <v>5972.9413419449302</v>
      </c>
      <c r="J78" s="184"/>
      <c r="K78" s="184"/>
      <c r="L78" s="184">
        <v>1</v>
      </c>
      <c r="M78" s="184">
        <v>2.5</v>
      </c>
      <c r="N78" s="184"/>
      <c r="O78" s="184"/>
      <c r="P78" s="184"/>
      <c r="Q78" s="184" t="str">
        <f>Q75</f>
        <v>80 km/h</v>
      </c>
      <c r="R78" s="184"/>
      <c r="S78" s="184"/>
      <c r="T78" s="184"/>
      <c r="AA78" s="21" t="s">
        <v>917</v>
      </c>
      <c r="AB78" s="21">
        <v>72</v>
      </c>
    </row>
    <row r="79" spans="1:28" ht="15" x14ac:dyDescent="0.25">
      <c r="A79" s="224" t="s">
        <v>129</v>
      </c>
      <c r="B79" s="83">
        <v>74072</v>
      </c>
      <c r="C79" s="176" t="str">
        <f t="shared" si="11"/>
        <v>PSR_5621.34_DN_80 km/h</v>
      </c>
      <c r="D79" s="177" t="s">
        <v>1045</v>
      </c>
      <c r="E79" s="177" t="s">
        <v>188</v>
      </c>
      <c r="F79" s="178"/>
      <c r="G79" s="179">
        <v>5621.34</v>
      </c>
      <c r="H79" s="179">
        <f t="shared" si="9"/>
        <v>5621.34</v>
      </c>
      <c r="I79" s="230">
        <f>IF("generated"=1, "Path=MMRBEM_7_DOWN, Scaled Offset=5621.3400000000001455191522836685181", 6047.28689948686)</f>
        <v>6047.2868994868604</v>
      </c>
      <c r="J79" s="178"/>
      <c r="K79" s="178"/>
      <c r="L79" s="178"/>
      <c r="M79" s="178">
        <v>-2.5</v>
      </c>
      <c r="N79" s="178"/>
      <c r="O79" s="178"/>
      <c r="P79" s="178"/>
      <c r="Q79" s="180" t="s">
        <v>1048</v>
      </c>
      <c r="R79" s="181"/>
      <c r="S79" s="178"/>
      <c r="T79" s="178"/>
      <c r="AA79" s="21" t="s">
        <v>917</v>
      </c>
      <c r="AB79" s="21">
        <v>73</v>
      </c>
    </row>
    <row r="80" spans="1:28" ht="15" x14ac:dyDescent="0.25">
      <c r="A80" s="224" t="s">
        <v>129</v>
      </c>
      <c r="B80">
        <v>74073</v>
      </c>
      <c r="C80" s="176" t="str">
        <f t="shared" si="11"/>
        <v>PSR_5621.34_UP_80 km/h</v>
      </c>
      <c r="D80" s="177" t="s">
        <v>1045</v>
      </c>
      <c r="E80" s="177" t="str">
        <f>E79</f>
        <v>MMRBEM_7_DOWN</v>
      </c>
      <c r="F80" s="178"/>
      <c r="G80" s="179">
        <f>G79</f>
        <v>5621.34</v>
      </c>
      <c r="H80" s="179">
        <f t="shared" si="9"/>
        <v>5621.34</v>
      </c>
      <c r="I80" s="230">
        <f>IF("generated"=1, "Path=MMRBEM_7_DOWN, Scaled Offset=5621.3400000000001455191522836685181", 6047.28689948686)</f>
        <v>6047.2868994868604</v>
      </c>
      <c r="J80" s="178"/>
      <c r="K80" s="178"/>
      <c r="L80" s="178">
        <v>1</v>
      </c>
      <c r="M80" s="178">
        <v>2.5</v>
      </c>
      <c r="N80" s="178"/>
      <c r="O80" s="178"/>
      <c r="P80" s="178"/>
      <c r="Q80" s="178" t="str">
        <f>Q77</f>
        <v>80 km/h</v>
      </c>
      <c r="R80" s="181"/>
      <c r="S80" s="178"/>
      <c r="T80" s="178"/>
      <c r="AA80" s="21" t="s">
        <v>917</v>
      </c>
      <c r="AB80" s="21">
        <v>74</v>
      </c>
    </row>
    <row r="81" spans="1:28" ht="15" x14ac:dyDescent="0.25">
      <c r="A81" s="224" t="s">
        <v>129</v>
      </c>
      <c r="B81" s="83">
        <v>74074</v>
      </c>
      <c r="C81" s="182" t="str">
        <f t="shared" si="11"/>
        <v>PSR_5810.42_DN_80 km/h</v>
      </c>
      <c r="D81" s="183" t="s">
        <v>1045</v>
      </c>
      <c r="E81" s="184" t="s">
        <v>188</v>
      </c>
      <c r="F81" s="184"/>
      <c r="G81" s="179">
        <v>5810.42</v>
      </c>
      <c r="H81" s="185">
        <f t="shared" si="9"/>
        <v>5810.42</v>
      </c>
      <c r="I81" s="230">
        <f>IF("generated"=1, "Path=MMRBEM_7_DOWN, Scaled Offset=5810.420000000000072759576141834259", 6233.27867006148)</f>
        <v>6233.2786700614797</v>
      </c>
      <c r="J81" s="184"/>
      <c r="K81" s="184"/>
      <c r="L81" s="184"/>
      <c r="M81" s="184">
        <v>-2.5</v>
      </c>
      <c r="N81" s="184"/>
      <c r="O81" s="184"/>
      <c r="P81" s="184"/>
      <c r="Q81" s="180" t="s">
        <v>1048</v>
      </c>
      <c r="R81" s="184"/>
      <c r="S81" s="184"/>
      <c r="T81" s="184"/>
      <c r="AA81" s="21" t="s">
        <v>917</v>
      </c>
      <c r="AB81" s="21">
        <v>75</v>
      </c>
    </row>
    <row r="82" spans="1:28" ht="15" x14ac:dyDescent="0.25">
      <c r="A82" s="224" t="s">
        <v>129</v>
      </c>
      <c r="B82">
        <v>74075</v>
      </c>
      <c r="C82" s="182" t="str">
        <f t="shared" si="11"/>
        <v>PSR_5810.42_UP_80 km/h</v>
      </c>
      <c r="D82" s="183" t="s">
        <v>1045</v>
      </c>
      <c r="E82" s="183" t="str">
        <f>E81</f>
        <v>MMRBEM_7_DOWN</v>
      </c>
      <c r="F82" s="184"/>
      <c r="G82" s="179">
        <f>G81</f>
        <v>5810.42</v>
      </c>
      <c r="H82" s="185">
        <f t="shared" si="9"/>
        <v>5810.42</v>
      </c>
      <c r="I82" s="230">
        <f>IF("generated"=1, "Path=MMRBEM_7_DOWN, Scaled Offset=5810.420000000000072759576141834259", 6233.27867006148)</f>
        <v>6233.2786700614797</v>
      </c>
      <c r="J82" s="184"/>
      <c r="K82" s="184"/>
      <c r="L82" s="184">
        <v>1</v>
      </c>
      <c r="M82" s="184">
        <v>2.5</v>
      </c>
      <c r="N82" s="184"/>
      <c r="O82" s="184"/>
      <c r="P82" s="184"/>
      <c r="Q82" s="184" t="str">
        <f>Q79</f>
        <v>80 km/h</v>
      </c>
      <c r="R82" s="184"/>
      <c r="S82" s="184"/>
      <c r="T82" s="184"/>
      <c r="AA82" s="21" t="s">
        <v>917</v>
      </c>
      <c r="AB82" s="21">
        <v>76</v>
      </c>
    </row>
    <row r="83" spans="1:28" ht="15" x14ac:dyDescent="0.25">
      <c r="A83" s="224" t="s">
        <v>129</v>
      </c>
      <c r="B83" s="83">
        <v>74076</v>
      </c>
      <c r="C83" s="176" t="str">
        <f>"PSR_"&amp;G83&amp;IF(L83=0,"_DN_","_UP_")&amp;Q83</f>
        <v>PSR_5885.84_DN_80 km/h</v>
      </c>
      <c r="D83" s="177" t="s">
        <v>1045</v>
      </c>
      <c r="E83" s="177" t="s">
        <v>188</v>
      </c>
      <c r="F83" s="178"/>
      <c r="G83" s="179">
        <v>5885.84</v>
      </c>
      <c r="H83" s="179">
        <f t="shared" si="9"/>
        <v>5885.84</v>
      </c>
      <c r="I83" s="230">
        <f>IF("generated"=1, "Path=MMRBEM_7_DOWN, Scaled Offset=5885.8400000000001455191522836685181", 6307.46684087139)</f>
        <v>6307.4668408713896</v>
      </c>
      <c r="J83" s="178"/>
      <c r="K83" s="178"/>
      <c r="L83" s="178"/>
      <c r="M83" s="178">
        <v>-2.5</v>
      </c>
      <c r="N83" s="178"/>
      <c r="O83" s="178"/>
      <c r="P83" s="178"/>
      <c r="Q83" s="180" t="s">
        <v>1048</v>
      </c>
      <c r="R83" s="181"/>
      <c r="S83" s="178"/>
      <c r="T83" s="178"/>
      <c r="AA83" s="21" t="s">
        <v>917</v>
      </c>
      <c r="AB83" s="21">
        <v>77</v>
      </c>
    </row>
    <row r="84" spans="1:28" ht="15" x14ac:dyDescent="0.25">
      <c r="A84" s="224" t="s">
        <v>129</v>
      </c>
      <c r="B84">
        <v>74077</v>
      </c>
      <c r="C84" s="176" t="str">
        <f t="shared" ref="C84:C90" si="12">"PSR_"&amp;G84&amp;IF(L84=0,"_DN_","_UP_")&amp;Q84</f>
        <v>PSR_5885.84_UP_80 km/h</v>
      </c>
      <c r="D84" s="177" t="s">
        <v>1045</v>
      </c>
      <c r="E84" s="177" t="str">
        <f>E83</f>
        <v>MMRBEM_7_DOWN</v>
      </c>
      <c r="F84" s="178"/>
      <c r="G84" s="179">
        <f>G83</f>
        <v>5885.84</v>
      </c>
      <c r="H84" s="179">
        <f t="shared" si="9"/>
        <v>5885.84</v>
      </c>
      <c r="I84" s="230">
        <f>IF("generated"=1, "Path=MMRBEM_7_DOWN, Scaled Offset=5885.8400000000001455191522836685181", 6307.46684087139)</f>
        <v>6307.4668408713896</v>
      </c>
      <c r="J84" s="178"/>
      <c r="K84" s="178"/>
      <c r="L84" s="178">
        <v>1</v>
      </c>
      <c r="M84" s="178">
        <v>2.5</v>
      </c>
      <c r="N84" s="178"/>
      <c r="O84" s="178"/>
      <c r="P84" s="178"/>
      <c r="Q84" s="178" t="str">
        <f>Q81</f>
        <v>80 km/h</v>
      </c>
      <c r="R84" s="181"/>
      <c r="S84" s="178"/>
      <c r="T84" s="178"/>
      <c r="AA84" s="21" t="s">
        <v>917</v>
      </c>
      <c r="AB84" s="21">
        <v>78</v>
      </c>
    </row>
    <row r="85" spans="1:28" ht="15" x14ac:dyDescent="0.25">
      <c r="A85" s="224" t="s">
        <v>129</v>
      </c>
      <c r="B85" s="83">
        <v>74078</v>
      </c>
      <c r="C85" s="182" t="str">
        <f t="shared" si="12"/>
        <v>PSR_6342.44_DN_80 km/h</v>
      </c>
      <c r="D85" s="183" t="s">
        <v>1045</v>
      </c>
      <c r="E85" s="184" t="s">
        <v>188</v>
      </c>
      <c r="F85" s="184"/>
      <c r="G85" s="179">
        <v>6342.44</v>
      </c>
      <c r="H85" s="185">
        <f t="shared" si="9"/>
        <v>6342.44</v>
      </c>
      <c r="I85" s="230">
        <f>IF("generated"=1, "Path=MMRBEM_7_DOWN, Scaled Offset=6342.4399999999995998223312199115753", 6759.2639450245)</f>
        <v>6759.2639450244997</v>
      </c>
      <c r="J85" s="184"/>
      <c r="K85" s="184"/>
      <c r="L85" s="184"/>
      <c r="M85" s="184">
        <v>-2.5</v>
      </c>
      <c r="N85" s="184"/>
      <c r="O85" s="184"/>
      <c r="P85" s="184"/>
      <c r="Q85" s="180" t="s">
        <v>1048</v>
      </c>
      <c r="R85" s="184"/>
      <c r="S85" s="184"/>
      <c r="T85" s="184"/>
      <c r="AA85" s="21" t="s">
        <v>917</v>
      </c>
      <c r="AB85" s="21">
        <v>79</v>
      </c>
    </row>
    <row r="86" spans="1:28" ht="15" x14ac:dyDescent="0.25">
      <c r="A86" s="224" t="s">
        <v>129</v>
      </c>
      <c r="B86">
        <v>74079</v>
      </c>
      <c r="C86" s="182" t="str">
        <f t="shared" si="12"/>
        <v>PSR_6342.44_UP_80 km/h</v>
      </c>
      <c r="D86" s="183" t="s">
        <v>1045</v>
      </c>
      <c r="E86" s="183" t="str">
        <f>E85</f>
        <v>MMRBEM_7_DOWN</v>
      </c>
      <c r="F86" s="184"/>
      <c r="G86" s="179">
        <f>G85</f>
        <v>6342.44</v>
      </c>
      <c r="H86" s="185">
        <f t="shared" si="9"/>
        <v>6342.44</v>
      </c>
      <c r="I86" s="230">
        <f>IF("generated"=1, "Path=MMRBEM_7_DOWN, Scaled Offset=6342.4399999999995998223312199115753", 6759.2639450245)</f>
        <v>6759.2639450244997</v>
      </c>
      <c r="J86" s="184"/>
      <c r="K86" s="184"/>
      <c r="L86" s="184">
        <v>1</v>
      </c>
      <c r="M86" s="184">
        <v>2.5</v>
      </c>
      <c r="N86" s="184"/>
      <c r="O86" s="184"/>
      <c r="P86" s="184"/>
      <c r="Q86" s="184" t="str">
        <f>Q83</f>
        <v>80 km/h</v>
      </c>
      <c r="R86" s="184"/>
      <c r="S86" s="184"/>
      <c r="T86" s="184"/>
      <c r="AA86" s="21" t="s">
        <v>917</v>
      </c>
      <c r="AB86" s="21">
        <v>80</v>
      </c>
    </row>
    <row r="87" spans="1:28" ht="15" x14ac:dyDescent="0.25">
      <c r="A87" s="224" t="s">
        <v>129</v>
      </c>
      <c r="B87" s="83">
        <v>74080</v>
      </c>
      <c r="C87" s="176" t="str">
        <f t="shared" si="12"/>
        <v>PSR_6418.33_DN_80 km/h</v>
      </c>
      <c r="D87" s="177" t="s">
        <v>1045</v>
      </c>
      <c r="E87" s="177" t="s">
        <v>188</v>
      </c>
      <c r="F87" s="178"/>
      <c r="G87" s="179">
        <v>6418.33</v>
      </c>
      <c r="H87" s="179">
        <f t="shared" si="9"/>
        <v>6418.33</v>
      </c>
      <c r="I87" s="230">
        <f>IF("generated"=1, "Path=MMRBEM_7_DOWN, Scaled Offset=6418.329999999999927240423858165741", 6835.05897472625)</f>
        <v>6835.0589747262502</v>
      </c>
      <c r="J87" s="178"/>
      <c r="K87" s="178"/>
      <c r="L87" s="178"/>
      <c r="M87" s="178">
        <v>-2.5</v>
      </c>
      <c r="N87" s="178"/>
      <c r="O87" s="178"/>
      <c r="P87" s="178"/>
      <c r="Q87" s="180" t="s">
        <v>1048</v>
      </c>
      <c r="R87" s="181"/>
      <c r="S87" s="178"/>
      <c r="T87" s="178"/>
      <c r="AA87" s="21" t="s">
        <v>917</v>
      </c>
      <c r="AB87" s="21">
        <v>81</v>
      </c>
    </row>
    <row r="88" spans="1:28" ht="15" x14ac:dyDescent="0.25">
      <c r="A88" s="224" t="s">
        <v>129</v>
      </c>
      <c r="B88">
        <v>74081</v>
      </c>
      <c r="C88" s="176" t="str">
        <f t="shared" si="12"/>
        <v>PSR_6418.33_UP_80 km/h</v>
      </c>
      <c r="D88" s="177" t="s">
        <v>1045</v>
      </c>
      <c r="E88" s="177" t="str">
        <f>E87</f>
        <v>MMRBEM_7_DOWN</v>
      </c>
      <c r="F88" s="178"/>
      <c r="G88" s="179">
        <f>G87</f>
        <v>6418.33</v>
      </c>
      <c r="H88" s="179">
        <f t="shared" si="9"/>
        <v>6418.33</v>
      </c>
      <c r="I88" s="230">
        <f>IF("generated"=1, "Path=MMRBEM_7_DOWN, Scaled Offset=6418.329999999999927240423858165741", 6835.05897472625)</f>
        <v>6835.0589747262502</v>
      </c>
      <c r="J88" s="178"/>
      <c r="K88" s="178"/>
      <c r="L88" s="178">
        <v>1</v>
      </c>
      <c r="M88" s="178">
        <v>2.5</v>
      </c>
      <c r="N88" s="178"/>
      <c r="O88" s="178"/>
      <c r="P88" s="178"/>
      <c r="Q88" s="178" t="str">
        <f>Q85</f>
        <v>80 km/h</v>
      </c>
      <c r="R88" s="181"/>
      <c r="S88" s="178"/>
      <c r="T88" s="178"/>
      <c r="AA88" s="21" t="s">
        <v>917</v>
      </c>
      <c r="AB88" s="21">
        <v>82</v>
      </c>
    </row>
    <row r="89" spans="1:28" ht="15" x14ac:dyDescent="0.25">
      <c r="A89" s="224" t="s">
        <v>129</v>
      </c>
      <c r="B89" s="83">
        <v>74082</v>
      </c>
      <c r="C89" s="182" t="str">
        <f t="shared" si="12"/>
        <v>PSR_6589.36_DN_55 km/h</v>
      </c>
      <c r="D89" s="183" t="s">
        <v>1045</v>
      </c>
      <c r="E89" s="184" t="s">
        <v>188</v>
      </c>
      <c r="F89" s="184"/>
      <c r="G89" s="179">
        <v>6589.36</v>
      </c>
      <c r="H89" s="185">
        <f t="shared" si="9"/>
        <v>6589.36</v>
      </c>
      <c r="I89" s="230">
        <f>IF("generated"=1, "Path=MMRBEM_7_DOWN, Scaled Offset=6589.3599999999996725819073617458344", 7005.87494428602)</f>
        <v>7005.8749442860199</v>
      </c>
      <c r="J89" s="184"/>
      <c r="K89" s="184"/>
      <c r="L89" s="184"/>
      <c r="M89" s="184">
        <v>-2.5</v>
      </c>
      <c r="N89" s="184"/>
      <c r="O89" s="184"/>
      <c r="P89" s="184"/>
      <c r="Q89" s="180" t="s">
        <v>1050</v>
      </c>
      <c r="R89" s="184"/>
      <c r="S89" s="184"/>
      <c r="T89" s="184"/>
      <c r="AA89" s="21" t="s">
        <v>917</v>
      </c>
      <c r="AB89" s="21">
        <v>83</v>
      </c>
    </row>
    <row r="90" spans="1:28" ht="15" x14ac:dyDescent="0.25">
      <c r="A90" s="224" t="s">
        <v>129</v>
      </c>
      <c r="B90">
        <v>74083</v>
      </c>
      <c r="C90" s="182" t="str">
        <f t="shared" si="12"/>
        <v>PSR_6589.36_UP_80 km/h</v>
      </c>
      <c r="D90" s="183" t="s">
        <v>1045</v>
      </c>
      <c r="E90" s="183" t="str">
        <f>E89</f>
        <v>MMRBEM_7_DOWN</v>
      </c>
      <c r="F90" s="184"/>
      <c r="G90" s="179">
        <f>G89</f>
        <v>6589.36</v>
      </c>
      <c r="H90" s="185">
        <f t="shared" si="9"/>
        <v>6589.36</v>
      </c>
      <c r="I90" s="230">
        <f>IF("generated"=1, "Path=MMRBEM_7_DOWN, Scaled Offset=6589.3599999999996725819073617458344", 7005.87494428602)</f>
        <v>7005.8749442860199</v>
      </c>
      <c r="J90" s="184"/>
      <c r="K90" s="184"/>
      <c r="L90" s="184">
        <v>1</v>
      </c>
      <c r="M90" s="184">
        <v>2.5</v>
      </c>
      <c r="N90" s="184"/>
      <c r="O90" s="184"/>
      <c r="P90" s="184"/>
      <c r="Q90" s="184" t="str">
        <f>Q87</f>
        <v>80 km/h</v>
      </c>
      <c r="R90" s="184"/>
      <c r="S90" s="184"/>
      <c r="T90" s="184"/>
      <c r="AA90" s="21" t="s">
        <v>917</v>
      </c>
      <c r="AB90" s="21">
        <v>84</v>
      </c>
    </row>
    <row r="91" spans="1:28" ht="15" x14ac:dyDescent="0.25">
      <c r="A91" s="224" t="s">
        <v>129</v>
      </c>
      <c r="B91" s="83">
        <v>74084</v>
      </c>
      <c r="C91" s="176" t="str">
        <f>"PSR_"&amp;G91&amp;IF(L91=0,"_DN_","_UP_")&amp;Q91</f>
        <v>PSR_6867.01_DN_80 km/h</v>
      </c>
      <c r="D91" s="177" t="s">
        <v>1045</v>
      </c>
      <c r="E91" s="177" t="s">
        <v>188</v>
      </c>
      <c r="F91" s="178"/>
      <c r="G91" s="179">
        <v>6867.01</v>
      </c>
      <c r="H91" s="179">
        <f t="shared" si="9"/>
        <v>6867.01</v>
      </c>
      <c r="I91" s="230">
        <f>IF("generated"=1, "Path=MMRBEM_7_DOWN, Scaled Offset=6867.0100000000002182787284255027771", 7283.177487397)</f>
        <v>7283.1774873969998</v>
      </c>
      <c r="J91" s="178"/>
      <c r="K91" s="178"/>
      <c r="L91" s="178"/>
      <c r="M91" s="178">
        <v>-2.5</v>
      </c>
      <c r="N91" s="178"/>
      <c r="O91" s="178"/>
      <c r="P91" s="178"/>
      <c r="Q91" s="180" t="s">
        <v>1048</v>
      </c>
      <c r="R91" s="181"/>
      <c r="S91" s="178"/>
      <c r="T91" s="178"/>
      <c r="AA91" s="21" t="s">
        <v>917</v>
      </c>
      <c r="AB91" s="21">
        <v>85</v>
      </c>
    </row>
    <row r="92" spans="1:28" ht="15" x14ac:dyDescent="0.25">
      <c r="A92" s="224" t="s">
        <v>129</v>
      </c>
      <c r="B92">
        <v>74085</v>
      </c>
      <c r="C92" s="176" t="str">
        <f t="shared" ref="C92:C100" si="13">"PSR_"&amp;G92&amp;IF(L92=0,"_DN_","_UP_")&amp;Q92</f>
        <v>PSR_6867.01_UP_55 km/h</v>
      </c>
      <c r="D92" s="177" t="s">
        <v>1045</v>
      </c>
      <c r="E92" s="177" t="str">
        <f>E91</f>
        <v>MMRBEM_7_DOWN</v>
      </c>
      <c r="F92" s="178"/>
      <c r="G92" s="179">
        <f>G91</f>
        <v>6867.01</v>
      </c>
      <c r="H92" s="179">
        <f t="shared" si="9"/>
        <v>6867.01</v>
      </c>
      <c r="I92" s="230">
        <f>IF("generated"=1, "Path=MMRBEM_7_DOWN, Scaled Offset=6867.0100000000002182787284255027771", 7283.177487397)</f>
        <v>7283.1774873969998</v>
      </c>
      <c r="J92" s="178"/>
      <c r="K92" s="178"/>
      <c r="L92" s="178">
        <v>1</v>
      </c>
      <c r="M92" s="178">
        <v>2.5</v>
      </c>
      <c r="N92" s="178"/>
      <c r="O92" s="178"/>
      <c r="P92" s="178"/>
      <c r="Q92" s="178" t="str">
        <f>Q89</f>
        <v>55 km/h</v>
      </c>
      <c r="R92" s="181"/>
      <c r="S92" s="178"/>
      <c r="T92" s="178"/>
      <c r="AA92" s="21" t="s">
        <v>917</v>
      </c>
      <c r="AB92" s="21">
        <v>86</v>
      </c>
    </row>
    <row r="93" spans="1:28" ht="15" x14ac:dyDescent="0.25">
      <c r="A93" s="224" t="s">
        <v>129</v>
      </c>
      <c r="B93" s="83">
        <v>74086</v>
      </c>
      <c r="C93" s="182" t="str">
        <f t="shared" si="13"/>
        <v>PSR_6997.65_DN_55 km/h</v>
      </c>
      <c r="D93" s="183" t="s">
        <v>1045</v>
      </c>
      <c r="E93" s="184" t="s">
        <v>188</v>
      </c>
      <c r="F93" s="184"/>
      <c r="G93" s="179">
        <v>6997.65</v>
      </c>
      <c r="H93" s="185">
        <f t="shared" si="9"/>
        <v>6997.65</v>
      </c>
      <c r="I93" s="230">
        <f>IF("generated"=1, "Path=MMRBEM_7_DOWN, Scaled Offset=6997.6499999999996362021192908287048", 7413.6540018289)</f>
        <v>7413.6540018288997</v>
      </c>
      <c r="J93" s="184"/>
      <c r="K93" s="184"/>
      <c r="L93" s="184"/>
      <c r="M93" s="184">
        <v>-2.5</v>
      </c>
      <c r="N93" s="184"/>
      <c r="O93" s="184"/>
      <c r="P93" s="184"/>
      <c r="Q93" s="180" t="s">
        <v>1050</v>
      </c>
      <c r="R93" s="184"/>
      <c r="S93" s="184"/>
      <c r="T93" s="184"/>
      <c r="AA93" s="21" t="s">
        <v>917</v>
      </c>
      <c r="AB93" s="21">
        <v>87</v>
      </c>
    </row>
    <row r="94" spans="1:28" ht="15" x14ac:dyDescent="0.25">
      <c r="A94" s="224" t="s">
        <v>129</v>
      </c>
      <c r="B94">
        <v>74087</v>
      </c>
      <c r="C94" s="182" t="str">
        <f t="shared" si="13"/>
        <v>PSR_6997.65_UP_80 km/h</v>
      </c>
      <c r="D94" s="183" t="s">
        <v>1045</v>
      </c>
      <c r="E94" s="183" t="str">
        <f>E93</f>
        <v>MMRBEM_7_DOWN</v>
      </c>
      <c r="F94" s="184"/>
      <c r="G94" s="179">
        <f>G93</f>
        <v>6997.65</v>
      </c>
      <c r="H94" s="185">
        <f t="shared" si="9"/>
        <v>6997.65</v>
      </c>
      <c r="I94" s="230">
        <f>IF("generated"=1, "Path=MMRBEM_7_DOWN, Scaled Offset=6997.6499999999996362021192908287048", 7413.6540018289)</f>
        <v>7413.6540018288997</v>
      </c>
      <c r="J94" s="184"/>
      <c r="K94" s="184"/>
      <c r="L94" s="184">
        <v>1</v>
      </c>
      <c r="M94" s="184">
        <v>2.5</v>
      </c>
      <c r="N94" s="184"/>
      <c r="O94" s="184"/>
      <c r="P94" s="184"/>
      <c r="Q94" s="184" t="str">
        <f>Q91</f>
        <v>80 km/h</v>
      </c>
      <c r="R94" s="184"/>
      <c r="S94" s="184"/>
      <c r="T94" s="184"/>
      <c r="AA94" s="21" t="s">
        <v>917</v>
      </c>
      <c r="AB94" s="21">
        <v>88</v>
      </c>
    </row>
    <row r="95" spans="1:28" ht="15" x14ac:dyDescent="0.25">
      <c r="A95" s="224" t="s">
        <v>129</v>
      </c>
      <c r="B95" s="83">
        <v>74088</v>
      </c>
      <c r="C95" s="176" t="str">
        <f t="shared" si="13"/>
        <v>PSR_7176.37_DN_80 km/h</v>
      </c>
      <c r="D95" s="177" t="s">
        <v>1045</v>
      </c>
      <c r="E95" s="177" t="s">
        <v>188</v>
      </c>
      <c r="F95" s="178"/>
      <c r="G95" s="179">
        <v>7176.37</v>
      </c>
      <c r="H95" s="179">
        <f t="shared" si="9"/>
        <v>7176.37</v>
      </c>
      <c r="I95" s="230">
        <f>IF("generated"=1, "Path=MMRBEM_7_DOWN, Scaled Offset=7176.3699999999998908606357872486115", 7592.15034796539)</f>
        <v>7592.1503479653902</v>
      </c>
      <c r="J95" s="178"/>
      <c r="K95" s="178"/>
      <c r="L95" s="178"/>
      <c r="M95" s="178">
        <v>-2.5</v>
      </c>
      <c r="N95" s="178"/>
      <c r="O95" s="178"/>
      <c r="P95" s="178"/>
      <c r="Q95" s="180" t="s">
        <v>1048</v>
      </c>
      <c r="R95" s="181"/>
      <c r="S95" s="178"/>
      <c r="T95" s="178"/>
      <c r="AA95" s="21" t="s">
        <v>917</v>
      </c>
      <c r="AB95" s="21">
        <v>89</v>
      </c>
    </row>
    <row r="96" spans="1:28" ht="15" x14ac:dyDescent="0.25">
      <c r="A96" s="224" t="s">
        <v>129</v>
      </c>
      <c r="B96">
        <v>74089</v>
      </c>
      <c r="C96" s="176" t="str">
        <f t="shared" si="13"/>
        <v>PSR_7176.37_UP_55 km/h</v>
      </c>
      <c r="D96" s="177" t="s">
        <v>1045</v>
      </c>
      <c r="E96" s="177" t="str">
        <f>E95</f>
        <v>MMRBEM_7_DOWN</v>
      </c>
      <c r="F96" s="178"/>
      <c r="G96" s="179">
        <f>G95</f>
        <v>7176.37</v>
      </c>
      <c r="H96" s="179">
        <f t="shared" si="9"/>
        <v>7176.37</v>
      </c>
      <c r="I96" s="230">
        <f>IF("generated"=1, "Path=MMRBEM_7_DOWN, Scaled Offset=7176.3699999999998908606357872486115", 7592.15034796539)</f>
        <v>7592.1503479653902</v>
      </c>
      <c r="J96" s="178"/>
      <c r="K96" s="178"/>
      <c r="L96" s="178">
        <v>1</v>
      </c>
      <c r="M96" s="178">
        <v>2.5</v>
      </c>
      <c r="N96" s="178"/>
      <c r="O96" s="178"/>
      <c r="P96" s="178"/>
      <c r="Q96" s="178" t="str">
        <f>Q93</f>
        <v>55 km/h</v>
      </c>
      <c r="R96" s="181"/>
      <c r="S96" s="178"/>
      <c r="T96" s="178"/>
      <c r="AA96" s="21" t="s">
        <v>917</v>
      </c>
      <c r="AB96" s="21">
        <v>90</v>
      </c>
    </row>
    <row r="97" spans="1:28" ht="15" x14ac:dyDescent="0.25">
      <c r="A97" s="224" t="s">
        <v>129</v>
      </c>
      <c r="B97" s="83">
        <v>74090</v>
      </c>
      <c r="C97" s="182" t="str">
        <f t="shared" si="13"/>
        <v>PSR_7366.1_DN_75 km/h</v>
      </c>
      <c r="D97" s="183" t="s">
        <v>1045</v>
      </c>
      <c r="E97" s="184" t="s">
        <v>188</v>
      </c>
      <c r="F97" s="184"/>
      <c r="G97" s="179">
        <v>7366.1</v>
      </c>
      <c r="H97" s="185">
        <f t="shared" si="9"/>
        <v>7366.1</v>
      </c>
      <c r="I97" s="230">
        <f>IF("generated"=1, "Path=MMRBEM_7_DOWN, Scaled Offset=7366.1000000000003637978807091712952", 7781.64291596267)</f>
        <v>7781.6429159626696</v>
      </c>
      <c r="J97" s="184"/>
      <c r="K97" s="184"/>
      <c r="L97" s="184"/>
      <c r="M97" s="184">
        <v>-2.5</v>
      </c>
      <c r="N97" s="184"/>
      <c r="O97" s="184"/>
      <c r="P97" s="184"/>
      <c r="Q97" s="180" t="s">
        <v>1049</v>
      </c>
      <c r="R97" s="184"/>
      <c r="S97" s="184"/>
      <c r="T97" s="184"/>
      <c r="AA97" s="21" t="s">
        <v>917</v>
      </c>
      <c r="AB97" s="21">
        <v>91</v>
      </c>
    </row>
    <row r="98" spans="1:28" ht="15" x14ac:dyDescent="0.25">
      <c r="A98" s="224" t="s">
        <v>129</v>
      </c>
      <c r="B98">
        <v>74091</v>
      </c>
      <c r="C98" s="182" t="str">
        <f t="shared" si="13"/>
        <v>PSR_7366.1_UP_80 km/h</v>
      </c>
      <c r="D98" s="183" t="s">
        <v>1045</v>
      </c>
      <c r="E98" s="183" t="str">
        <f>E97</f>
        <v>MMRBEM_7_DOWN</v>
      </c>
      <c r="F98" s="184"/>
      <c r="G98" s="179">
        <f>G97</f>
        <v>7366.1</v>
      </c>
      <c r="H98" s="185">
        <f t="shared" si="9"/>
        <v>7366.1</v>
      </c>
      <c r="I98" s="230">
        <f>IF("generated"=1, "Path=MMRBEM_7_DOWN, Scaled Offset=7366.1000000000003637978807091712952", 7781.64291596267)</f>
        <v>7781.6429159626696</v>
      </c>
      <c r="J98" s="184"/>
      <c r="K98" s="184"/>
      <c r="L98" s="184">
        <v>1</v>
      </c>
      <c r="M98" s="184">
        <v>2.5</v>
      </c>
      <c r="N98" s="184"/>
      <c r="O98" s="184"/>
      <c r="P98" s="184"/>
      <c r="Q98" s="184" t="str">
        <f>Q95</f>
        <v>80 km/h</v>
      </c>
      <c r="R98" s="184"/>
      <c r="S98" s="184"/>
      <c r="T98" s="184"/>
      <c r="AA98" s="21" t="s">
        <v>917</v>
      </c>
      <c r="AB98" s="21">
        <v>92</v>
      </c>
    </row>
    <row r="99" spans="1:28" ht="15" x14ac:dyDescent="0.25">
      <c r="A99" s="224" t="s">
        <v>129</v>
      </c>
      <c r="B99" s="83">
        <v>74092</v>
      </c>
      <c r="C99" s="176" t="str">
        <f t="shared" si="13"/>
        <v>PSR_7464.71_DN_80 km/h</v>
      </c>
      <c r="D99" s="177" t="s">
        <v>1045</v>
      </c>
      <c r="E99" s="177" t="s">
        <v>188</v>
      </c>
      <c r="F99" s="178"/>
      <c r="G99" s="179">
        <v>7464.71</v>
      </c>
      <c r="H99" s="179">
        <f t="shared" si="9"/>
        <v>7464.71</v>
      </c>
      <c r="I99" s="230">
        <f>IF("generated"=1, "Path=MMRBEM_7_DOWN, Scaled Offset=7464.7100000000000363797880709171295", 7880.12951339171)</f>
        <v>7880.1295133917101</v>
      </c>
      <c r="J99" s="178"/>
      <c r="K99" s="178"/>
      <c r="L99" s="178"/>
      <c r="M99" s="178">
        <v>-2.5</v>
      </c>
      <c r="N99" s="178"/>
      <c r="O99" s="178"/>
      <c r="P99" s="178"/>
      <c r="Q99" s="180" t="s">
        <v>1048</v>
      </c>
      <c r="R99" s="181"/>
      <c r="S99" s="178"/>
      <c r="T99" s="178"/>
      <c r="AA99" s="21" t="s">
        <v>917</v>
      </c>
      <c r="AB99" s="21">
        <v>93</v>
      </c>
    </row>
    <row r="100" spans="1:28" ht="15" x14ac:dyDescent="0.25">
      <c r="A100" s="224" t="s">
        <v>129</v>
      </c>
      <c r="B100">
        <v>74093</v>
      </c>
      <c r="C100" s="176" t="str">
        <f t="shared" si="13"/>
        <v>PSR_7464.71_UP_75 km/h</v>
      </c>
      <c r="D100" s="177" t="s">
        <v>1045</v>
      </c>
      <c r="E100" s="177" t="str">
        <f>E99</f>
        <v>MMRBEM_7_DOWN</v>
      </c>
      <c r="F100" s="178"/>
      <c r="G100" s="179">
        <f>G99</f>
        <v>7464.71</v>
      </c>
      <c r="H100" s="179">
        <f t="shared" si="9"/>
        <v>7464.71</v>
      </c>
      <c r="I100" s="230">
        <f>IF("generated"=1, "Path=MMRBEM_7_DOWN, Scaled Offset=7464.7100000000000363797880709171295", 7880.12951339171)</f>
        <v>7880.1295133917101</v>
      </c>
      <c r="J100" s="178"/>
      <c r="K100" s="178"/>
      <c r="L100" s="178">
        <v>1</v>
      </c>
      <c r="M100" s="178">
        <v>2.5</v>
      </c>
      <c r="N100" s="178"/>
      <c r="O100" s="178"/>
      <c r="P100" s="178"/>
      <c r="Q100" s="178" t="str">
        <f>Q97</f>
        <v>75 km/h</v>
      </c>
      <c r="R100" s="181"/>
      <c r="S100" s="178"/>
      <c r="T100" s="178"/>
      <c r="AA100" s="21" t="s">
        <v>917</v>
      </c>
      <c r="AB100" s="21">
        <v>94</v>
      </c>
    </row>
    <row r="101" spans="1:28" ht="15" x14ac:dyDescent="0.25">
      <c r="A101" s="224" t="s">
        <v>129</v>
      </c>
      <c r="B101" s="83">
        <v>74094</v>
      </c>
      <c r="C101" s="182" t="str">
        <f>"PSR_"&amp;G101&amp;IF(L101=0,"_DN_","_UP_")&amp;Q101</f>
        <v>PSR_7490.28_DN_75 km/h</v>
      </c>
      <c r="D101" s="183" t="s">
        <v>1045</v>
      </c>
      <c r="E101" s="184" t="s">
        <v>188</v>
      </c>
      <c r="F101" s="184"/>
      <c r="G101" s="179">
        <v>7490.28</v>
      </c>
      <c r="H101" s="185">
        <f t="shared" si="9"/>
        <v>7490.28</v>
      </c>
      <c r="I101" s="230">
        <f>IF("generated"=1, "Path=MMRBEM_7_DOWN, Scaled Offset=7490.2799999999997453414835035800934", 7905.66751457071)</f>
        <v>7905.6675145707104</v>
      </c>
      <c r="J101" s="184"/>
      <c r="K101" s="184"/>
      <c r="L101" s="184"/>
      <c r="M101" s="184">
        <v>-2.5</v>
      </c>
      <c r="N101" s="184"/>
      <c r="O101" s="184"/>
      <c r="P101" s="184"/>
      <c r="Q101" s="180" t="s">
        <v>1049</v>
      </c>
      <c r="R101" s="184"/>
      <c r="S101" s="184"/>
      <c r="T101" s="184"/>
      <c r="AA101" s="21" t="s">
        <v>917</v>
      </c>
      <c r="AB101" s="21">
        <v>95</v>
      </c>
    </row>
    <row r="102" spans="1:28" ht="15" x14ac:dyDescent="0.25">
      <c r="A102" s="224" t="s">
        <v>129</v>
      </c>
      <c r="B102">
        <v>74095</v>
      </c>
      <c r="C102" s="182" t="str">
        <f t="shared" ref="C102:C112" si="14">"PSR_"&amp;G102&amp;IF(L102=0,"_DN_","_UP_")&amp;Q102</f>
        <v>PSR_7490.28_UP_80 km/h</v>
      </c>
      <c r="D102" s="183" t="s">
        <v>1045</v>
      </c>
      <c r="E102" s="183" t="str">
        <f>E101</f>
        <v>MMRBEM_7_DOWN</v>
      </c>
      <c r="F102" s="184"/>
      <c r="G102" s="179">
        <f>G101</f>
        <v>7490.28</v>
      </c>
      <c r="H102" s="185">
        <f t="shared" si="9"/>
        <v>7490.28</v>
      </c>
      <c r="I102" s="230">
        <f>IF("generated"=1, "Path=MMRBEM_7_DOWN, Scaled Offset=7490.2799999999997453414835035800934", 7905.66751457071)</f>
        <v>7905.6675145707104</v>
      </c>
      <c r="J102" s="184"/>
      <c r="K102" s="184"/>
      <c r="L102" s="184">
        <v>1</v>
      </c>
      <c r="M102" s="184">
        <v>2.5</v>
      </c>
      <c r="N102" s="184"/>
      <c r="O102" s="184"/>
      <c r="P102" s="184"/>
      <c r="Q102" s="184" t="str">
        <f>Q99</f>
        <v>80 km/h</v>
      </c>
      <c r="R102" s="184"/>
      <c r="S102" s="184"/>
      <c r="T102" s="184"/>
      <c r="AA102" s="21" t="s">
        <v>917</v>
      </c>
      <c r="AB102" s="21">
        <v>96</v>
      </c>
    </row>
    <row r="103" spans="1:28" ht="15" x14ac:dyDescent="0.25">
      <c r="A103" s="224" t="s">
        <v>129</v>
      </c>
      <c r="B103" s="83">
        <v>74096</v>
      </c>
      <c r="C103" s="176" t="str">
        <f t="shared" si="14"/>
        <v>PSR_7582.42_DN_80 km/h</v>
      </c>
      <c r="D103" s="177" t="s">
        <v>1045</v>
      </c>
      <c r="E103" s="177" t="s">
        <v>188</v>
      </c>
      <c r="F103" s="178"/>
      <c r="G103" s="179">
        <v>7582.42</v>
      </c>
      <c r="H103" s="179">
        <f t="shared" si="9"/>
        <v>7582.42</v>
      </c>
      <c r="I103" s="230">
        <f>IF("generated"=1, "Path=MMRBEM_7_DOWN, Scaled Offset=7582.420000000000072759576141834259", 7997.69220869008)</f>
        <v>7997.6922086900804</v>
      </c>
      <c r="J103" s="178"/>
      <c r="K103" s="178"/>
      <c r="L103" s="178"/>
      <c r="M103" s="178">
        <v>-2.5</v>
      </c>
      <c r="N103" s="178"/>
      <c r="O103" s="178"/>
      <c r="P103" s="178"/>
      <c r="Q103" s="180" t="s">
        <v>1048</v>
      </c>
      <c r="R103" s="181"/>
      <c r="S103" s="178"/>
      <c r="T103" s="178"/>
      <c r="AA103" s="21" t="s">
        <v>917</v>
      </c>
      <c r="AB103" s="21">
        <v>97</v>
      </c>
    </row>
    <row r="104" spans="1:28" ht="15" x14ac:dyDescent="0.25">
      <c r="A104" s="224" t="s">
        <v>129</v>
      </c>
      <c r="B104">
        <v>74097</v>
      </c>
      <c r="C104" s="176" t="str">
        <f t="shared" si="14"/>
        <v>PSR_7582.42_UP_75 km/h</v>
      </c>
      <c r="D104" s="177" t="s">
        <v>1045</v>
      </c>
      <c r="E104" s="177" t="str">
        <f>E103</f>
        <v>MMRBEM_7_DOWN</v>
      </c>
      <c r="F104" s="178"/>
      <c r="G104" s="179">
        <f>G103</f>
        <v>7582.42</v>
      </c>
      <c r="H104" s="179">
        <f t="shared" si="9"/>
        <v>7582.42</v>
      </c>
      <c r="I104" s="230">
        <f>IF("generated"=1, "Path=MMRBEM_7_DOWN, Scaled Offset=7582.420000000000072759576141834259", 7997.69220869008)</f>
        <v>7997.6922086900804</v>
      </c>
      <c r="J104" s="178"/>
      <c r="K104" s="178"/>
      <c r="L104" s="178">
        <v>1</v>
      </c>
      <c r="M104" s="178">
        <v>2.5</v>
      </c>
      <c r="N104" s="178"/>
      <c r="O104" s="178"/>
      <c r="P104" s="178"/>
      <c r="Q104" s="178" t="str">
        <f>Q101</f>
        <v>75 km/h</v>
      </c>
      <c r="R104" s="181"/>
      <c r="S104" s="178"/>
      <c r="T104" s="178"/>
      <c r="AA104" s="21" t="s">
        <v>917</v>
      </c>
      <c r="AB104" s="21">
        <v>98</v>
      </c>
    </row>
    <row r="105" spans="1:28" ht="15" x14ac:dyDescent="0.25">
      <c r="A105" s="224" t="s">
        <v>129</v>
      </c>
      <c r="B105" s="83">
        <v>74098</v>
      </c>
      <c r="C105" s="182" t="str">
        <f t="shared" si="14"/>
        <v>PSR_7715.67_DN_55 km/h</v>
      </c>
      <c r="D105" s="183" t="s">
        <v>1045</v>
      </c>
      <c r="E105" s="184" t="s">
        <v>188</v>
      </c>
      <c r="F105" s="184"/>
      <c r="G105" s="179">
        <v>7715.67</v>
      </c>
      <c r="H105" s="185">
        <f t="shared" si="9"/>
        <v>7715.67</v>
      </c>
      <c r="I105" s="230">
        <f>IF("generated"=1, "Path=MMRBEM_7_DOWN, Scaled Offset=7715.670000000000072759576141834259", 8128.72204877973)</f>
        <v>8128.7220487797304</v>
      </c>
      <c r="J105" s="184"/>
      <c r="K105" s="184"/>
      <c r="L105" s="184"/>
      <c r="M105" s="184">
        <v>-2.5</v>
      </c>
      <c r="N105" s="184"/>
      <c r="O105" s="184"/>
      <c r="P105" s="184"/>
      <c r="Q105" s="180" t="s">
        <v>1050</v>
      </c>
      <c r="R105" s="184"/>
      <c r="S105" s="184"/>
      <c r="T105" s="184"/>
      <c r="AA105" s="21" t="s">
        <v>917</v>
      </c>
      <c r="AB105" s="21">
        <v>99</v>
      </c>
    </row>
    <row r="106" spans="1:28" ht="15" x14ac:dyDescent="0.25">
      <c r="A106" s="224" t="s">
        <v>129</v>
      </c>
      <c r="B106">
        <v>74099</v>
      </c>
      <c r="C106" s="182" t="str">
        <f t="shared" si="14"/>
        <v>PSR_7715.67_UP_80 km/h</v>
      </c>
      <c r="D106" s="183" t="s">
        <v>1045</v>
      </c>
      <c r="E106" s="183" t="str">
        <f>E105</f>
        <v>MMRBEM_7_DOWN</v>
      </c>
      <c r="F106" s="184"/>
      <c r="G106" s="179">
        <f>G105</f>
        <v>7715.67</v>
      </c>
      <c r="H106" s="185">
        <f t="shared" si="9"/>
        <v>7715.67</v>
      </c>
      <c r="I106" s="230">
        <f>IF("generated"=1, "Path=MMRBEM_7_DOWN, Scaled Offset=7715.670000000000072759576141834259", 8128.72204877973)</f>
        <v>8128.7220487797304</v>
      </c>
      <c r="J106" s="184"/>
      <c r="K106" s="184"/>
      <c r="L106" s="184">
        <v>1</v>
      </c>
      <c r="M106" s="184">
        <v>2.5</v>
      </c>
      <c r="N106" s="184"/>
      <c r="O106" s="184"/>
      <c r="P106" s="184"/>
      <c r="Q106" s="184" t="str">
        <f>Q103</f>
        <v>80 km/h</v>
      </c>
      <c r="R106" s="184"/>
      <c r="S106" s="184"/>
      <c r="T106" s="184"/>
      <c r="AA106" s="21" t="s">
        <v>917</v>
      </c>
      <c r="AB106" s="21">
        <v>100</v>
      </c>
    </row>
    <row r="107" spans="1:28" ht="15" x14ac:dyDescent="0.25">
      <c r="A107" s="224" t="s">
        <v>129</v>
      </c>
      <c r="B107" s="83">
        <v>74100</v>
      </c>
      <c r="C107" s="176" t="str">
        <f t="shared" si="14"/>
        <v>PSR_7828.94_DN_75 km/h</v>
      </c>
      <c r="D107" s="177" t="s">
        <v>1045</v>
      </c>
      <c r="E107" s="177" t="s">
        <v>188</v>
      </c>
      <c r="F107" s="178"/>
      <c r="G107" s="179">
        <v>7828.94</v>
      </c>
      <c r="H107" s="179">
        <f t="shared" si="9"/>
        <v>7828.94</v>
      </c>
      <c r="I107" s="230">
        <f>IF("generated"=1, "Path=MMRBEM_7_DOWN, Scaled Offset=7828.9399999999995998223312199115753", 8239.83949776161)</f>
        <v>8239.8394977616099</v>
      </c>
      <c r="J107" s="178"/>
      <c r="K107" s="178"/>
      <c r="L107" s="178"/>
      <c r="M107" s="178">
        <v>-2.5</v>
      </c>
      <c r="N107" s="178"/>
      <c r="O107" s="178"/>
      <c r="P107" s="178"/>
      <c r="Q107" s="180" t="s">
        <v>1049</v>
      </c>
      <c r="R107" s="181"/>
      <c r="S107" s="178"/>
      <c r="T107" s="178"/>
      <c r="AA107" s="21" t="s">
        <v>917</v>
      </c>
      <c r="AB107" s="21">
        <v>101</v>
      </c>
    </row>
    <row r="108" spans="1:28" ht="15" x14ac:dyDescent="0.25">
      <c r="A108" s="224" t="s">
        <v>129</v>
      </c>
      <c r="B108">
        <v>74101</v>
      </c>
      <c r="C108" s="176" t="str">
        <f t="shared" si="14"/>
        <v>PSR_7828.94_UP_55 km/h</v>
      </c>
      <c r="D108" s="177" t="s">
        <v>1045</v>
      </c>
      <c r="E108" s="177" t="str">
        <f>E107</f>
        <v>MMRBEM_7_DOWN</v>
      </c>
      <c r="F108" s="178"/>
      <c r="G108" s="179">
        <f>G107</f>
        <v>7828.94</v>
      </c>
      <c r="H108" s="179">
        <f t="shared" si="9"/>
        <v>7828.94</v>
      </c>
      <c r="I108" s="230">
        <f>IF("generated"=1, "Path=MMRBEM_7_DOWN, Scaled Offset=7828.9399999999995998223312199115753", 8239.83949776161)</f>
        <v>8239.8394977616099</v>
      </c>
      <c r="J108" s="178"/>
      <c r="K108" s="178"/>
      <c r="L108" s="178">
        <v>1</v>
      </c>
      <c r="M108" s="178">
        <v>2.5</v>
      </c>
      <c r="N108" s="178"/>
      <c r="O108" s="178"/>
      <c r="P108" s="178"/>
      <c r="Q108" s="178" t="str">
        <f>Q105</f>
        <v>55 km/h</v>
      </c>
      <c r="R108" s="181"/>
      <c r="S108" s="178"/>
      <c r="T108" s="178"/>
      <c r="AA108" s="21" t="s">
        <v>917</v>
      </c>
      <c r="AB108" s="21">
        <v>102</v>
      </c>
    </row>
    <row r="109" spans="1:28" ht="15" x14ac:dyDescent="0.25">
      <c r="A109" s="224" t="s">
        <v>129</v>
      </c>
      <c r="B109" s="83">
        <v>74102</v>
      </c>
      <c r="C109" s="182" t="str">
        <f t="shared" si="14"/>
        <v>PSR_7967.43_DN_80 km/h</v>
      </c>
      <c r="D109" s="183" t="s">
        <v>1045</v>
      </c>
      <c r="E109" s="184" t="s">
        <v>188</v>
      </c>
      <c r="F109" s="184"/>
      <c r="G109" s="179">
        <v>7967.43</v>
      </c>
      <c r="H109" s="185">
        <f t="shared" si="9"/>
        <v>7967.43</v>
      </c>
      <c r="I109" s="230">
        <f>IF("generated"=1, "Path=MMRBEM_7_DOWN, Scaled Offset=7967.4300000000002910383045673370361", 8375.69767300219)</f>
        <v>8375.6976730021906</v>
      </c>
      <c r="J109" s="184"/>
      <c r="K109" s="184"/>
      <c r="L109" s="184"/>
      <c r="M109" s="184">
        <v>-2.5</v>
      </c>
      <c r="N109" s="184"/>
      <c r="O109" s="184"/>
      <c r="P109" s="184"/>
      <c r="Q109" s="180" t="s">
        <v>1048</v>
      </c>
      <c r="R109" s="184"/>
      <c r="S109" s="184"/>
      <c r="T109" s="184"/>
      <c r="AA109" s="21" t="s">
        <v>917</v>
      </c>
      <c r="AB109" s="21">
        <v>103</v>
      </c>
    </row>
    <row r="110" spans="1:28" ht="15" x14ac:dyDescent="0.25">
      <c r="A110" s="224" t="s">
        <v>129</v>
      </c>
      <c r="B110">
        <v>74103</v>
      </c>
      <c r="C110" s="182" t="str">
        <f t="shared" si="14"/>
        <v>PSR_7967.43_UP_75 km/h</v>
      </c>
      <c r="D110" s="183" t="s">
        <v>1045</v>
      </c>
      <c r="E110" s="183" t="str">
        <f>E109</f>
        <v>MMRBEM_7_DOWN</v>
      </c>
      <c r="F110" s="184"/>
      <c r="G110" s="179">
        <f>G109</f>
        <v>7967.43</v>
      </c>
      <c r="H110" s="185">
        <f t="shared" si="9"/>
        <v>7967.43</v>
      </c>
      <c r="I110" s="230">
        <f>IF("generated"=1, "Path=MMRBEM_7_DOWN, Scaled Offset=7967.4300000000002910383045673370361", 8375.69767300219)</f>
        <v>8375.6976730021906</v>
      </c>
      <c r="J110" s="184"/>
      <c r="K110" s="184"/>
      <c r="L110" s="184">
        <v>1</v>
      </c>
      <c r="M110" s="184">
        <v>2.5</v>
      </c>
      <c r="N110" s="184"/>
      <c r="O110" s="184"/>
      <c r="P110" s="184"/>
      <c r="Q110" s="184" t="str">
        <f>Q107</f>
        <v>75 km/h</v>
      </c>
      <c r="R110" s="184"/>
      <c r="S110" s="184"/>
      <c r="T110" s="184"/>
      <c r="AA110" s="21" t="s">
        <v>917</v>
      </c>
      <c r="AB110" s="21">
        <v>104</v>
      </c>
    </row>
    <row r="111" spans="1:28" ht="15" x14ac:dyDescent="0.25">
      <c r="A111" s="224" t="s">
        <v>129</v>
      </c>
      <c r="B111" s="83">
        <v>74104</v>
      </c>
      <c r="C111" s="176" t="str">
        <f t="shared" si="14"/>
        <v>PSR_8245.19_DN_55 km/h</v>
      </c>
      <c r="D111" s="177" t="s">
        <v>1045</v>
      </c>
      <c r="E111" s="177" t="s">
        <v>188</v>
      </c>
      <c r="F111" s="178"/>
      <c r="G111" s="179">
        <v>8245.19</v>
      </c>
      <c r="H111" s="179">
        <f t="shared" si="9"/>
        <v>8245.19</v>
      </c>
      <c r="I111" s="230">
        <f>IF("generated"=1, "Path=MMRBEM_7_DOWN, Scaled Offset=8245.1900000000005093170329928398132", 8648.17920058415)</f>
        <v>8648.1792005841507</v>
      </c>
      <c r="J111" s="178"/>
      <c r="K111" s="178"/>
      <c r="L111" s="178"/>
      <c r="M111" s="178">
        <v>-2.5</v>
      </c>
      <c r="N111" s="178"/>
      <c r="O111" s="178"/>
      <c r="P111" s="178"/>
      <c r="Q111" s="180" t="s">
        <v>1050</v>
      </c>
      <c r="R111" s="181"/>
      <c r="S111" s="178"/>
      <c r="T111" s="178"/>
      <c r="AA111" s="21" t="s">
        <v>917</v>
      </c>
      <c r="AB111" s="21">
        <v>105</v>
      </c>
    </row>
    <row r="112" spans="1:28" ht="15" x14ac:dyDescent="0.25">
      <c r="A112" s="224" t="s">
        <v>129</v>
      </c>
      <c r="B112">
        <v>74105</v>
      </c>
      <c r="C112" s="176" t="str">
        <f t="shared" si="14"/>
        <v>PSR_8245.19_UP_80 km/h</v>
      </c>
      <c r="D112" s="177" t="s">
        <v>1045</v>
      </c>
      <c r="E112" s="177" t="str">
        <f>E111</f>
        <v>MMRBEM_7_DOWN</v>
      </c>
      <c r="F112" s="178"/>
      <c r="G112" s="179">
        <f>G111</f>
        <v>8245.19</v>
      </c>
      <c r="H112" s="179">
        <f t="shared" si="9"/>
        <v>8245.19</v>
      </c>
      <c r="I112" s="230">
        <f>IF("generated"=1, "Path=MMRBEM_7_DOWN, Scaled Offset=8245.1900000000005093170329928398132", 8648.17920058415)</f>
        <v>8648.1792005841507</v>
      </c>
      <c r="J112" s="178"/>
      <c r="K112" s="178"/>
      <c r="L112" s="178">
        <v>1</v>
      </c>
      <c r="M112" s="178">
        <v>2.5</v>
      </c>
      <c r="N112" s="178"/>
      <c r="O112" s="178"/>
      <c r="P112" s="178"/>
      <c r="Q112" s="178" t="str">
        <f>Q109</f>
        <v>80 km/h</v>
      </c>
      <c r="R112" s="181"/>
      <c r="S112" s="178"/>
      <c r="T112" s="178"/>
      <c r="AA112" s="21" t="s">
        <v>917</v>
      </c>
      <c r="AB112" s="21">
        <v>106</v>
      </c>
    </row>
    <row r="113" spans="1:28" ht="15" x14ac:dyDescent="0.25">
      <c r="A113" s="224" t="s">
        <v>129</v>
      </c>
      <c r="B113" s="83">
        <v>74106</v>
      </c>
      <c r="C113" s="182" t="str">
        <f>"PSR_"&amp;G113&amp;IF(L113=0,"_DN_","_UP_")&amp;Q113</f>
        <v>PSR_8359.83_DN_55 km/h</v>
      </c>
      <c r="D113" s="183" t="s">
        <v>1045</v>
      </c>
      <c r="E113" s="184" t="s">
        <v>188</v>
      </c>
      <c r="F113" s="184"/>
      <c r="G113" s="179">
        <v>8359.83</v>
      </c>
      <c r="H113" s="185">
        <f t="shared" ref="H113:H176" si="15">G113+F113</f>
        <v>8359.83</v>
      </c>
      <c r="I113" s="230">
        <f>IF("generated"=1, "Path=MMRBEM_7_DOWN, Scaled Offset=8359.829999999999927240423858165741", 8760.64061447382)</f>
        <v>8760.6406144738194</v>
      </c>
      <c r="J113" s="184"/>
      <c r="K113" s="184"/>
      <c r="L113" s="184"/>
      <c r="M113" s="184">
        <v>-2.5</v>
      </c>
      <c r="N113" s="184"/>
      <c r="O113" s="184"/>
      <c r="P113" s="184"/>
      <c r="Q113" s="180" t="s">
        <v>1050</v>
      </c>
      <c r="R113" s="184"/>
      <c r="S113" s="184"/>
      <c r="T113" s="184"/>
      <c r="AA113" s="21" t="s">
        <v>917</v>
      </c>
      <c r="AB113" s="21">
        <v>107</v>
      </c>
    </row>
    <row r="114" spans="1:28" ht="15" x14ac:dyDescent="0.25">
      <c r="A114" s="224" t="s">
        <v>129</v>
      </c>
      <c r="B114">
        <v>74107</v>
      </c>
      <c r="C114" s="182" t="str">
        <f t="shared" ref="C114:C120" si="16">"PSR_"&amp;G114&amp;IF(L114=0,"_DN_","_UP_")&amp;Q114</f>
        <v>PSR_8359.83_UP_55 km/h</v>
      </c>
      <c r="D114" s="183" t="s">
        <v>1045</v>
      </c>
      <c r="E114" s="183" t="str">
        <f>E113</f>
        <v>MMRBEM_7_DOWN</v>
      </c>
      <c r="F114" s="184"/>
      <c r="G114" s="179">
        <f>G113</f>
        <v>8359.83</v>
      </c>
      <c r="H114" s="185">
        <f t="shared" si="15"/>
        <v>8359.83</v>
      </c>
      <c r="I114" s="230">
        <f>IF("generated"=1, "Path=MMRBEM_7_DOWN, Scaled Offset=8359.829999999999927240423858165741", 8760.64061447382)</f>
        <v>8760.6406144738194</v>
      </c>
      <c r="J114" s="184"/>
      <c r="K114" s="184"/>
      <c r="L114" s="184">
        <v>1</v>
      </c>
      <c r="M114" s="184">
        <v>2.5</v>
      </c>
      <c r="N114" s="184"/>
      <c r="O114" s="184"/>
      <c r="P114" s="184"/>
      <c r="Q114" s="184" t="str">
        <f>Q111</f>
        <v>55 km/h</v>
      </c>
      <c r="R114" s="184"/>
      <c r="S114" s="184"/>
      <c r="T114" s="184"/>
      <c r="AA114" s="21" t="s">
        <v>917</v>
      </c>
      <c r="AB114" s="21">
        <v>108</v>
      </c>
    </row>
    <row r="115" spans="1:28" ht="15" x14ac:dyDescent="0.25">
      <c r="A115" s="224" t="s">
        <v>129</v>
      </c>
      <c r="B115" s="83">
        <v>74108</v>
      </c>
      <c r="C115" s="176" t="str">
        <f t="shared" si="16"/>
        <v>PSR_8480.33_DN_80 km/h</v>
      </c>
      <c r="D115" s="177" t="s">
        <v>1045</v>
      </c>
      <c r="E115" s="177" t="s">
        <v>188</v>
      </c>
      <c r="F115" s="178"/>
      <c r="G115" s="179">
        <v>8480.33</v>
      </c>
      <c r="H115" s="179">
        <f t="shared" si="15"/>
        <v>8480.33</v>
      </c>
      <c r="I115" s="230">
        <f>IF("generated"=1, "Path=MMRBEM_7_DOWN, Scaled Offset=8480.329999999999927240423858165741", 8878.85066658221)</f>
        <v>8878.8506665822097</v>
      </c>
      <c r="J115" s="178"/>
      <c r="K115" s="178"/>
      <c r="L115" s="178"/>
      <c r="M115" s="178">
        <v>-2.5</v>
      </c>
      <c r="N115" s="178"/>
      <c r="O115" s="178"/>
      <c r="P115" s="178"/>
      <c r="Q115" s="180" t="s">
        <v>1048</v>
      </c>
      <c r="R115" s="181"/>
      <c r="S115" s="178"/>
      <c r="T115" s="178"/>
      <c r="AA115" s="21" t="s">
        <v>917</v>
      </c>
      <c r="AB115" s="21">
        <v>109</v>
      </c>
    </row>
    <row r="116" spans="1:28" ht="15" x14ac:dyDescent="0.25">
      <c r="A116" s="224" t="s">
        <v>129</v>
      </c>
      <c r="B116">
        <v>74109</v>
      </c>
      <c r="C116" s="176" t="str">
        <f t="shared" si="16"/>
        <v>PSR_8480.33_UP_55 km/h</v>
      </c>
      <c r="D116" s="177" t="s">
        <v>1045</v>
      </c>
      <c r="E116" s="177" t="str">
        <f>E115</f>
        <v>MMRBEM_7_DOWN</v>
      </c>
      <c r="F116" s="178"/>
      <c r="G116" s="179">
        <f>G115</f>
        <v>8480.33</v>
      </c>
      <c r="H116" s="179">
        <f t="shared" si="15"/>
        <v>8480.33</v>
      </c>
      <c r="I116" s="230">
        <f>IF("generated"=1, "Path=MMRBEM_7_DOWN, Scaled Offset=8480.329999999999927240423858165741", 8878.85066658221)</f>
        <v>8878.8506665822097</v>
      </c>
      <c r="J116" s="178"/>
      <c r="K116" s="178"/>
      <c r="L116" s="178">
        <v>1</v>
      </c>
      <c r="M116" s="178">
        <v>2.5</v>
      </c>
      <c r="N116" s="178"/>
      <c r="O116" s="178"/>
      <c r="P116" s="178"/>
      <c r="Q116" s="178" t="str">
        <f>Q113</f>
        <v>55 km/h</v>
      </c>
      <c r="R116" s="181"/>
      <c r="S116" s="178"/>
      <c r="T116" s="178"/>
      <c r="AA116" s="21" t="s">
        <v>917</v>
      </c>
      <c r="AB116" s="21">
        <v>110</v>
      </c>
    </row>
    <row r="117" spans="1:28" ht="15" x14ac:dyDescent="0.25">
      <c r="A117" s="224" t="s">
        <v>129</v>
      </c>
      <c r="B117" s="83">
        <v>74110</v>
      </c>
      <c r="C117" s="182" t="str">
        <f t="shared" si="16"/>
        <v>PSR_8505.06_DN_50 km/h</v>
      </c>
      <c r="D117" s="183" t="s">
        <v>1045</v>
      </c>
      <c r="E117" s="184" t="s">
        <v>188</v>
      </c>
      <c r="F117" s="184"/>
      <c r="G117" s="179">
        <v>8505.06</v>
      </c>
      <c r="H117" s="185">
        <f t="shared" si="15"/>
        <v>8505.06</v>
      </c>
      <c r="I117" s="230">
        <f>IF("generated"=1, "Path=MMRBEM_7_DOWN, Scaled Offset=8505.0599999999994906829670071601868", 8903.11070466221)</f>
        <v>8903.1107046622092</v>
      </c>
      <c r="J117" s="184"/>
      <c r="K117" s="184"/>
      <c r="L117" s="184"/>
      <c r="M117" s="184">
        <v>-2.5</v>
      </c>
      <c r="N117" s="184"/>
      <c r="O117" s="184"/>
      <c r="P117" s="184"/>
      <c r="Q117" s="180" t="s">
        <v>1046</v>
      </c>
      <c r="R117" s="184"/>
      <c r="S117" s="184"/>
      <c r="T117" s="184"/>
      <c r="AA117" s="21" t="s">
        <v>917</v>
      </c>
      <c r="AB117" s="21">
        <v>111</v>
      </c>
    </row>
    <row r="118" spans="1:28" ht="15" x14ac:dyDescent="0.25">
      <c r="A118" s="224" t="s">
        <v>129</v>
      </c>
      <c r="B118">
        <v>74111</v>
      </c>
      <c r="C118" s="182" t="str">
        <f t="shared" si="16"/>
        <v>PSR_8505.06_UP_80 km/h</v>
      </c>
      <c r="D118" s="183" t="s">
        <v>1045</v>
      </c>
      <c r="E118" s="183" t="str">
        <f>E117</f>
        <v>MMRBEM_7_DOWN</v>
      </c>
      <c r="F118" s="184"/>
      <c r="G118" s="179">
        <f>G117</f>
        <v>8505.06</v>
      </c>
      <c r="H118" s="185">
        <f t="shared" si="15"/>
        <v>8505.06</v>
      </c>
      <c r="I118" s="230">
        <f>IF("generated"=1, "Path=MMRBEM_7_DOWN, Scaled Offset=8505.0599999999994906829670071601868", 8903.11070466221)</f>
        <v>8903.1107046622092</v>
      </c>
      <c r="J118" s="184"/>
      <c r="K118" s="184"/>
      <c r="L118" s="184">
        <v>1</v>
      </c>
      <c r="M118" s="184">
        <v>2.5</v>
      </c>
      <c r="N118" s="184"/>
      <c r="O118" s="184"/>
      <c r="P118" s="184"/>
      <c r="Q118" s="184" t="str">
        <f>Q115</f>
        <v>80 km/h</v>
      </c>
      <c r="R118" s="184"/>
      <c r="S118" s="184"/>
      <c r="T118" s="184"/>
      <c r="AA118" s="21" t="s">
        <v>917</v>
      </c>
      <c r="AB118" s="21">
        <v>112</v>
      </c>
    </row>
    <row r="119" spans="1:28" ht="15" x14ac:dyDescent="0.25">
      <c r="A119" s="224" t="s">
        <v>129</v>
      </c>
      <c r="B119" s="83">
        <v>74112</v>
      </c>
      <c r="C119" s="176" t="str">
        <f t="shared" si="16"/>
        <v>PSR_8677.57_DN_80 km/h</v>
      </c>
      <c r="D119" s="177" t="s">
        <v>1045</v>
      </c>
      <c r="E119" s="177" t="s">
        <v>188</v>
      </c>
      <c r="F119" s="178"/>
      <c r="G119" s="179">
        <v>8677.57</v>
      </c>
      <c r="H119" s="179">
        <f t="shared" si="15"/>
        <v>8677.57</v>
      </c>
      <c r="I119" s="230">
        <f>IF("generated"=1, "Path=MMRBEM_7_DOWN, Scaled Offset=8677.5699999999997089616954326629639", 9072.3423734524)</f>
        <v>9072.3423734524004</v>
      </c>
      <c r="J119" s="178"/>
      <c r="K119" s="178"/>
      <c r="L119" s="178"/>
      <c r="M119" s="178">
        <v>-2.5</v>
      </c>
      <c r="N119" s="178"/>
      <c r="O119" s="178"/>
      <c r="P119" s="178"/>
      <c r="Q119" s="180" t="s">
        <v>1048</v>
      </c>
      <c r="R119" s="181"/>
      <c r="S119" s="178"/>
      <c r="T119" s="178"/>
      <c r="AA119" s="21" t="s">
        <v>917</v>
      </c>
      <c r="AB119" s="21">
        <v>113</v>
      </c>
    </row>
    <row r="120" spans="1:28" ht="15" x14ac:dyDescent="0.25">
      <c r="A120" s="224" t="s">
        <v>129</v>
      </c>
      <c r="B120">
        <v>74113</v>
      </c>
      <c r="C120" s="176" t="str">
        <f t="shared" si="16"/>
        <v>PSR_8677.57_UP_50 km/h</v>
      </c>
      <c r="D120" s="177" t="s">
        <v>1045</v>
      </c>
      <c r="E120" s="177" t="str">
        <f>E119</f>
        <v>MMRBEM_7_DOWN</v>
      </c>
      <c r="F120" s="178"/>
      <c r="G120" s="179">
        <f>G119</f>
        <v>8677.57</v>
      </c>
      <c r="H120" s="179">
        <f t="shared" si="15"/>
        <v>8677.57</v>
      </c>
      <c r="I120" s="230">
        <f>IF("generated"=1, "Path=MMRBEM_7_DOWN, Scaled Offset=8677.5699999999997089616954326629639", 9072.3423734524)</f>
        <v>9072.3423734524004</v>
      </c>
      <c r="J120" s="178"/>
      <c r="K120" s="178"/>
      <c r="L120" s="178">
        <v>1</v>
      </c>
      <c r="M120" s="178">
        <v>2.5</v>
      </c>
      <c r="N120" s="178"/>
      <c r="O120" s="178"/>
      <c r="P120" s="178"/>
      <c r="Q120" s="178" t="str">
        <f>Q117</f>
        <v>50 km/h</v>
      </c>
      <c r="R120" s="181"/>
      <c r="S120" s="178"/>
      <c r="T120" s="178"/>
      <c r="AA120" s="21" t="s">
        <v>917</v>
      </c>
      <c r="AB120" s="21">
        <v>114</v>
      </c>
    </row>
    <row r="121" spans="1:28" ht="15" x14ac:dyDescent="0.25">
      <c r="A121" s="224" t="s">
        <v>129</v>
      </c>
      <c r="B121" s="83">
        <v>74114</v>
      </c>
      <c r="C121" s="182" t="str">
        <f>"PSR_"&amp;G121&amp;IF(L121=0,"_DN_","_UP_")&amp;Q121</f>
        <v>PSR_8771.97_DN_75 km/h</v>
      </c>
      <c r="D121" s="183" t="s">
        <v>1045</v>
      </c>
      <c r="E121" s="184" t="s">
        <v>188</v>
      </c>
      <c r="F121" s="184"/>
      <c r="G121" s="179">
        <v>8771.9699999999993</v>
      </c>
      <c r="H121" s="185">
        <f t="shared" si="15"/>
        <v>8771.9699999999993</v>
      </c>
      <c r="I121" s="230">
        <f>IF("generated"=1, "Path=MMRBEM_7_DOWN, Scaled Offset=8771.9699999999993451638147234916687", 9164.94842257299)</f>
        <v>9164.9484225729902</v>
      </c>
      <c r="J121" s="184"/>
      <c r="K121" s="184"/>
      <c r="L121" s="184"/>
      <c r="M121" s="184">
        <v>-2.5</v>
      </c>
      <c r="N121" s="184"/>
      <c r="O121" s="184"/>
      <c r="P121" s="184"/>
      <c r="Q121" s="180" t="s">
        <v>1049</v>
      </c>
      <c r="R121" s="184"/>
      <c r="S121" s="184"/>
      <c r="T121" s="184"/>
      <c r="AA121" s="21" t="s">
        <v>917</v>
      </c>
      <c r="AB121" s="21">
        <v>115</v>
      </c>
    </row>
    <row r="122" spans="1:28" ht="15" x14ac:dyDescent="0.25">
      <c r="A122" s="224" t="s">
        <v>129</v>
      </c>
      <c r="B122">
        <v>74115</v>
      </c>
      <c r="C122" s="182" t="str">
        <f t="shared" ref="C122:C136" si="17">"PSR_"&amp;G122&amp;IF(L122=0,"_DN_","_UP_")&amp;Q122</f>
        <v>PSR_8771.97_UP_80 km/h</v>
      </c>
      <c r="D122" s="183" t="s">
        <v>1045</v>
      </c>
      <c r="E122" s="183" t="str">
        <f>E121</f>
        <v>MMRBEM_7_DOWN</v>
      </c>
      <c r="F122" s="184"/>
      <c r="G122" s="179">
        <f>G121</f>
        <v>8771.9699999999993</v>
      </c>
      <c r="H122" s="185">
        <f t="shared" si="15"/>
        <v>8771.9699999999993</v>
      </c>
      <c r="I122" s="230">
        <f>IF("generated"=1, "Path=MMRBEM_7_DOWN, Scaled Offset=8771.9699999999993451638147234916687", 9164.94842257299)</f>
        <v>9164.9484225729902</v>
      </c>
      <c r="J122" s="184"/>
      <c r="K122" s="184"/>
      <c r="L122" s="184">
        <v>1</v>
      </c>
      <c r="M122" s="184">
        <v>2.5</v>
      </c>
      <c r="N122" s="184"/>
      <c r="O122" s="184"/>
      <c r="P122" s="184"/>
      <c r="Q122" s="184" t="str">
        <f>Q119</f>
        <v>80 km/h</v>
      </c>
      <c r="R122" s="184"/>
      <c r="S122" s="184"/>
      <c r="T122" s="184"/>
      <c r="AA122" s="21" t="s">
        <v>917</v>
      </c>
      <c r="AB122" s="21">
        <v>116</v>
      </c>
    </row>
    <row r="123" spans="1:28" ht="15" x14ac:dyDescent="0.25">
      <c r="A123" s="224" t="s">
        <v>129</v>
      </c>
      <c r="B123" s="83">
        <v>74116</v>
      </c>
      <c r="C123" s="176" t="str">
        <f t="shared" si="17"/>
        <v>PSR_9018.27_DN_80 km/h</v>
      </c>
      <c r="D123" s="177" t="s">
        <v>1045</v>
      </c>
      <c r="E123" s="177" t="s">
        <v>188</v>
      </c>
      <c r="F123" s="178"/>
      <c r="G123" s="179">
        <v>9018.27</v>
      </c>
      <c r="H123" s="179">
        <f t="shared" si="15"/>
        <v>9018.27</v>
      </c>
      <c r="I123" s="230">
        <f>IF("generated"=1, "Path=MMRBEM_7_DOWN, Scaled Offset=9018.2700000000004365574568510055542", 9406.56780708997)</f>
        <v>9406.5678070899703</v>
      </c>
      <c r="J123" s="178"/>
      <c r="K123" s="178"/>
      <c r="L123" s="178"/>
      <c r="M123" s="178">
        <v>-2.5</v>
      </c>
      <c r="N123" s="178"/>
      <c r="O123" s="178"/>
      <c r="P123" s="178"/>
      <c r="Q123" s="180" t="s">
        <v>1048</v>
      </c>
      <c r="R123" s="181"/>
      <c r="S123" s="178"/>
      <c r="T123" s="178"/>
      <c r="AA123" s="21" t="s">
        <v>917</v>
      </c>
      <c r="AB123" s="21">
        <v>117</v>
      </c>
    </row>
    <row r="124" spans="1:28" ht="15" x14ac:dyDescent="0.25">
      <c r="A124" s="224" t="s">
        <v>129</v>
      </c>
      <c r="B124">
        <v>74117</v>
      </c>
      <c r="C124" s="176" t="str">
        <f t="shared" si="17"/>
        <v>PSR_9018.27_UP_75 km/h</v>
      </c>
      <c r="D124" s="177" t="s">
        <v>1045</v>
      </c>
      <c r="E124" s="177" t="str">
        <f>E123</f>
        <v>MMRBEM_7_DOWN</v>
      </c>
      <c r="F124" s="178"/>
      <c r="G124" s="179">
        <f>G123</f>
        <v>9018.27</v>
      </c>
      <c r="H124" s="179">
        <f t="shared" si="15"/>
        <v>9018.27</v>
      </c>
      <c r="I124" s="230">
        <f>IF("generated"=1, "Path=MMRBEM_7_DOWN, Scaled Offset=9018.2700000000004365574568510055542", 9406.56780708997)</f>
        <v>9406.5678070899703</v>
      </c>
      <c r="J124" s="178"/>
      <c r="K124" s="178"/>
      <c r="L124" s="178">
        <v>1</v>
      </c>
      <c r="M124" s="178">
        <v>2.5</v>
      </c>
      <c r="N124" s="178"/>
      <c r="O124" s="178"/>
      <c r="P124" s="178"/>
      <c r="Q124" s="178" t="str">
        <f>Q121</f>
        <v>75 km/h</v>
      </c>
      <c r="R124" s="181"/>
      <c r="S124" s="178"/>
      <c r="T124" s="178"/>
      <c r="AA124" s="21" t="s">
        <v>917</v>
      </c>
      <c r="AB124" s="21">
        <v>118</v>
      </c>
    </row>
    <row r="125" spans="1:28" ht="15" x14ac:dyDescent="0.25">
      <c r="A125" s="224" t="s">
        <v>129</v>
      </c>
      <c r="B125" s="83">
        <v>74118</v>
      </c>
      <c r="C125" s="182" t="str">
        <f t="shared" si="17"/>
        <v>PSR_9188.86_DN_80 km/h</v>
      </c>
      <c r="D125" s="183" t="s">
        <v>1045</v>
      </c>
      <c r="E125" s="184" t="s">
        <v>188</v>
      </c>
      <c r="F125" s="184"/>
      <c r="G125" s="179">
        <v>9188.86</v>
      </c>
      <c r="H125" s="185">
        <f t="shared" si="15"/>
        <v>9188.86</v>
      </c>
      <c r="I125" s="230">
        <f>IF("generated"=1, "Path=MMRBEM_7_DOWN, Scaled Offset=9188.8600000000005820766091346740723", 9573.91596301669)</f>
        <v>9573.9159630166905</v>
      </c>
      <c r="J125" s="184"/>
      <c r="K125" s="184"/>
      <c r="L125" s="184"/>
      <c r="M125" s="184">
        <v>-2.5</v>
      </c>
      <c r="N125" s="184"/>
      <c r="O125" s="184"/>
      <c r="P125" s="184"/>
      <c r="Q125" s="180" t="s">
        <v>1048</v>
      </c>
      <c r="R125" s="184"/>
      <c r="S125" s="184"/>
      <c r="T125" s="184"/>
      <c r="AA125" s="21" t="s">
        <v>917</v>
      </c>
      <c r="AB125" s="21">
        <v>119</v>
      </c>
    </row>
    <row r="126" spans="1:28" ht="15" x14ac:dyDescent="0.25">
      <c r="A126" s="224" t="s">
        <v>129</v>
      </c>
      <c r="B126">
        <v>74119</v>
      </c>
      <c r="C126" s="182" t="str">
        <f t="shared" si="17"/>
        <v>PSR_9188.86_UP_80 km/h</v>
      </c>
      <c r="D126" s="183" t="s">
        <v>1045</v>
      </c>
      <c r="E126" s="183" t="str">
        <f>E125</f>
        <v>MMRBEM_7_DOWN</v>
      </c>
      <c r="F126" s="184"/>
      <c r="G126" s="179">
        <f>G125</f>
        <v>9188.86</v>
      </c>
      <c r="H126" s="185">
        <f t="shared" si="15"/>
        <v>9188.86</v>
      </c>
      <c r="I126" s="230">
        <f>IF("generated"=1, "Path=MMRBEM_7_DOWN, Scaled Offset=9188.8600000000005820766091346740723", 9573.91596301669)</f>
        <v>9573.9159630166905</v>
      </c>
      <c r="J126" s="184"/>
      <c r="K126" s="184"/>
      <c r="L126" s="184">
        <v>1</v>
      </c>
      <c r="M126" s="184">
        <v>2.5</v>
      </c>
      <c r="N126" s="184"/>
      <c r="O126" s="184"/>
      <c r="P126" s="184"/>
      <c r="Q126" s="184" t="str">
        <f>Q123</f>
        <v>80 km/h</v>
      </c>
      <c r="R126" s="184"/>
      <c r="S126" s="184"/>
      <c r="T126" s="184"/>
      <c r="AA126" s="21" t="s">
        <v>917</v>
      </c>
      <c r="AB126" s="21">
        <v>120</v>
      </c>
    </row>
    <row r="127" spans="1:28" ht="15" x14ac:dyDescent="0.25">
      <c r="A127" s="224" t="s">
        <v>129</v>
      </c>
      <c r="B127" s="83">
        <v>74120</v>
      </c>
      <c r="C127" s="176" t="str">
        <f t="shared" si="17"/>
        <v>PSR_9273.96_DN_80 km/h</v>
      </c>
      <c r="D127" s="177" t="s">
        <v>1045</v>
      </c>
      <c r="E127" s="177" t="s">
        <v>188</v>
      </c>
      <c r="F127" s="178"/>
      <c r="G127" s="179">
        <v>9273.9599999999991</v>
      </c>
      <c r="H127" s="179">
        <f t="shared" si="15"/>
        <v>9273.9599999999991</v>
      </c>
      <c r="I127" s="230">
        <f>IF("generated"=1, "Path=MMRBEM_7_DOWN, Scaled Offset=9273.9599999999991268850862979888916", 9657.39874670485)</f>
        <v>9657.3987467048501</v>
      </c>
      <c r="J127" s="178"/>
      <c r="K127" s="178"/>
      <c r="L127" s="178"/>
      <c r="M127" s="178">
        <v>-2.5</v>
      </c>
      <c r="N127" s="178"/>
      <c r="O127" s="178"/>
      <c r="P127" s="178"/>
      <c r="Q127" s="180" t="s">
        <v>1048</v>
      </c>
      <c r="R127" s="181"/>
      <c r="S127" s="178"/>
      <c r="T127" s="178"/>
      <c r="AA127" s="21" t="s">
        <v>917</v>
      </c>
      <c r="AB127" s="21">
        <v>121</v>
      </c>
    </row>
    <row r="128" spans="1:28" ht="15" x14ac:dyDescent="0.25">
      <c r="A128" s="224" t="s">
        <v>129</v>
      </c>
      <c r="B128">
        <v>74121</v>
      </c>
      <c r="C128" s="176" t="str">
        <f t="shared" si="17"/>
        <v>PSR_9273.96_UP_80 km/h</v>
      </c>
      <c r="D128" s="177" t="s">
        <v>1045</v>
      </c>
      <c r="E128" s="177" t="str">
        <f>E127</f>
        <v>MMRBEM_7_DOWN</v>
      </c>
      <c r="F128" s="178"/>
      <c r="G128" s="179">
        <f>G127</f>
        <v>9273.9599999999991</v>
      </c>
      <c r="H128" s="179">
        <f t="shared" si="15"/>
        <v>9273.9599999999991</v>
      </c>
      <c r="I128" s="230">
        <f>IF("generated"=1, "Path=MMRBEM_7_DOWN, Scaled Offset=9273.9599999999991268850862979888916", 9657.39874670485)</f>
        <v>9657.3987467048501</v>
      </c>
      <c r="J128" s="178"/>
      <c r="K128" s="178"/>
      <c r="L128" s="178">
        <v>1</v>
      </c>
      <c r="M128" s="178">
        <v>2.5</v>
      </c>
      <c r="N128" s="178"/>
      <c r="O128" s="178"/>
      <c r="P128" s="178"/>
      <c r="Q128" s="178" t="str">
        <f>Q125</f>
        <v>80 km/h</v>
      </c>
      <c r="R128" s="181"/>
      <c r="S128" s="178"/>
      <c r="T128" s="178"/>
      <c r="AA128" s="21" t="s">
        <v>917</v>
      </c>
      <c r="AB128" s="21">
        <v>122</v>
      </c>
    </row>
    <row r="129" spans="1:28" ht="15" x14ac:dyDescent="0.25">
      <c r="A129" s="224" t="s">
        <v>129</v>
      </c>
      <c r="B129" s="83">
        <v>74122</v>
      </c>
      <c r="C129" s="182" t="str">
        <f t="shared" si="17"/>
        <v>PSR_9496.94_DN_55 km/h</v>
      </c>
      <c r="D129" s="183" t="s">
        <v>1045</v>
      </c>
      <c r="E129" s="184" t="s">
        <v>188</v>
      </c>
      <c r="F129" s="184"/>
      <c r="G129" s="179">
        <v>9496.94</v>
      </c>
      <c r="H129" s="185">
        <f t="shared" si="15"/>
        <v>9496.94</v>
      </c>
      <c r="I129" s="230">
        <f>IF("generated"=1, "Path=MMRBEM_7_DOWN, Scaled Offset=9496.9400000000005093170329928398132", 9876.14129790094)</f>
        <v>9876.1412979009401</v>
      </c>
      <c r="J129" s="184"/>
      <c r="K129" s="184"/>
      <c r="L129" s="184"/>
      <c r="M129" s="184">
        <v>-2.5</v>
      </c>
      <c r="N129" s="184"/>
      <c r="O129" s="184"/>
      <c r="P129" s="184"/>
      <c r="Q129" s="180" t="s">
        <v>1050</v>
      </c>
      <c r="R129" s="184"/>
      <c r="S129" s="184"/>
      <c r="T129" s="184"/>
      <c r="AA129" s="21" t="s">
        <v>917</v>
      </c>
      <c r="AB129" s="21">
        <v>123</v>
      </c>
    </row>
    <row r="130" spans="1:28" ht="15" x14ac:dyDescent="0.25">
      <c r="A130" s="224" t="s">
        <v>129</v>
      </c>
      <c r="B130">
        <v>74123</v>
      </c>
      <c r="C130" s="182" t="str">
        <f t="shared" si="17"/>
        <v>PSR_9496.94_UP_80 km/h</v>
      </c>
      <c r="D130" s="183" t="s">
        <v>1045</v>
      </c>
      <c r="E130" s="183" t="str">
        <f>E129</f>
        <v>MMRBEM_7_DOWN</v>
      </c>
      <c r="F130" s="184"/>
      <c r="G130" s="179">
        <f>G129</f>
        <v>9496.94</v>
      </c>
      <c r="H130" s="185">
        <f t="shared" si="15"/>
        <v>9496.94</v>
      </c>
      <c r="I130" s="230">
        <f>IF("generated"=1, "Path=MMRBEM_7_DOWN, Scaled Offset=9496.9400000000005093170329928398132", 9876.14129790094)</f>
        <v>9876.1412979009401</v>
      </c>
      <c r="J130" s="184"/>
      <c r="K130" s="184"/>
      <c r="L130" s="184">
        <v>1</v>
      </c>
      <c r="M130" s="184">
        <v>2.5</v>
      </c>
      <c r="N130" s="184"/>
      <c r="O130" s="184"/>
      <c r="P130" s="184"/>
      <c r="Q130" s="184" t="str">
        <f>Q127</f>
        <v>80 km/h</v>
      </c>
      <c r="R130" s="184"/>
      <c r="S130" s="184"/>
      <c r="T130" s="184"/>
      <c r="AA130" s="21" t="s">
        <v>917</v>
      </c>
      <c r="AB130" s="21">
        <v>124</v>
      </c>
    </row>
    <row r="131" spans="1:28" ht="15" x14ac:dyDescent="0.25">
      <c r="A131" s="224" t="s">
        <v>129</v>
      </c>
      <c r="B131" s="83">
        <v>74124</v>
      </c>
      <c r="C131" s="176" t="str">
        <f t="shared" si="17"/>
        <v>PSR_9618.16_DN_80 km/h</v>
      </c>
      <c r="D131" s="177" t="s">
        <v>1045</v>
      </c>
      <c r="E131" s="177" t="s">
        <v>188</v>
      </c>
      <c r="F131" s="178"/>
      <c r="G131" s="179">
        <v>9618.16</v>
      </c>
      <c r="H131" s="179">
        <f t="shared" si="15"/>
        <v>9618.16</v>
      </c>
      <c r="I131" s="230">
        <f>IF("generated"=1, "Path=MMRBEM_7_DOWN, Scaled Offset=9618.1599999999998544808477163314819", 9995.05766733312)</f>
        <v>9995.0576673331198</v>
      </c>
      <c r="J131" s="178"/>
      <c r="K131" s="178"/>
      <c r="L131" s="178"/>
      <c r="M131" s="178">
        <v>-2.5</v>
      </c>
      <c r="N131" s="178"/>
      <c r="O131" s="178"/>
      <c r="P131" s="178"/>
      <c r="Q131" s="180" t="s">
        <v>1048</v>
      </c>
      <c r="R131" s="181"/>
      <c r="S131" s="178"/>
      <c r="T131" s="178"/>
      <c r="AA131" s="21" t="s">
        <v>917</v>
      </c>
      <c r="AB131" s="21">
        <v>125</v>
      </c>
    </row>
    <row r="132" spans="1:28" ht="15" x14ac:dyDescent="0.25">
      <c r="A132" s="224" t="s">
        <v>129</v>
      </c>
      <c r="B132">
        <v>74125</v>
      </c>
      <c r="C132" s="176" t="str">
        <f t="shared" si="17"/>
        <v>PSR_9618.16_UP_55 km/h</v>
      </c>
      <c r="D132" s="177" t="s">
        <v>1045</v>
      </c>
      <c r="E132" s="177" t="str">
        <f>E131</f>
        <v>MMRBEM_7_DOWN</v>
      </c>
      <c r="F132" s="178"/>
      <c r="G132" s="179">
        <f>G131</f>
        <v>9618.16</v>
      </c>
      <c r="H132" s="179">
        <f t="shared" si="15"/>
        <v>9618.16</v>
      </c>
      <c r="I132" s="230">
        <f>IF("generated"=1, "Path=MMRBEM_7_DOWN, Scaled Offset=9618.1599999999998544808477163314819", 9995.05766733312)</f>
        <v>9995.0576673331198</v>
      </c>
      <c r="J132" s="178"/>
      <c r="K132" s="178"/>
      <c r="L132" s="178">
        <v>1</v>
      </c>
      <c r="M132" s="178">
        <v>2.5</v>
      </c>
      <c r="N132" s="178"/>
      <c r="O132" s="178"/>
      <c r="P132" s="178"/>
      <c r="Q132" s="178" t="str">
        <f>Q129</f>
        <v>55 km/h</v>
      </c>
      <c r="R132" s="181"/>
      <c r="S132" s="178"/>
      <c r="T132" s="178"/>
      <c r="AA132" s="21" t="s">
        <v>917</v>
      </c>
      <c r="AB132" s="21">
        <v>126</v>
      </c>
    </row>
    <row r="133" spans="1:28" ht="15" x14ac:dyDescent="0.25">
      <c r="A133" s="224" t="s">
        <v>129</v>
      </c>
      <c r="B133" s="83">
        <v>74126</v>
      </c>
      <c r="C133" s="182" t="str">
        <f t="shared" si="17"/>
        <v>PSR_9682.65_DN_55 km/h</v>
      </c>
      <c r="D133" s="183" t="s">
        <v>1045</v>
      </c>
      <c r="E133" s="184" t="s">
        <v>188</v>
      </c>
      <c r="F133" s="184"/>
      <c r="G133" s="179">
        <v>9682.65</v>
      </c>
      <c r="H133" s="185">
        <f t="shared" si="15"/>
        <v>9682.65</v>
      </c>
      <c r="I133" s="230">
        <f>IF("generated"=1, "Path=MMRBEM_7_DOWN, Scaled Offset=9682.6499999999996362021192908287048", 10058.3221176274)</f>
        <v>10058.3221176274</v>
      </c>
      <c r="J133" s="184"/>
      <c r="K133" s="184"/>
      <c r="L133" s="184"/>
      <c r="M133" s="184">
        <v>-2.5</v>
      </c>
      <c r="N133" s="184"/>
      <c r="O133" s="184"/>
      <c r="P133" s="184"/>
      <c r="Q133" s="180" t="s">
        <v>1050</v>
      </c>
      <c r="R133" s="184"/>
      <c r="S133" s="184"/>
      <c r="T133" s="184"/>
      <c r="AA133" s="21" t="s">
        <v>917</v>
      </c>
      <c r="AB133" s="21">
        <v>127</v>
      </c>
    </row>
    <row r="134" spans="1:28" ht="15" x14ac:dyDescent="0.25">
      <c r="A134" s="224" t="s">
        <v>129</v>
      </c>
      <c r="B134">
        <v>74127</v>
      </c>
      <c r="C134" s="182" t="str">
        <f t="shared" si="17"/>
        <v>PSR_9682.65_UP_80 km/h</v>
      </c>
      <c r="D134" s="183" t="s">
        <v>1045</v>
      </c>
      <c r="E134" s="183" t="str">
        <f>E133</f>
        <v>MMRBEM_7_DOWN</v>
      </c>
      <c r="F134" s="184"/>
      <c r="G134" s="179">
        <f>G133</f>
        <v>9682.65</v>
      </c>
      <c r="H134" s="185">
        <f t="shared" si="15"/>
        <v>9682.65</v>
      </c>
      <c r="I134" s="230">
        <f>IF("generated"=1, "Path=MMRBEM_7_DOWN, Scaled Offset=9682.6499999999996362021192908287048", 10058.3221176274)</f>
        <v>10058.3221176274</v>
      </c>
      <c r="J134" s="184"/>
      <c r="K134" s="184"/>
      <c r="L134" s="184">
        <v>1</v>
      </c>
      <c r="M134" s="184">
        <v>2.5</v>
      </c>
      <c r="N134" s="184"/>
      <c r="O134" s="184"/>
      <c r="P134" s="184"/>
      <c r="Q134" s="184" t="str">
        <f>Q131</f>
        <v>80 km/h</v>
      </c>
      <c r="R134" s="184"/>
      <c r="S134" s="184"/>
      <c r="T134" s="184"/>
      <c r="AA134" s="21" t="s">
        <v>917</v>
      </c>
      <c r="AB134" s="21">
        <v>128</v>
      </c>
    </row>
    <row r="135" spans="1:28" ht="15" x14ac:dyDescent="0.25">
      <c r="A135" s="224" t="s">
        <v>129</v>
      </c>
      <c r="B135" s="83">
        <v>74128</v>
      </c>
      <c r="C135" s="176" t="str">
        <f t="shared" si="17"/>
        <v>PSR_9830.99_DN_80 km/h</v>
      </c>
      <c r="D135" s="177" t="s">
        <v>1045</v>
      </c>
      <c r="E135" s="177" t="s">
        <v>188</v>
      </c>
      <c r="F135" s="178"/>
      <c r="G135" s="179">
        <v>9830.99</v>
      </c>
      <c r="H135" s="179">
        <f t="shared" si="15"/>
        <v>9830.99</v>
      </c>
      <c r="I135" s="230">
        <f>IF("generated"=1, "Path=MMRBEM_7_DOWN, Scaled Offset=9830.9899999999997817212715744972229", 10203.8431062561)</f>
        <v>10203.843106256099</v>
      </c>
      <c r="J135" s="178"/>
      <c r="K135" s="178"/>
      <c r="L135" s="178"/>
      <c r="M135" s="178">
        <v>-2.5</v>
      </c>
      <c r="N135" s="178"/>
      <c r="O135" s="178"/>
      <c r="P135" s="178"/>
      <c r="Q135" s="180" t="s">
        <v>1048</v>
      </c>
      <c r="R135" s="181"/>
      <c r="S135" s="178"/>
      <c r="T135" s="178"/>
      <c r="AA135" s="21" t="s">
        <v>917</v>
      </c>
      <c r="AB135" s="21">
        <v>129</v>
      </c>
    </row>
    <row r="136" spans="1:28" ht="15" x14ac:dyDescent="0.25">
      <c r="A136" s="224" t="s">
        <v>129</v>
      </c>
      <c r="B136">
        <v>74129</v>
      </c>
      <c r="C136" s="176" t="str">
        <f t="shared" si="17"/>
        <v>PSR_9830.99_UP_55 km/h</v>
      </c>
      <c r="D136" s="177" t="s">
        <v>1045</v>
      </c>
      <c r="E136" s="177" t="str">
        <f>E135</f>
        <v>MMRBEM_7_DOWN</v>
      </c>
      <c r="F136" s="178"/>
      <c r="G136" s="179">
        <f>G135</f>
        <v>9830.99</v>
      </c>
      <c r="H136" s="179">
        <f t="shared" si="15"/>
        <v>9830.99</v>
      </c>
      <c r="I136" s="230">
        <f>IF("generated"=1, "Path=MMRBEM_7_DOWN, Scaled Offset=9830.9899999999997817212715744972229", 10203.8431062561)</f>
        <v>10203.843106256099</v>
      </c>
      <c r="J136" s="178"/>
      <c r="K136" s="178"/>
      <c r="L136" s="178">
        <v>1</v>
      </c>
      <c r="M136" s="178">
        <v>2.5</v>
      </c>
      <c r="N136" s="178"/>
      <c r="O136" s="178"/>
      <c r="P136" s="178"/>
      <c r="Q136" s="178" t="str">
        <f>Q133</f>
        <v>55 km/h</v>
      </c>
      <c r="R136" s="181"/>
      <c r="S136" s="178"/>
      <c r="T136" s="178"/>
      <c r="AA136" s="21" t="s">
        <v>917</v>
      </c>
      <c r="AB136" s="21">
        <v>130</v>
      </c>
    </row>
    <row r="137" spans="1:28" ht="15" x14ac:dyDescent="0.25">
      <c r="A137" s="224" t="s">
        <v>129</v>
      </c>
      <c r="B137" s="83">
        <v>74130</v>
      </c>
      <c r="C137" s="182" t="str">
        <f>"PSR_"&amp;G137&amp;IF(L137=0,"_DN_","_UP_")&amp;Q137</f>
        <v>PSR_9879.56_DN_55 km/h</v>
      </c>
      <c r="D137" s="183" t="s">
        <v>1045</v>
      </c>
      <c r="E137" s="184" t="s">
        <v>188</v>
      </c>
      <c r="F137" s="184"/>
      <c r="G137" s="179">
        <v>9879.56</v>
      </c>
      <c r="H137" s="185">
        <f t="shared" si="15"/>
        <v>9879.56</v>
      </c>
      <c r="I137" s="230">
        <f>IF("generated"=1, "Path=MMRBEM_7_DOWN, Scaled Offset=9879.5599999999994906829670071601868", 10251.4900957242)</f>
        <v>10251.490095724201</v>
      </c>
      <c r="J137" s="184"/>
      <c r="K137" s="184"/>
      <c r="L137" s="184"/>
      <c r="M137" s="184">
        <v>-2.5</v>
      </c>
      <c r="N137" s="184"/>
      <c r="O137" s="184"/>
      <c r="P137" s="184"/>
      <c r="Q137" s="180" t="s">
        <v>1050</v>
      </c>
      <c r="R137" s="184"/>
      <c r="S137" s="184"/>
      <c r="T137" s="184"/>
      <c r="AA137" s="21" t="s">
        <v>917</v>
      </c>
      <c r="AB137" s="21">
        <v>131</v>
      </c>
    </row>
    <row r="138" spans="1:28" ht="15" x14ac:dyDescent="0.25">
      <c r="A138" s="224" t="s">
        <v>129</v>
      </c>
      <c r="B138">
        <v>74131</v>
      </c>
      <c r="C138" s="182" t="str">
        <f t="shared" ref="C138:C144" si="18">"PSR_"&amp;G138&amp;IF(L138=0,"_DN_","_UP_")&amp;Q138</f>
        <v>PSR_9879.56_UP_80 km/h</v>
      </c>
      <c r="D138" s="183" t="s">
        <v>1045</v>
      </c>
      <c r="E138" s="183" t="str">
        <f>E137</f>
        <v>MMRBEM_7_DOWN</v>
      </c>
      <c r="F138" s="184"/>
      <c r="G138" s="179">
        <f>G137</f>
        <v>9879.56</v>
      </c>
      <c r="H138" s="185">
        <f t="shared" si="15"/>
        <v>9879.56</v>
      </c>
      <c r="I138" s="230">
        <f>IF("generated"=1, "Path=MMRBEM_7_DOWN, Scaled Offset=9879.5599999999994906829670071601868", 10251.4900957242)</f>
        <v>10251.490095724201</v>
      </c>
      <c r="J138" s="184"/>
      <c r="K138" s="184"/>
      <c r="L138" s="184">
        <v>1</v>
      </c>
      <c r="M138" s="184">
        <v>2.5</v>
      </c>
      <c r="N138" s="184"/>
      <c r="O138" s="184"/>
      <c r="P138" s="184"/>
      <c r="Q138" s="184" t="str">
        <f>Q135</f>
        <v>80 km/h</v>
      </c>
      <c r="R138" s="184"/>
      <c r="S138" s="184"/>
      <c r="T138" s="184"/>
      <c r="AA138" s="21" t="s">
        <v>917</v>
      </c>
      <c r="AB138" s="21">
        <v>132</v>
      </c>
    </row>
    <row r="139" spans="1:28" ht="15" x14ac:dyDescent="0.25">
      <c r="A139" s="224" t="s">
        <v>129</v>
      </c>
      <c r="B139" s="83">
        <v>74132</v>
      </c>
      <c r="C139" s="176" t="str">
        <f t="shared" si="18"/>
        <v>PSR_9989.43_DN_80 km/h</v>
      </c>
      <c r="D139" s="177" t="s">
        <v>1045</v>
      </c>
      <c r="E139" s="177" t="s">
        <v>188</v>
      </c>
      <c r="F139" s="178"/>
      <c r="G139" s="179">
        <v>9989.43</v>
      </c>
      <c r="H139" s="179">
        <f t="shared" si="15"/>
        <v>9989.43</v>
      </c>
      <c r="I139" s="230">
        <f>IF("generated"=1, "Path=MMRBEM_7_DOWN, Scaled Offset=9989.4300000000002910383045673370361", 10359.2721573437)</f>
        <v>10359.272157343699</v>
      </c>
      <c r="J139" s="178"/>
      <c r="K139" s="178"/>
      <c r="L139" s="178"/>
      <c r="M139" s="178">
        <v>-2.5</v>
      </c>
      <c r="N139" s="178"/>
      <c r="O139" s="178"/>
      <c r="P139" s="178"/>
      <c r="Q139" s="180" t="s">
        <v>1048</v>
      </c>
      <c r="R139" s="181"/>
      <c r="S139" s="178"/>
      <c r="T139" s="178"/>
      <c r="AA139" s="21" t="s">
        <v>917</v>
      </c>
      <c r="AB139" s="21">
        <v>133</v>
      </c>
    </row>
    <row r="140" spans="1:28" ht="15" x14ac:dyDescent="0.25">
      <c r="A140" s="224" t="s">
        <v>129</v>
      </c>
      <c r="B140">
        <v>74133</v>
      </c>
      <c r="C140" s="176" t="str">
        <f t="shared" si="18"/>
        <v>PSR_9989.43_UP_55 km/h</v>
      </c>
      <c r="D140" s="177" t="s">
        <v>1045</v>
      </c>
      <c r="E140" s="177" t="str">
        <f>E139</f>
        <v>MMRBEM_7_DOWN</v>
      </c>
      <c r="F140" s="178"/>
      <c r="G140" s="179">
        <f>G139</f>
        <v>9989.43</v>
      </c>
      <c r="H140" s="179">
        <f t="shared" si="15"/>
        <v>9989.43</v>
      </c>
      <c r="I140" s="230">
        <f>IF("generated"=1, "Path=MMRBEM_7_DOWN, Scaled Offset=9989.4300000000002910383045673370361", 10359.2721573437)</f>
        <v>10359.272157343699</v>
      </c>
      <c r="J140" s="178"/>
      <c r="K140" s="178"/>
      <c r="L140" s="178">
        <v>1</v>
      </c>
      <c r="M140" s="178">
        <v>2.5</v>
      </c>
      <c r="N140" s="178"/>
      <c r="O140" s="178"/>
      <c r="P140" s="178"/>
      <c r="Q140" s="178" t="str">
        <f>Q137</f>
        <v>55 km/h</v>
      </c>
      <c r="R140" s="181"/>
      <c r="S140" s="178"/>
      <c r="T140" s="178"/>
      <c r="AA140" s="21" t="s">
        <v>917</v>
      </c>
      <c r="AB140" s="21">
        <v>134</v>
      </c>
    </row>
    <row r="141" spans="1:28" ht="15" x14ac:dyDescent="0.25">
      <c r="A141" s="224" t="s">
        <v>129</v>
      </c>
      <c r="B141" s="83">
        <v>74134</v>
      </c>
      <c r="C141" s="182" t="str">
        <f t="shared" si="18"/>
        <v>PSR_10426.58_DN_80 km/h</v>
      </c>
      <c r="D141" s="183" t="s">
        <v>1045</v>
      </c>
      <c r="E141" s="184" t="s">
        <v>188</v>
      </c>
      <c r="F141" s="184"/>
      <c r="G141" s="179">
        <v>10426.58</v>
      </c>
      <c r="H141" s="185">
        <f t="shared" si="15"/>
        <v>10426.58</v>
      </c>
      <c r="I141" s="230">
        <f>IF("generated"=1, "Path=MMRBEM_7_DOWN, Scaled Offset=10426.579999999999927240423858165741", 10788.1146824821)</f>
        <v>10788.114682482101</v>
      </c>
      <c r="J141" s="184"/>
      <c r="K141" s="184"/>
      <c r="L141" s="184"/>
      <c r="M141" s="184">
        <v>-2.5</v>
      </c>
      <c r="N141" s="184"/>
      <c r="O141" s="184"/>
      <c r="P141" s="184"/>
      <c r="Q141" s="180" t="s">
        <v>1048</v>
      </c>
      <c r="R141" s="184"/>
      <c r="S141" s="184"/>
      <c r="T141" s="184"/>
      <c r="AA141" s="21" t="s">
        <v>917</v>
      </c>
      <c r="AB141" s="21">
        <v>135</v>
      </c>
    </row>
    <row r="142" spans="1:28" ht="15" x14ac:dyDescent="0.25">
      <c r="A142" s="224" t="s">
        <v>129</v>
      </c>
      <c r="B142">
        <v>74135</v>
      </c>
      <c r="C142" s="182" t="str">
        <f t="shared" si="18"/>
        <v>PSR_10426.58_UP_80 km/h</v>
      </c>
      <c r="D142" s="183" t="s">
        <v>1045</v>
      </c>
      <c r="E142" s="183" t="str">
        <f>E141</f>
        <v>MMRBEM_7_DOWN</v>
      </c>
      <c r="F142" s="184"/>
      <c r="G142" s="179">
        <f>G141</f>
        <v>10426.58</v>
      </c>
      <c r="H142" s="185">
        <f t="shared" si="15"/>
        <v>10426.58</v>
      </c>
      <c r="I142" s="230">
        <f>IF("generated"=1, "Path=MMRBEM_7_DOWN, Scaled Offset=10426.579999999999927240423858165741", 10788.1146824821)</f>
        <v>10788.114682482101</v>
      </c>
      <c r="J142" s="184"/>
      <c r="K142" s="184"/>
      <c r="L142" s="184">
        <v>1</v>
      </c>
      <c r="M142" s="184">
        <v>2.5</v>
      </c>
      <c r="N142" s="184"/>
      <c r="O142" s="184"/>
      <c r="P142" s="184"/>
      <c r="Q142" s="184" t="str">
        <f>Q139</f>
        <v>80 km/h</v>
      </c>
      <c r="R142" s="184"/>
      <c r="S142" s="184"/>
      <c r="T142" s="184"/>
      <c r="AA142" s="21" t="s">
        <v>917</v>
      </c>
      <c r="AB142" s="21">
        <v>136</v>
      </c>
    </row>
    <row r="143" spans="1:28" ht="15" x14ac:dyDescent="0.25">
      <c r="A143" s="224" t="s">
        <v>129</v>
      </c>
      <c r="B143" s="83">
        <v>74136</v>
      </c>
      <c r="C143" s="176" t="str">
        <f t="shared" si="18"/>
        <v>PSR_10503.22_DN_80 km/h</v>
      </c>
      <c r="D143" s="177" t="s">
        <v>1045</v>
      </c>
      <c r="E143" s="177" t="s">
        <v>188</v>
      </c>
      <c r="F143" s="178"/>
      <c r="G143" s="179">
        <v>10503.22</v>
      </c>
      <c r="H143" s="179">
        <f t="shared" si="15"/>
        <v>10503.22</v>
      </c>
      <c r="I143" s="230">
        <f>IF("generated"=1, "Path=MMRBEM_7_DOWN, Scaled Offset=10503.219999999999345163814723491669", 10863.2982376156)</f>
        <v>10863.2982376156</v>
      </c>
      <c r="J143" s="178"/>
      <c r="K143" s="178"/>
      <c r="L143" s="178"/>
      <c r="M143" s="178">
        <v>-2.5</v>
      </c>
      <c r="N143" s="178"/>
      <c r="O143" s="178"/>
      <c r="P143" s="178"/>
      <c r="Q143" s="180" t="s">
        <v>1048</v>
      </c>
      <c r="R143" s="181"/>
      <c r="S143" s="178"/>
      <c r="T143" s="178"/>
      <c r="AA143" s="21" t="s">
        <v>917</v>
      </c>
      <c r="AB143" s="21">
        <v>137</v>
      </c>
    </row>
    <row r="144" spans="1:28" ht="15" x14ac:dyDescent="0.25">
      <c r="A144" s="224" t="s">
        <v>129</v>
      </c>
      <c r="B144">
        <v>74137</v>
      </c>
      <c r="C144" s="176" t="str">
        <f t="shared" si="18"/>
        <v>PSR_10503.22_UP_80 km/h</v>
      </c>
      <c r="D144" s="177" t="s">
        <v>1045</v>
      </c>
      <c r="E144" s="177" t="str">
        <f>E143</f>
        <v>MMRBEM_7_DOWN</v>
      </c>
      <c r="F144" s="178"/>
      <c r="G144" s="179">
        <f>G143</f>
        <v>10503.22</v>
      </c>
      <c r="H144" s="179">
        <f t="shared" si="15"/>
        <v>10503.22</v>
      </c>
      <c r="I144" s="230">
        <f>IF("generated"=1, "Path=MMRBEM_7_DOWN, Scaled Offset=10503.219999999999345163814723491669", 10863.2982376156)</f>
        <v>10863.2982376156</v>
      </c>
      <c r="J144" s="178"/>
      <c r="K144" s="178"/>
      <c r="L144" s="178">
        <v>1</v>
      </c>
      <c r="M144" s="178">
        <v>2.5</v>
      </c>
      <c r="N144" s="178"/>
      <c r="O144" s="178"/>
      <c r="P144" s="178"/>
      <c r="Q144" s="178" t="str">
        <f>Q141</f>
        <v>80 km/h</v>
      </c>
      <c r="R144" s="181"/>
      <c r="S144" s="178"/>
      <c r="T144" s="178"/>
      <c r="AA144" s="21" t="s">
        <v>917</v>
      </c>
      <c r="AB144" s="21">
        <v>138</v>
      </c>
    </row>
    <row r="145" spans="1:28" ht="15" x14ac:dyDescent="0.25">
      <c r="A145" s="224" t="s">
        <v>129</v>
      </c>
      <c r="B145" s="83">
        <v>74138</v>
      </c>
      <c r="C145" s="182" t="str">
        <f>"PSR_"&amp;G145&amp;IF(L145=0,"_DN_","_UP_")&amp;Q145</f>
        <v>PSR_10543.41_DN_70 km/h</v>
      </c>
      <c r="D145" s="183" t="s">
        <v>1045</v>
      </c>
      <c r="E145" s="184" t="s">
        <v>188</v>
      </c>
      <c r="F145" s="184"/>
      <c r="G145" s="179">
        <v>10543.41</v>
      </c>
      <c r="H145" s="185">
        <f t="shared" si="15"/>
        <v>10543.41</v>
      </c>
      <c r="I145" s="230">
        <f>IF("generated"=1, "Path=MMRBEM_7_DOWN, Scaled Offset=10543.409999999999854480847716331482", 10902.7244782317)</f>
        <v>10902.724478231699</v>
      </c>
      <c r="J145" s="184"/>
      <c r="K145" s="184"/>
      <c r="L145" s="184"/>
      <c r="M145" s="184">
        <v>-2.5</v>
      </c>
      <c r="N145" s="184"/>
      <c r="O145" s="184"/>
      <c r="P145" s="184"/>
      <c r="Q145" s="180" t="s">
        <v>1047</v>
      </c>
      <c r="R145" s="184"/>
      <c r="S145" s="184"/>
      <c r="T145" s="184"/>
      <c r="AA145" s="21" t="s">
        <v>917</v>
      </c>
      <c r="AB145" s="21">
        <v>139</v>
      </c>
    </row>
    <row r="146" spans="1:28" ht="15" x14ac:dyDescent="0.25">
      <c r="A146" s="224" t="s">
        <v>129</v>
      </c>
      <c r="B146">
        <v>74139</v>
      </c>
      <c r="C146" s="182" t="str">
        <f t="shared" ref="C146:C154" si="19">"PSR_"&amp;G146&amp;IF(L146=0,"_DN_","_UP_")&amp;Q146</f>
        <v>PSR_10543.41_UP_80 km/h</v>
      </c>
      <c r="D146" s="183" t="s">
        <v>1045</v>
      </c>
      <c r="E146" s="183" t="str">
        <f>E145</f>
        <v>MMRBEM_7_DOWN</v>
      </c>
      <c r="F146" s="184"/>
      <c r="G146" s="179">
        <f>G145</f>
        <v>10543.41</v>
      </c>
      <c r="H146" s="185">
        <f t="shared" si="15"/>
        <v>10543.41</v>
      </c>
      <c r="I146" s="230">
        <f>IF("generated"=1, "Path=MMRBEM_7_DOWN, Scaled Offset=10543.409999999999854480847716331482", 10902.7244782317)</f>
        <v>10902.724478231699</v>
      </c>
      <c r="J146" s="184"/>
      <c r="K146" s="184"/>
      <c r="L146" s="184">
        <v>1</v>
      </c>
      <c r="M146" s="184">
        <v>2.5</v>
      </c>
      <c r="N146" s="184"/>
      <c r="O146" s="184"/>
      <c r="P146" s="184"/>
      <c r="Q146" s="184" t="str">
        <f>Q143</f>
        <v>80 km/h</v>
      </c>
      <c r="R146" s="184"/>
      <c r="S146" s="184"/>
      <c r="T146" s="184"/>
      <c r="AA146" s="21" t="s">
        <v>917</v>
      </c>
      <c r="AB146" s="21">
        <v>140</v>
      </c>
    </row>
    <row r="147" spans="1:28" ht="15" x14ac:dyDescent="0.25">
      <c r="A147" s="224" t="s">
        <v>129</v>
      </c>
      <c r="B147" s="83">
        <v>74140</v>
      </c>
      <c r="C147" s="176" t="str">
        <f t="shared" si="19"/>
        <v>PSR_10710.68_DN_70 km/h</v>
      </c>
      <c r="D147" s="177" t="s">
        <v>1045</v>
      </c>
      <c r="E147" s="177" t="s">
        <v>188</v>
      </c>
      <c r="F147" s="178"/>
      <c r="G147" s="179">
        <v>10710.68</v>
      </c>
      <c r="H147" s="179">
        <f t="shared" si="15"/>
        <v>10710.68</v>
      </c>
      <c r="I147" s="230">
        <f>IF("generated"=1, "Path=MMRBEM_7_DOWN, Scaled Offset=10710.680000000000291038304567337036", 11066.8157264987)</f>
        <v>11066.8157264987</v>
      </c>
      <c r="J147" s="178"/>
      <c r="K147" s="178"/>
      <c r="L147" s="178"/>
      <c r="M147" s="178">
        <v>-2.5</v>
      </c>
      <c r="N147" s="178"/>
      <c r="O147" s="178"/>
      <c r="P147" s="178"/>
      <c r="Q147" s="180" t="s">
        <v>1047</v>
      </c>
      <c r="R147" s="181"/>
      <c r="S147" s="178"/>
      <c r="T147" s="178"/>
      <c r="AA147" s="21" t="s">
        <v>917</v>
      </c>
      <c r="AB147" s="21">
        <v>141</v>
      </c>
    </row>
    <row r="148" spans="1:28" ht="15" x14ac:dyDescent="0.25">
      <c r="A148" s="224" t="s">
        <v>129</v>
      </c>
      <c r="B148">
        <v>74141</v>
      </c>
      <c r="C148" s="176" t="str">
        <f t="shared" si="19"/>
        <v>PSR_10710.68_UP_70 km/h</v>
      </c>
      <c r="D148" s="177" t="s">
        <v>1045</v>
      </c>
      <c r="E148" s="177" t="str">
        <f>E147</f>
        <v>MMRBEM_7_DOWN</v>
      </c>
      <c r="F148" s="178"/>
      <c r="G148" s="179">
        <f>G147</f>
        <v>10710.68</v>
      </c>
      <c r="H148" s="179">
        <f t="shared" si="15"/>
        <v>10710.68</v>
      </c>
      <c r="I148" s="230">
        <f>IF("generated"=1, "Path=MMRBEM_7_DOWN, Scaled Offset=10710.680000000000291038304567337036", 11066.8157264987)</f>
        <v>11066.8157264987</v>
      </c>
      <c r="J148" s="178"/>
      <c r="K148" s="178"/>
      <c r="L148" s="178">
        <v>1</v>
      </c>
      <c r="M148" s="178">
        <v>2.5</v>
      </c>
      <c r="N148" s="178"/>
      <c r="O148" s="178"/>
      <c r="P148" s="178"/>
      <c r="Q148" s="178" t="str">
        <f>Q145</f>
        <v>70 km/h</v>
      </c>
      <c r="R148" s="181"/>
      <c r="S148" s="178"/>
      <c r="T148" s="178"/>
      <c r="AA148" s="21" t="s">
        <v>917</v>
      </c>
      <c r="AB148" s="21">
        <v>142</v>
      </c>
    </row>
    <row r="149" spans="1:28" ht="15" x14ac:dyDescent="0.25">
      <c r="A149" s="224" t="s">
        <v>129</v>
      </c>
      <c r="B149" s="83">
        <v>74142</v>
      </c>
      <c r="C149" s="182" t="str">
        <f t="shared" si="19"/>
        <v>PSR_11065.84_DN_70 km/h</v>
      </c>
      <c r="D149" s="183" t="s">
        <v>1045</v>
      </c>
      <c r="E149" s="184" t="s">
        <v>188</v>
      </c>
      <c r="F149" s="184"/>
      <c r="G149" s="179">
        <v>11065.84</v>
      </c>
      <c r="H149" s="185">
        <f t="shared" si="15"/>
        <v>11065.84</v>
      </c>
      <c r="I149" s="230">
        <f>IF("generated"=1, "Path=MMRBEM_7_DOWN, Scaled Offset=11065.840000000000145519152283668518", 11415.2263663893)</f>
        <v>11415.226366389301</v>
      </c>
      <c r="J149" s="184"/>
      <c r="K149" s="184"/>
      <c r="L149" s="184"/>
      <c r="M149" s="184">
        <v>-2.5</v>
      </c>
      <c r="N149" s="184"/>
      <c r="O149" s="184"/>
      <c r="P149" s="184"/>
      <c r="Q149" s="180" t="s">
        <v>1047</v>
      </c>
      <c r="R149" s="184"/>
      <c r="S149" s="184"/>
      <c r="T149" s="184"/>
      <c r="AA149" s="21" t="s">
        <v>917</v>
      </c>
      <c r="AB149" s="21">
        <v>143</v>
      </c>
    </row>
    <row r="150" spans="1:28" ht="15" x14ac:dyDescent="0.25">
      <c r="A150" s="224" t="s">
        <v>129</v>
      </c>
      <c r="B150">
        <v>74143</v>
      </c>
      <c r="C150" s="182" t="str">
        <f t="shared" si="19"/>
        <v>PSR_11065.84_UP_70 km/h</v>
      </c>
      <c r="D150" s="183" t="s">
        <v>1045</v>
      </c>
      <c r="E150" s="183" t="str">
        <f>E149</f>
        <v>MMRBEM_7_DOWN</v>
      </c>
      <c r="F150" s="184"/>
      <c r="G150" s="179">
        <f>G149</f>
        <v>11065.84</v>
      </c>
      <c r="H150" s="185">
        <f t="shared" si="15"/>
        <v>11065.84</v>
      </c>
      <c r="I150" s="230">
        <f>IF("generated"=1, "Path=MMRBEM_7_DOWN, Scaled Offset=11065.840000000000145519152283668518", 11415.2263663893)</f>
        <v>11415.226366389301</v>
      </c>
      <c r="J150" s="184"/>
      <c r="K150" s="184"/>
      <c r="L150" s="184">
        <v>1</v>
      </c>
      <c r="M150" s="184">
        <v>2.5</v>
      </c>
      <c r="N150" s="184"/>
      <c r="O150" s="184"/>
      <c r="P150" s="184"/>
      <c r="Q150" s="184" t="str">
        <f>Q147</f>
        <v>70 km/h</v>
      </c>
      <c r="R150" s="184"/>
      <c r="S150" s="184"/>
      <c r="T150" s="184"/>
      <c r="AA150" s="21" t="s">
        <v>917</v>
      </c>
      <c r="AB150" s="21">
        <v>144</v>
      </c>
    </row>
    <row r="151" spans="1:28" ht="15" x14ac:dyDescent="0.25">
      <c r="A151" s="224" t="s">
        <v>129</v>
      </c>
      <c r="B151" s="83">
        <v>74144</v>
      </c>
      <c r="C151" s="176" t="str">
        <f t="shared" si="19"/>
        <v>PSR_11329.84_DN_80 km/h</v>
      </c>
      <c r="D151" s="177" t="s">
        <v>1045</v>
      </c>
      <c r="E151" s="177" t="s">
        <v>188</v>
      </c>
      <c r="F151" s="178"/>
      <c r="G151" s="179">
        <v>11329.84</v>
      </c>
      <c r="H151" s="179">
        <f t="shared" si="15"/>
        <v>11329.84</v>
      </c>
      <c r="I151" s="230">
        <f>IF("generated"=1, "Path=MMRBEM_7_DOWN, Scaled Offset=11329.840000000000145519152283668518", 11674.2093851163)</f>
        <v>11674.209385116301</v>
      </c>
      <c r="J151" s="178"/>
      <c r="K151" s="178"/>
      <c r="L151" s="178"/>
      <c r="M151" s="178">
        <v>-2.5</v>
      </c>
      <c r="N151" s="178"/>
      <c r="O151" s="178"/>
      <c r="P151" s="178"/>
      <c r="Q151" s="180" t="s">
        <v>1048</v>
      </c>
      <c r="R151" s="181"/>
      <c r="S151" s="178"/>
      <c r="T151" s="178"/>
      <c r="AA151" s="21" t="s">
        <v>917</v>
      </c>
      <c r="AB151" s="21">
        <v>145</v>
      </c>
    </row>
    <row r="152" spans="1:28" ht="15" x14ac:dyDescent="0.25">
      <c r="A152" s="224" t="s">
        <v>129</v>
      </c>
      <c r="B152">
        <v>74145</v>
      </c>
      <c r="C152" s="176" t="str">
        <f t="shared" si="19"/>
        <v>PSR_11329.84_UP_70 km/h</v>
      </c>
      <c r="D152" s="177" t="s">
        <v>1045</v>
      </c>
      <c r="E152" s="177" t="str">
        <f>E151</f>
        <v>MMRBEM_7_DOWN</v>
      </c>
      <c r="F152" s="178"/>
      <c r="G152" s="179">
        <f>G151</f>
        <v>11329.84</v>
      </c>
      <c r="H152" s="179">
        <f t="shared" si="15"/>
        <v>11329.84</v>
      </c>
      <c r="I152" s="230">
        <f>IF("generated"=1, "Path=MMRBEM_7_DOWN, Scaled Offset=11329.840000000000145519152283668518", 11674.2093851163)</f>
        <v>11674.209385116301</v>
      </c>
      <c r="J152" s="178"/>
      <c r="K152" s="178"/>
      <c r="L152" s="178">
        <v>1</v>
      </c>
      <c r="M152" s="178">
        <v>2.5</v>
      </c>
      <c r="N152" s="178"/>
      <c r="O152" s="178"/>
      <c r="P152" s="178"/>
      <c r="Q152" s="178" t="str">
        <f>Q149</f>
        <v>70 km/h</v>
      </c>
      <c r="R152" s="181"/>
      <c r="S152" s="178"/>
      <c r="T152" s="178"/>
      <c r="AA152" s="21" t="s">
        <v>917</v>
      </c>
      <c r="AB152" s="21">
        <v>146</v>
      </c>
    </row>
    <row r="153" spans="1:28" ht="15" x14ac:dyDescent="0.25">
      <c r="A153" s="224" t="s">
        <v>129</v>
      </c>
      <c r="B153" s="83">
        <v>74146</v>
      </c>
      <c r="C153" s="182" t="str">
        <f t="shared" si="19"/>
        <v>PSR_11433.37_DN_80 km/h</v>
      </c>
      <c r="D153" s="183" t="s">
        <v>1045</v>
      </c>
      <c r="E153" s="184" t="s">
        <v>188</v>
      </c>
      <c r="F153" s="184"/>
      <c r="G153" s="179">
        <v>11433.37</v>
      </c>
      <c r="H153" s="185">
        <f t="shared" si="15"/>
        <v>11433.37</v>
      </c>
      <c r="I153" s="230">
        <f>IF("generated"=1, "Path=MMRBEM_7_DOWN, Scaled Offset=11433.370000000000800355337560176849", 11775.7719303013)</f>
        <v>11775.7719303013</v>
      </c>
      <c r="J153" s="184"/>
      <c r="K153" s="184"/>
      <c r="L153" s="184"/>
      <c r="M153" s="184">
        <v>-2.5</v>
      </c>
      <c r="N153" s="184"/>
      <c r="O153" s="184"/>
      <c r="P153" s="184"/>
      <c r="Q153" s="180" t="s">
        <v>1048</v>
      </c>
      <c r="R153" s="184"/>
      <c r="S153" s="184"/>
      <c r="T153" s="184"/>
      <c r="AA153" s="21" t="s">
        <v>917</v>
      </c>
      <c r="AB153" s="21">
        <v>147</v>
      </c>
    </row>
    <row r="154" spans="1:28" ht="15" x14ac:dyDescent="0.25">
      <c r="A154" s="224" t="s">
        <v>129</v>
      </c>
      <c r="B154">
        <v>74147</v>
      </c>
      <c r="C154" s="182" t="str">
        <f t="shared" si="19"/>
        <v>PSR_11433.37_UP_80 km/h</v>
      </c>
      <c r="D154" s="183" t="s">
        <v>1045</v>
      </c>
      <c r="E154" s="183" t="str">
        <f>E153</f>
        <v>MMRBEM_7_DOWN</v>
      </c>
      <c r="F154" s="184"/>
      <c r="G154" s="179">
        <f>G153</f>
        <v>11433.37</v>
      </c>
      <c r="H154" s="185">
        <f t="shared" si="15"/>
        <v>11433.37</v>
      </c>
      <c r="I154" s="230">
        <f>IF("generated"=1, "Path=MMRBEM_7_DOWN, Scaled Offset=11433.370000000000800355337560176849", 11775.7719303013)</f>
        <v>11775.7719303013</v>
      </c>
      <c r="J154" s="184"/>
      <c r="K154" s="184"/>
      <c r="L154" s="184">
        <v>1</v>
      </c>
      <c r="M154" s="184">
        <v>2.5</v>
      </c>
      <c r="N154" s="184"/>
      <c r="O154" s="184"/>
      <c r="P154" s="184"/>
      <c r="Q154" s="184" t="str">
        <f>Q151</f>
        <v>80 km/h</v>
      </c>
      <c r="R154" s="184"/>
      <c r="S154" s="184"/>
      <c r="T154" s="184"/>
      <c r="AA154" s="21" t="s">
        <v>917</v>
      </c>
      <c r="AB154" s="21">
        <v>148</v>
      </c>
    </row>
    <row r="155" spans="1:28" ht="15" x14ac:dyDescent="0.25">
      <c r="A155" s="224" t="s">
        <v>129</v>
      </c>
      <c r="B155" s="83">
        <v>74148</v>
      </c>
      <c r="C155" s="176" t="str">
        <f>"PSR_"&amp;G155&amp;IF(L155=0,"_DN_","_UP_")&amp;Q155</f>
        <v>PSR_11518.21_DN_80 km/h</v>
      </c>
      <c r="D155" s="177" t="s">
        <v>1045</v>
      </c>
      <c r="E155" s="177" t="s">
        <v>188</v>
      </c>
      <c r="F155" s="178"/>
      <c r="G155" s="179">
        <v>11518.21</v>
      </c>
      <c r="H155" s="179">
        <f t="shared" si="15"/>
        <v>11518.21</v>
      </c>
      <c r="I155" s="230">
        <f>IF("generated"=1, "Path=MMRBEM_7_DOWN, Scaled Offset=11518.209999999999126885086297988892", 11858.9996549558)</f>
        <v>11858.9996549558</v>
      </c>
      <c r="J155" s="178"/>
      <c r="K155" s="178"/>
      <c r="L155" s="178"/>
      <c r="M155" s="178">
        <v>-2.5</v>
      </c>
      <c r="N155" s="178"/>
      <c r="O155" s="178"/>
      <c r="P155" s="178"/>
      <c r="Q155" s="180" t="s">
        <v>1048</v>
      </c>
      <c r="R155" s="181"/>
      <c r="S155" s="178"/>
      <c r="T155" s="178"/>
      <c r="AA155" s="21" t="s">
        <v>917</v>
      </c>
      <c r="AB155" s="21">
        <v>149</v>
      </c>
    </row>
    <row r="156" spans="1:28" ht="15" x14ac:dyDescent="0.25">
      <c r="A156" s="224" t="s">
        <v>129</v>
      </c>
      <c r="B156">
        <v>74149</v>
      </c>
      <c r="C156" s="176" t="str">
        <f t="shared" ref="C156:C162" si="20">"PSR_"&amp;G156&amp;IF(L156=0,"_DN_","_UP_")&amp;Q156</f>
        <v>PSR_11518.21_UP_80 km/h</v>
      </c>
      <c r="D156" s="177" t="s">
        <v>1045</v>
      </c>
      <c r="E156" s="177" t="str">
        <f>E155</f>
        <v>MMRBEM_7_DOWN</v>
      </c>
      <c r="F156" s="178"/>
      <c r="G156" s="179">
        <f>G155</f>
        <v>11518.21</v>
      </c>
      <c r="H156" s="179">
        <f t="shared" si="15"/>
        <v>11518.21</v>
      </c>
      <c r="I156" s="230">
        <f>IF("generated"=1, "Path=MMRBEM_7_DOWN, Scaled Offset=11518.209999999999126885086297988892", 11858.9996549558)</f>
        <v>11858.9996549558</v>
      </c>
      <c r="J156" s="178"/>
      <c r="K156" s="178"/>
      <c r="L156" s="178">
        <v>1</v>
      </c>
      <c r="M156" s="178">
        <v>2.5</v>
      </c>
      <c r="N156" s="178"/>
      <c r="O156" s="178"/>
      <c r="P156" s="178"/>
      <c r="Q156" s="178" t="str">
        <f>Q153</f>
        <v>80 km/h</v>
      </c>
      <c r="R156" s="181"/>
      <c r="S156" s="178"/>
      <c r="T156" s="178"/>
      <c r="AA156" s="21" t="s">
        <v>917</v>
      </c>
      <c r="AB156" s="21">
        <v>150</v>
      </c>
    </row>
    <row r="157" spans="1:28" ht="15" x14ac:dyDescent="0.25">
      <c r="A157" s="224" t="s">
        <v>129</v>
      </c>
      <c r="B157" s="83">
        <v>74150</v>
      </c>
      <c r="C157" s="182" t="str">
        <f t="shared" si="20"/>
        <v>PSR_11545.09_DN_80 km/h</v>
      </c>
      <c r="D157" s="183" t="s">
        <v>1045</v>
      </c>
      <c r="E157" s="184" t="s">
        <v>188</v>
      </c>
      <c r="F157" s="184"/>
      <c r="G157" s="179">
        <v>11545.09</v>
      </c>
      <c r="H157" s="185">
        <f t="shared" si="15"/>
        <v>11545.09</v>
      </c>
      <c r="I157" s="230">
        <f>IF("generated"=1, "Path=MMRBEM_7_DOWN, Scaled Offset=11545.090000000000145519152283668518", 11885.3688350444)</f>
        <v>11885.368835044401</v>
      </c>
      <c r="J157" s="184"/>
      <c r="K157" s="184"/>
      <c r="L157" s="184"/>
      <c r="M157" s="184">
        <v>-2.5</v>
      </c>
      <c r="N157" s="184"/>
      <c r="O157" s="184"/>
      <c r="P157" s="184"/>
      <c r="Q157" s="180" t="s">
        <v>1048</v>
      </c>
      <c r="R157" s="184"/>
      <c r="S157" s="184"/>
      <c r="T157" s="184"/>
      <c r="AA157" s="21" t="s">
        <v>917</v>
      </c>
      <c r="AB157" s="21">
        <v>151</v>
      </c>
    </row>
    <row r="158" spans="1:28" ht="15" x14ac:dyDescent="0.25">
      <c r="A158" s="224" t="s">
        <v>129</v>
      </c>
      <c r="B158">
        <v>74151</v>
      </c>
      <c r="C158" s="182" t="str">
        <f t="shared" si="20"/>
        <v>PSR_11545.09_UP_80 km/h</v>
      </c>
      <c r="D158" s="183" t="s">
        <v>1045</v>
      </c>
      <c r="E158" s="183" t="str">
        <f>E157</f>
        <v>MMRBEM_7_DOWN</v>
      </c>
      <c r="F158" s="184"/>
      <c r="G158" s="179">
        <f>G157</f>
        <v>11545.09</v>
      </c>
      <c r="H158" s="185">
        <f t="shared" si="15"/>
        <v>11545.09</v>
      </c>
      <c r="I158" s="230">
        <f>IF("generated"=1, "Path=MMRBEM_7_DOWN, Scaled Offset=11545.090000000000145519152283668518", 11885.3688350444)</f>
        <v>11885.368835044401</v>
      </c>
      <c r="J158" s="184"/>
      <c r="K158" s="184"/>
      <c r="L158" s="184">
        <v>1</v>
      </c>
      <c r="M158" s="184">
        <v>2.5</v>
      </c>
      <c r="N158" s="184"/>
      <c r="O158" s="184"/>
      <c r="P158" s="184"/>
      <c r="Q158" s="184" t="str">
        <f>Q155</f>
        <v>80 km/h</v>
      </c>
      <c r="R158" s="184"/>
      <c r="S158" s="184"/>
      <c r="T158" s="184"/>
      <c r="AA158" s="21" t="s">
        <v>917</v>
      </c>
      <c r="AB158" s="21">
        <v>152</v>
      </c>
    </row>
    <row r="159" spans="1:28" ht="15" x14ac:dyDescent="0.25">
      <c r="A159" s="224" t="s">
        <v>129</v>
      </c>
      <c r="B159" s="83">
        <v>74152</v>
      </c>
      <c r="C159" s="176" t="str">
        <f t="shared" si="20"/>
        <v>PSR_11655.02_DN_80 km/h</v>
      </c>
      <c r="D159" s="177" t="s">
        <v>1045</v>
      </c>
      <c r="E159" s="177" t="s">
        <v>188</v>
      </c>
      <c r="F159" s="178"/>
      <c r="G159" s="179">
        <v>11655.02</v>
      </c>
      <c r="H159" s="179">
        <f t="shared" si="15"/>
        <v>11655.02</v>
      </c>
      <c r="I159" s="230">
        <f>IF("generated"=1, "Path=MMRBEM_7_DOWN, Scaled Offset=11655.020000000000436557456851005554", 11993.2097564409)</f>
        <v>11993.2097564409</v>
      </c>
      <c r="J159" s="178"/>
      <c r="K159" s="178"/>
      <c r="L159" s="178"/>
      <c r="M159" s="178">
        <v>-2.5</v>
      </c>
      <c r="N159" s="178"/>
      <c r="O159" s="178"/>
      <c r="P159" s="178"/>
      <c r="Q159" s="180" t="s">
        <v>1048</v>
      </c>
      <c r="R159" s="181"/>
      <c r="S159" s="178"/>
      <c r="T159" s="178"/>
      <c r="AA159" s="21" t="s">
        <v>917</v>
      </c>
      <c r="AB159" s="21">
        <v>153</v>
      </c>
    </row>
    <row r="160" spans="1:28" ht="15" x14ac:dyDescent="0.25">
      <c r="A160" s="224" t="s">
        <v>129</v>
      </c>
      <c r="B160">
        <v>74153</v>
      </c>
      <c r="C160" s="176" t="str">
        <f t="shared" si="20"/>
        <v>PSR_11655.02_UP_80 km/h</v>
      </c>
      <c r="D160" s="177" t="s">
        <v>1045</v>
      </c>
      <c r="E160" s="177" t="str">
        <f>E159</f>
        <v>MMRBEM_7_DOWN</v>
      </c>
      <c r="F160" s="178"/>
      <c r="G160" s="179">
        <f>G159</f>
        <v>11655.02</v>
      </c>
      <c r="H160" s="179">
        <f t="shared" si="15"/>
        <v>11655.02</v>
      </c>
      <c r="I160" s="230">
        <f>IF("generated"=1, "Path=MMRBEM_7_DOWN, Scaled Offset=11655.020000000000436557456851005554", 11993.2097564409)</f>
        <v>11993.2097564409</v>
      </c>
      <c r="J160" s="178"/>
      <c r="K160" s="178"/>
      <c r="L160" s="178">
        <v>1</v>
      </c>
      <c r="M160" s="178">
        <v>2.5</v>
      </c>
      <c r="N160" s="178"/>
      <c r="O160" s="178"/>
      <c r="P160" s="178"/>
      <c r="Q160" s="178" t="str">
        <f>Q157</f>
        <v>80 km/h</v>
      </c>
      <c r="R160" s="181"/>
      <c r="S160" s="178"/>
      <c r="T160" s="178"/>
      <c r="AA160" s="21" t="s">
        <v>917</v>
      </c>
      <c r="AB160" s="21">
        <v>154</v>
      </c>
    </row>
    <row r="161" spans="1:28" ht="15" x14ac:dyDescent="0.25">
      <c r="A161" s="224" t="s">
        <v>129</v>
      </c>
      <c r="B161" s="83">
        <v>74154</v>
      </c>
      <c r="C161" s="182" t="str">
        <f t="shared" si="20"/>
        <v>PSR_11852.22_DN_70 km/h</v>
      </c>
      <c r="D161" s="183" t="s">
        <v>1045</v>
      </c>
      <c r="E161" s="184" t="s">
        <v>188</v>
      </c>
      <c r="F161" s="184"/>
      <c r="G161" s="179">
        <v>11852.22</v>
      </c>
      <c r="H161" s="185">
        <f t="shared" si="15"/>
        <v>11852.22</v>
      </c>
      <c r="I161" s="230">
        <f>IF("generated"=1, "Path=MMRBEM_7_DOWN, Scaled Offset=11852.219999999999345163814723491669", 12186.6622234597)</f>
        <v>12186.6622234597</v>
      </c>
      <c r="J161" s="184"/>
      <c r="K161" s="184"/>
      <c r="L161" s="184"/>
      <c r="M161" s="184">
        <v>-2.5</v>
      </c>
      <c r="N161" s="184"/>
      <c r="O161" s="184"/>
      <c r="P161" s="184"/>
      <c r="Q161" s="180" t="s">
        <v>1047</v>
      </c>
      <c r="R161" s="184"/>
      <c r="S161" s="184"/>
      <c r="T161" s="184"/>
      <c r="AA161" s="21" t="s">
        <v>917</v>
      </c>
      <c r="AB161" s="21">
        <v>155</v>
      </c>
    </row>
    <row r="162" spans="1:28" ht="15" x14ac:dyDescent="0.25">
      <c r="A162" s="224" t="s">
        <v>129</v>
      </c>
      <c r="B162">
        <v>74155</v>
      </c>
      <c r="C162" s="182" t="str">
        <f t="shared" si="20"/>
        <v>PSR_11852.22_UP_80 km/h</v>
      </c>
      <c r="D162" s="183" t="s">
        <v>1045</v>
      </c>
      <c r="E162" s="183" t="str">
        <f>E161</f>
        <v>MMRBEM_7_DOWN</v>
      </c>
      <c r="F162" s="184"/>
      <c r="G162" s="179">
        <f>G161</f>
        <v>11852.22</v>
      </c>
      <c r="H162" s="185">
        <f t="shared" si="15"/>
        <v>11852.22</v>
      </c>
      <c r="I162" s="230">
        <f>IF("generated"=1, "Path=MMRBEM_7_DOWN, Scaled Offset=11852.219999999999345163814723491669", 12186.6622234597)</f>
        <v>12186.6622234597</v>
      </c>
      <c r="J162" s="184"/>
      <c r="K162" s="184"/>
      <c r="L162" s="184">
        <v>1</v>
      </c>
      <c r="M162" s="184">
        <v>2.5</v>
      </c>
      <c r="N162" s="184"/>
      <c r="O162" s="184"/>
      <c r="P162" s="184"/>
      <c r="Q162" s="184" t="str">
        <f>Q159</f>
        <v>80 km/h</v>
      </c>
      <c r="R162" s="184"/>
      <c r="S162" s="184"/>
      <c r="T162" s="184"/>
      <c r="AA162" s="21" t="s">
        <v>917</v>
      </c>
      <c r="AB162" s="21">
        <v>156</v>
      </c>
    </row>
    <row r="163" spans="1:28" ht="15" x14ac:dyDescent="0.25">
      <c r="A163" s="224" t="s">
        <v>129</v>
      </c>
      <c r="B163" s="83">
        <v>74156</v>
      </c>
      <c r="C163" s="176" t="str">
        <f>"PSR_"&amp;G163&amp;IF(L163=0,"_DN_","_UP_")&amp;Q163</f>
        <v>PSR_11928.67_DN_70 km/h</v>
      </c>
      <c r="D163" s="177" t="s">
        <v>1045</v>
      </c>
      <c r="E163" s="177" t="s">
        <v>188</v>
      </c>
      <c r="F163" s="178"/>
      <c r="G163" s="179">
        <v>11928.67</v>
      </c>
      <c r="H163" s="179">
        <f t="shared" si="15"/>
        <v>11928.67</v>
      </c>
      <c r="I163" s="230">
        <f>IF("generated"=1, "Path=MMRBEM_7_DOWN, Scaled Offset=11928.670000000000072759576141834259", 12261.6593892995)</f>
        <v>12261.659389299501</v>
      </c>
      <c r="J163" s="178"/>
      <c r="K163" s="178"/>
      <c r="L163" s="178"/>
      <c r="M163" s="178">
        <v>-2.5</v>
      </c>
      <c r="N163" s="178"/>
      <c r="O163" s="178"/>
      <c r="P163" s="178"/>
      <c r="Q163" s="180" t="s">
        <v>1047</v>
      </c>
      <c r="R163" s="181"/>
      <c r="S163" s="178"/>
      <c r="T163" s="178"/>
      <c r="AA163" s="21" t="s">
        <v>917</v>
      </c>
      <c r="AB163" s="21">
        <v>157</v>
      </c>
    </row>
    <row r="164" spans="1:28" ht="15" x14ac:dyDescent="0.25">
      <c r="A164" s="224" t="s">
        <v>129</v>
      </c>
      <c r="B164">
        <v>74157</v>
      </c>
      <c r="C164" s="176" t="str">
        <f t="shared" ref="C164:C172" si="21">"PSR_"&amp;G164&amp;IF(L164=0,"_DN_","_UP_")&amp;Q164</f>
        <v>PSR_11928.67_UP_70 km/h</v>
      </c>
      <c r="D164" s="177" t="s">
        <v>1045</v>
      </c>
      <c r="E164" s="177" t="str">
        <f>E163</f>
        <v>MMRBEM_7_DOWN</v>
      </c>
      <c r="F164" s="178"/>
      <c r="G164" s="179">
        <f>G163</f>
        <v>11928.67</v>
      </c>
      <c r="H164" s="179">
        <f t="shared" si="15"/>
        <v>11928.67</v>
      </c>
      <c r="I164" s="230">
        <f>IF("generated"=1, "Path=MMRBEM_7_DOWN, Scaled Offset=11928.670000000000072759576141834259", 12261.6593892995)</f>
        <v>12261.659389299501</v>
      </c>
      <c r="J164" s="178"/>
      <c r="K164" s="178"/>
      <c r="L164" s="178">
        <v>1</v>
      </c>
      <c r="M164" s="178">
        <v>2.5</v>
      </c>
      <c r="N164" s="178"/>
      <c r="O164" s="178"/>
      <c r="P164" s="178"/>
      <c r="Q164" s="178" t="str">
        <f>Q161</f>
        <v>70 km/h</v>
      </c>
      <c r="R164" s="181"/>
      <c r="S164" s="178"/>
      <c r="T164" s="178"/>
      <c r="AA164" s="21" t="s">
        <v>917</v>
      </c>
      <c r="AB164" s="21">
        <v>158</v>
      </c>
    </row>
    <row r="165" spans="1:28" ht="15" x14ac:dyDescent="0.25">
      <c r="A165" s="224" t="s">
        <v>129</v>
      </c>
      <c r="B165" s="83">
        <v>74158</v>
      </c>
      <c r="C165" s="182" t="str">
        <f t="shared" si="21"/>
        <v>PSR_12015.61_DN_80 km/h</v>
      </c>
      <c r="D165" s="183" t="s">
        <v>1045</v>
      </c>
      <c r="E165" s="184" t="s">
        <v>188</v>
      </c>
      <c r="F165" s="184"/>
      <c r="G165" s="179">
        <v>12015.61</v>
      </c>
      <c r="H165" s="185">
        <f t="shared" si="15"/>
        <v>12015.61</v>
      </c>
      <c r="I165" s="230">
        <f>IF("generated"=1, "Path=MMRBEM_7_DOWN, Scaled Offset=12015.610000000000582076609134674072", 12346.9472061484)</f>
        <v>12346.947206148399</v>
      </c>
      <c r="J165" s="184"/>
      <c r="K165" s="184"/>
      <c r="L165" s="184"/>
      <c r="M165" s="184">
        <v>-2.5</v>
      </c>
      <c r="N165" s="184"/>
      <c r="O165" s="184"/>
      <c r="P165" s="184"/>
      <c r="Q165" s="180" t="s">
        <v>1048</v>
      </c>
      <c r="R165" s="184"/>
      <c r="S165" s="184"/>
      <c r="T165" s="184"/>
      <c r="AA165" s="21" t="s">
        <v>917</v>
      </c>
      <c r="AB165" s="21">
        <v>159</v>
      </c>
    </row>
    <row r="166" spans="1:28" ht="15" x14ac:dyDescent="0.25">
      <c r="A166" s="224" t="s">
        <v>129</v>
      </c>
      <c r="B166">
        <v>74159</v>
      </c>
      <c r="C166" s="182" t="str">
        <f t="shared" si="21"/>
        <v>PSR_12015.61_UP_70 km/h</v>
      </c>
      <c r="D166" s="183" t="s">
        <v>1045</v>
      </c>
      <c r="E166" s="183" t="str">
        <f>E165</f>
        <v>MMRBEM_7_DOWN</v>
      </c>
      <c r="F166" s="184"/>
      <c r="G166" s="179">
        <f>G165</f>
        <v>12015.61</v>
      </c>
      <c r="H166" s="185">
        <f t="shared" si="15"/>
        <v>12015.61</v>
      </c>
      <c r="I166" s="230">
        <f>IF("generated"=1, "Path=MMRBEM_7_DOWN, Scaled Offset=12015.610000000000582076609134674072", 12346.9472061484)</f>
        <v>12346.947206148399</v>
      </c>
      <c r="J166" s="184"/>
      <c r="K166" s="184"/>
      <c r="L166" s="184">
        <v>1</v>
      </c>
      <c r="M166" s="184">
        <v>2.5</v>
      </c>
      <c r="N166" s="184"/>
      <c r="O166" s="184"/>
      <c r="P166" s="184"/>
      <c r="Q166" s="184" t="str">
        <f>Q163</f>
        <v>70 km/h</v>
      </c>
      <c r="R166" s="184"/>
      <c r="S166" s="184"/>
      <c r="T166" s="184"/>
      <c r="AA166" s="21" t="s">
        <v>917</v>
      </c>
      <c r="AB166" s="21">
        <v>160</v>
      </c>
    </row>
    <row r="167" spans="1:28" ht="15" x14ac:dyDescent="0.25">
      <c r="A167" s="224" t="s">
        <v>129</v>
      </c>
      <c r="B167" s="83">
        <v>74160</v>
      </c>
      <c r="C167" s="176" t="str">
        <f t="shared" si="21"/>
        <v>PSR_12202.31_DN_80 km/h</v>
      </c>
      <c r="D167" s="177" t="s">
        <v>1045</v>
      </c>
      <c r="E167" s="177" t="s">
        <v>188</v>
      </c>
      <c r="F167" s="178"/>
      <c r="G167" s="179">
        <v>12202.31</v>
      </c>
      <c r="H167" s="179">
        <f t="shared" si="15"/>
        <v>12202.31</v>
      </c>
      <c r="I167" s="230">
        <f>IF("generated"=1, "Path=MMRBEM_7_DOWN, Scaled Offset=12202.309999999999490682967007160187", 12530.0992121952)</f>
        <v>12530.0992121952</v>
      </c>
      <c r="J167" s="178"/>
      <c r="K167" s="178"/>
      <c r="L167" s="178"/>
      <c r="M167" s="178">
        <v>-2.5</v>
      </c>
      <c r="N167" s="178"/>
      <c r="O167" s="178"/>
      <c r="P167" s="178"/>
      <c r="Q167" s="180" t="s">
        <v>1048</v>
      </c>
      <c r="R167" s="181"/>
      <c r="S167" s="178"/>
      <c r="T167" s="178"/>
      <c r="AA167" s="21" t="s">
        <v>917</v>
      </c>
      <c r="AB167" s="21">
        <v>161</v>
      </c>
    </row>
    <row r="168" spans="1:28" ht="15" x14ac:dyDescent="0.25">
      <c r="A168" s="224" t="s">
        <v>129</v>
      </c>
      <c r="B168">
        <v>74161</v>
      </c>
      <c r="C168" s="176" t="str">
        <f t="shared" si="21"/>
        <v>PSR_12202.31_UP_80 km/h</v>
      </c>
      <c r="D168" s="177" t="s">
        <v>1045</v>
      </c>
      <c r="E168" s="177" t="str">
        <f>E167</f>
        <v>MMRBEM_7_DOWN</v>
      </c>
      <c r="F168" s="178"/>
      <c r="G168" s="179">
        <f>G167</f>
        <v>12202.31</v>
      </c>
      <c r="H168" s="179">
        <f t="shared" si="15"/>
        <v>12202.31</v>
      </c>
      <c r="I168" s="230">
        <f>IF("generated"=1, "Path=MMRBEM_7_DOWN, Scaled Offset=12202.309999999999490682967007160187", 12530.0992121952)</f>
        <v>12530.0992121952</v>
      </c>
      <c r="J168" s="178"/>
      <c r="K168" s="178"/>
      <c r="L168" s="178">
        <v>1</v>
      </c>
      <c r="M168" s="178">
        <v>2.5</v>
      </c>
      <c r="N168" s="178"/>
      <c r="O168" s="178"/>
      <c r="P168" s="178"/>
      <c r="Q168" s="178" t="str">
        <f>Q165</f>
        <v>80 km/h</v>
      </c>
      <c r="R168" s="181"/>
      <c r="S168" s="178"/>
      <c r="T168" s="178"/>
      <c r="AA168" s="21" t="s">
        <v>917</v>
      </c>
      <c r="AB168" s="21">
        <v>162</v>
      </c>
    </row>
    <row r="169" spans="1:28" ht="15" x14ac:dyDescent="0.25">
      <c r="A169" s="224" t="s">
        <v>129</v>
      </c>
      <c r="B169" s="83">
        <v>74162</v>
      </c>
      <c r="C169" s="182" t="str">
        <f t="shared" si="21"/>
        <v>PSR_12281.8_DN_80 km/h</v>
      </c>
      <c r="D169" s="183" t="s">
        <v>1045</v>
      </c>
      <c r="E169" s="184" t="s">
        <v>188</v>
      </c>
      <c r="F169" s="184"/>
      <c r="G169" s="179">
        <v>12281.8</v>
      </c>
      <c r="H169" s="185">
        <f t="shared" si="15"/>
        <v>12281.8</v>
      </c>
      <c r="I169" s="230">
        <f>IF("generated"=1, "Path=MMRBEM_7_DOWN, Scaled Offset=12281.79999999999927240423858165741", 12608.0786067354)</f>
        <v>12608.0786067354</v>
      </c>
      <c r="J169" s="184"/>
      <c r="K169" s="184"/>
      <c r="L169" s="184"/>
      <c r="M169" s="184">
        <v>-2.5</v>
      </c>
      <c r="N169" s="184"/>
      <c r="O169" s="184"/>
      <c r="P169" s="184"/>
      <c r="Q169" s="180" t="s">
        <v>1048</v>
      </c>
      <c r="R169" s="184"/>
      <c r="S169" s="184"/>
      <c r="T169" s="184"/>
      <c r="AA169" s="21" t="s">
        <v>917</v>
      </c>
      <c r="AB169" s="21">
        <v>163</v>
      </c>
    </row>
    <row r="170" spans="1:28" ht="15" x14ac:dyDescent="0.25">
      <c r="A170" s="224" t="s">
        <v>129</v>
      </c>
      <c r="B170">
        <v>74163</v>
      </c>
      <c r="C170" s="182" t="str">
        <f t="shared" si="21"/>
        <v>PSR_12281.8_UP_80 km/h</v>
      </c>
      <c r="D170" s="183" t="s">
        <v>1045</v>
      </c>
      <c r="E170" s="183" t="str">
        <f>E169</f>
        <v>MMRBEM_7_DOWN</v>
      </c>
      <c r="F170" s="184"/>
      <c r="G170" s="179">
        <f>G169</f>
        <v>12281.8</v>
      </c>
      <c r="H170" s="185">
        <f t="shared" si="15"/>
        <v>12281.8</v>
      </c>
      <c r="I170" s="230">
        <f>IF("generated"=1, "Path=MMRBEM_7_DOWN, Scaled Offset=12281.79999999999927240423858165741", 12608.0786067354)</f>
        <v>12608.0786067354</v>
      </c>
      <c r="J170" s="184"/>
      <c r="K170" s="184"/>
      <c r="L170" s="184">
        <v>1</v>
      </c>
      <c r="M170" s="184">
        <v>2.5</v>
      </c>
      <c r="N170" s="184"/>
      <c r="O170" s="184"/>
      <c r="P170" s="184"/>
      <c r="Q170" s="184" t="str">
        <f>Q167</f>
        <v>80 km/h</v>
      </c>
      <c r="R170" s="184"/>
      <c r="S170" s="184"/>
      <c r="T170" s="184"/>
      <c r="AA170" s="21" t="s">
        <v>917</v>
      </c>
      <c r="AB170" s="21">
        <v>164</v>
      </c>
    </row>
    <row r="171" spans="1:28" ht="15" x14ac:dyDescent="0.25">
      <c r="A171" s="224" t="s">
        <v>129</v>
      </c>
      <c r="B171" s="83">
        <v>74164</v>
      </c>
      <c r="C171" s="176" t="str">
        <f t="shared" si="21"/>
        <v>PSR_12346.6_DN_80 km/h</v>
      </c>
      <c r="D171" s="177" t="s">
        <v>1045</v>
      </c>
      <c r="E171" s="177" t="s">
        <v>188</v>
      </c>
      <c r="F171" s="178"/>
      <c r="G171" s="179">
        <v>12346.6</v>
      </c>
      <c r="H171" s="179">
        <f t="shared" si="15"/>
        <v>12346.6</v>
      </c>
      <c r="I171" s="230">
        <f>IF("generated"=1, "Path=MMRBEM_7_DOWN, Scaled Offset=12346.600000000000363797880709171295", 12671.6471658775)</f>
        <v>12671.647165877501</v>
      </c>
      <c r="J171" s="178"/>
      <c r="K171" s="178"/>
      <c r="L171" s="178"/>
      <c r="M171" s="178">
        <v>-2.5</v>
      </c>
      <c r="N171" s="178"/>
      <c r="O171" s="178"/>
      <c r="P171" s="178"/>
      <c r="Q171" s="180" t="s">
        <v>1048</v>
      </c>
      <c r="R171" s="181"/>
      <c r="S171" s="178"/>
      <c r="T171" s="178"/>
      <c r="AA171" s="21" t="s">
        <v>917</v>
      </c>
      <c r="AB171" s="21">
        <v>165</v>
      </c>
    </row>
    <row r="172" spans="1:28" ht="15" x14ac:dyDescent="0.25">
      <c r="A172" s="224" t="s">
        <v>129</v>
      </c>
      <c r="B172">
        <v>74165</v>
      </c>
      <c r="C172" s="176" t="str">
        <f t="shared" si="21"/>
        <v>PSR_12346.6_UP_80 km/h</v>
      </c>
      <c r="D172" s="177" t="s">
        <v>1045</v>
      </c>
      <c r="E172" s="177" t="str">
        <f>E171</f>
        <v>MMRBEM_7_DOWN</v>
      </c>
      <c r="F172" s="178"/>
      <c r="G172" s="179">
        <f>G171</f>
        <v>12346.6</v>
      </c>
      <c r="H172" s="179">
        <f t="shared" si="15"/>
        <v>12346.6</v>
      </c>
      <c r="I172" s="230">
        <f>IF("generated"=1, "Path=MMRBEM_7_DOWN, Scaled Offset=12346.600000000000363797880709171295", 12671.6471658775)</f>
        <v>12671.647165877501</v>
      </c>
      <c r="J172" s="178"/>
      <c r="K172" s="178"/>
      <c r="L172" s="178">
        <v>1</v>
      </c>
      <c r="M172" s="178">
        <v>2.5</v>
      </c>
      <c r="N172" s="178"/>
      <c r="O172" s="178"/>
      <c r="P172" s="178"/>
      <c r="Q172" s="178" t="str">
        <f>Q169</f>
        <v>80 km/h</v>
      </c>
      <c r="R172" s="181"/>
      <c r="S172" s="178"/>
      <c r="T172" s="178"/>
      <c r="AA172" s="21" t="s">
        <v>917</v>
      </c>
      <c r="AB172" s="21">
        <v>166</v>
      </c>
    </row>
    <row r="173" spans="1:28" ht="15" x14ac:dyDescent="0.25">
      <c r="A173" s="224" t="s">
        <v>129</v>
      </c>
      <c r="B173" s="83">
        <v>74166</v>
      </c>
      <c r="C173" s="182" t="str">
        <f>"PSR_"&amp;G173&amp;IF(L173=0,"_DN_","_UP_")&amp;Q173</f>
        <v>PSR_12425.73_DN_80 km/h</v>
      </c>
      <c r="D173" s="183" t="s">
        <v>1045</v>
      </c>
      <c r="E173" s="184" t="s">
        <v>188</v>
      </c>
      <c r="F173" s="184"/>
      <c r="G173" s="179">
        <v>12425.73</v>
      </c>
      <c r="H173" s="185">
        <f t="shared" si="15"/>
        <v>12425.73</v>
      </c>
      <c r="I173" s="230">
        <f>IF("generated"=1, "Path=MMRBEM_7_DOWN, Scaled Offset=12425.729999999999563442543148994446", 12749.2734017558)</f>
        <v>12749.2734017558</v>
      </c>
      <c r="J173" s="184"/>
      <c r="K173" s="184"/>
      <c r="L173" s="184"/>
      <c r="M173" s="184">
        <v>-2.5</v>
      </c>
      <c r="N173" s="184"/>
      <c r="O173" s="184"/>
      <c r="P173" s="184"/>
      <c r="Q173" s="180" t="s">
        <v>1048</v>
      </c>
      <c r="R173" s="184"/>
      <c r="S173" s="184"/>
      <c r="T173" s="184"/>
      <c r="AA173" s="21" t="s">
        <v>917</v>
      </c>
      <c r="AB173" s="21">
        <v>167</v>
      </c>
    </row>
    <row r="174" spans="1:28" ht="15" x14ac:dyDescent="0.25">
      <c r="A174" s="224" t="s">
        <v>129</v>
      </c>
      <c r="B174">
        <v>74167</v>
      </c>
      <c r="C174" s="182" t="str">
        <f t="shared" ref="C174:C184" si="22">"PSR_"&amp;G174&amp;IF(L174=0,"_DN_","_UP_")&amp;Q174</f>
        <v>PSR_12425.73_UP_80 km/h</v>
      </c>
      <c r="D174" s="183" t="s">
        <v>1045</v>
      </c>
      <c r="E174" s="183" t="str">
        <f>E173</f>
        <v>MMRBEM_7_DOWN</v>
      </c>
      <c r="F174" s="184"/>
      <c r="G174" s="179">
        <f>G173</f>
        <v>12425.73</v>
      </c>
      <c r="H174" s="185">
        <f t="shared" si="15"/>
        <v>12425.73</v>
      </c>
      <c r="I174" s="230">
        <f>IF("generated"=1, "Path=MMRBEM_7_DOWN, Scaled Offset=12425.729999999999563442543148994446", 12749.2734017558)</f>
        <v>12749.2734017558</v>
      </c>
      <c r="J174" s="184"/>
      <c r="K174" s="184"/>
      <c r="L174" s="184">
        <v>1</v>
      </c>
      <c r="M174" s="184">
        <v>2.5</v>
      </c>
      <c r="N174" s="184"/>
      <c r="O174" s="184"/>
      <c r="P174" s="184"/>
      <c r="Q174" s="184" t="str">
        <f>Q171</f>
        <v>80 km/h</v>
      </c>
      <c r="R174" s="184"/>
      <c r="S174" s="184"/>
      <c r="T174" s="184"/>
      <c r="AA174" s="21" t="s">
        <v>917</v>
      </c>
      <c r="AB174" s="21">
        <v>168</v>
      </c>
    </row>
    <row r="175" spans="1:28" ht="15" x14ac:dyDescent="0.25">
      <c r="A175" s="224" t="s">
        <v>129</v>
      </c>
      <c r="B175" s="83">
        <v>74168</v>
      </c>
      <c r="C175" s="176" t="str">
        <f t="shared" si="22"/>
        <v>PSR_12818.08_DN_55 km/h</v>
      </c>
      <c r="D175" s="177" t="s">
        <v>1045</v>
      </c>
      <c r="E175" s="177" t="s">
        <v>188</v>
      </c>
      <c r="F175" s="178"/>
      <c r="G175" s="179">
        <v>12818.08</v>
      </c>
      <c r="H175" s="179">
        <f t="shared" si="15"/>
        <v>12818.08</v>
      </c>
      <c r="I175" s="230">
        <f>IF("generated"=1, "Path=MMRBEM_7_DOWN, Scaled Offset=12818.079999999999927240423858165741", 13134.1672934133)</f>
        <v>13134.1672934133</v>
      </c>
      <c r="J175" s="178"/>
      <c r="K175" s="178"/>
      <c r="L175" s="178"/>
      <c r="M175" s="178">
        <v>-2.5</v>
      </c>
      <c r="N175" s="178"/>
      <c r="O175" s="178"/>
      <c r="P175" s="178"/>
      <c r="Q175" s="180" t="s">
        <v>1050</v>
      </c>
      <c r="R175" s="181"/>
      <c r="S175" s="178"/>
      <c r="T175" s="178"/>
      <c r="AA175" s="21" t="s">
        <v>917</v>
      </c>
      <c r="AB175" s="21">
        <v>169</v>
      </c>
    </row>
    <row r="176" spans="1:28" ht="15" x14ac:dyDescent="0.25">
      <c r="A176" s="224" t="s">
        <v>129</v>
      </c>
      <c r="B176">
        <v>74169</v>
      </c>
      <c r="C176" s="176" t="str">
        <f t="shared" si="22"/>
        <v>PSR_12818.08_UP_80 km/h</v>
      </c>
      <c r="D176" s="177" t="s">
        <v>1045</v>
      </c>
      <c r="E176" s="177" t="str">
        <f>E175</f>
        <v>MMRBEM_7_DOWN</v>
      </c>
      <c r="F176" s="178"/>
      <c r="G176" s="179">
        <f>G175</f>
        <v>12818.08</v>
      </c>
      <c r="H176" s="179">
        <f t="shared" si="15"/>
        <v>12818.08</v>
      </c>
      <c r="I176" s="230">
        <f>IF("generated"=1, "Path=MMRBEM_7_DOWN, Scaled Offset=12818.079999999999927240423858165741", 13134.1672934133)</f>
        <v>13134.1672934133</v>
      </c>
      <c r="J176" s="178"/>
      <c r="K176" s="178"/>
      <c r="L176" s="178">
        <v>1</v>
      </c>
      <c r="M176" s="178">
        <v>2.5</v>
      </c>
      <c r="N176" s="178"/>
      <c r="O176" s="178"/>
      <c r="P176" s="178"/>
      <c r="Q176" s="178" t="str">
        <f>Q173</f>
        <v>80 km/h</v>
      </c>
      <c r="R176" s="181"/>
      <c r="S176" s="178"/>
      <c r="T176" s="178"/>
      <c r="AA176" s="21" t="s">
        <v>917</v>
      </c>
      <c r="AB176" s="21">
        <v>170</v>
      </c>
    </row>
    <row r="177" spans="1:28" ht="15" x14ac:dyDescent="0.25">
      <c r="A177" s="224" t="s">
        <v>129</v>
      </c>
      <c r="B177" s="83">
        <v>74170</v>
      </c>
      <c r="C177" s="182" t="str">
        <f t="shared" si="22"/>
        <v>PSR_13053.37_DN_80 km/h</v>
      </c>
      <c r="D177" s="183" t="s">
        <v>1045</v>
      </c>
      <c r="E177" s="184" t="s">
        <v>188</v>
      </c>
      <c r="F177" s="184"/>
      <c r="G177" s="179">
        <v>13053.37</v>
      </c>
      <c r="H177" s="185">
        <f t="shared" ref="H177:H200" si="23">G177+F177</f>
        <v>13053.37</v>
      </c>
      <c r="I177" s="230">
        <f>IF("generated"=1, "Path=MMRBEM_7_DOWN, Scaled Offset=13053.370000000000800355337560176849", 13364.9859088538)</f>
        <v>13364.9859088538</v>
      </c>
      <c r="J177" s="184"/>
      <c r="K177" s="184"/>
      <c r="L177" s="184"/>
      <c r="M177" s="184">
        <v>-2.5</v>
      </c>
      <c r="N177" s="184"/>
      <c r="O177" s="184"/>
      <c r="P177" s="184"/>
      <c r="Q177" s="180" t="s">
        <v>1048</v>
      </c>
      <c r="R177" s="184"/>
      <c r="S177" s="184"/>
      <c r="T177" s="184"/>
      <c r="AA177" s="21" t="s">
        <v>917</v>
      </c>
      <c r="AB177" s="21">
        <v>171</v>
      </c>
    </row>
    <row r="178" spans="1:28" ht="15" x14ac:dyDescent="0.25">
      <c r="A178" s="224" t="s">
        <v>129</v>
      </c>
      <c r="B178">
        <v>74171</v>
      </c>
      <c r="C178" s="182" t="str">
        <f t="shared" si="22"/>
        <v>PSR_13053.37_UP_55 km/h</v>
      </c>
      <c r="D178" s="183" t="s">
        <v>1045</v>
      </c>
      <c r="E178" s="183" t="str">
        <f>E177</f>
        <v>MMRBEM_7_DOWN</v>
      </c>
      <c r="F178" s="184"/>
      <c r="G178" s="179">
        <f>G177</f>
        <v>13053.37</v>
      </c>
      <c r="H178" s="185">
        <f t="shared" si="23"/>
        <v>13053.37</v>
      </c>
      <c r="I178" s="230">
        <f>IF("generated"=1, "Path=MMRBEM_7_DOWN, Scaled Offset=13053.370000000000800355337560176849", 13364.9859088538)</f>
        <v>13364.9859088538</v>
      </c>
      <c r="J178" s="184"/>
      <c r="K178" s="184"/>
      <c r="L178" s="184">
        <v>1</v>
      </c>
      <c r="M178" s="184">
        <v>2.5</v>
      </c>
      <c r="N178" s="184"/>
      <c r="O178" s="184"/>
      <c r="P178" s="184"/>
      <c r="Q178" s="184" t="str">
        <f>Q175</f>
        <v>55 km/h</v>
      </c>
      <c r="R178" s="184"/>
      <c r="S178" s="184"/>
      <c r="T178" s="184"/>
      <c r="AA178" s="21" t="s">
        <v>917</v>
      </c>
      <c r="AB178" s="21">
        <v>172</v>
      </c>
    </row>
    <row r="179" spans="1:28" ht="15" x14ac:dyDescent="0.25">
      <c r="A179" s="224" t="s">
        <v>129</v>
      </c>
      <c r="B179" s="83">
        <v>74172</v>
      </c>
      <c r="C179" s="176" t="str">
        <f t="shared" si="22"/>
        <v>PSR_13404.44_DN_80 km/h</v>
      </c>
      <c r="D179" s="177" t="s">
        <v>1045</v>
      </c>
      <c r="E179" s="177" t="s">
        <v>188</v>
      </c>
      <c r="F179" s="178"/>
      <c r="G179" s="179">
        <v>13404.44</v>
      </c>
      <c r="H179" s="179">
        <f t="shared" si="23"/>
        <v>13404.44</v>
      </c>
      <c r="I179" s="230">
        <f>IF("generated"=1, "Path=MMRBEM_7_DOWN, Scaled Offset=13404.440000000000509317032992839813", 13709.3842739467)</f>
        <v>13709.3842739467</v>
      </c>
      <c r="J179" s="178"/>
      <c r="K179" s="178"/>
      <c r="L179" s="178"/>
      <c r="M179" s="178">
        <v>-2.5</v>
      </c>
      <c r="N179" s="178"/>
      <c r="O179" s="178"/>
      <c r="P179" s="178"/>
      <c r="Q179" s="180" t="s">
        <v>1048</v>
      </c>
      <c r="R179" s="181"/>
      <c r="S179" s="178"/>
      <c r="T179" s="178"/>
      <c r="AA179" s="21" t="s">
        <v>917</v>
      </c>
      <c r="AB179" s="21">
        <v>173</v>
      </c>
    </row>
    <row r="180" spans="1:28" ht="15" x14ac:dyDescent="0.25">
      <c r="A180" s="224" t="s">
        <v>129</v>
      </c>
      <c r="B180">
        <v>74173</v>
      </c>
      <c r="C180" s="176" t="str">
        <f t="shared" si="22"/>
        <v>PSR_13404.44_UP_80 km/h</v>
      </c>
      <c r="D180" s="177" t="s">
        <v>1045</v>
      </c>
      <c r="E180" s="177" t="str">
        <f>E179</f>
        <v>MMRBEM_7_DOWN</v>
      </c>
      <c r="F180" s="178"/>
      <c r="G180" s="179">
        <f>G179</f>
        <v>13404.44</v>
      </c>
      <c r="H180" s="179">
        <f t="shared" si="23"/>
        <v>13404.44</v>
      </c>
      <c r="I180" s="230">
        <f>IF("generated"=1, "Path=MMRBEM_7_DOWN, Scaled Offset=13404.440000000000509317032992839813", 13709.3842739467)</f>
        <v>13709.3842739467</v>
      </c>
      <c r="J180" s="178"/>
      <c r="K180" s="178"/>
      <c r="L180" s="178">
        <v>1</v>
      </c>
      <c r="M180" s="178">
        <v>2.5</v>
      </c>
      <c r="N180" s="178"/>
      <c r="O180" s="178"/>
      <c r="P180" s="178"/>
      <c r="Q180" s="178" t="str">
        <f>Q177</f>
        <v>80 km/h</v>
      </c>
      <c r="R180" s="181"/>
      <c r="S180" s="178"/>
      <c r="T180" s="178"/>
      <c r="AA180" s="21" t="s">
        <v>917</v>
      </c>
      <c r="AB180" s="21">
        <v>174</v>
      </c>
    </row>
    <row r="181" spans="1:28" ht="15" x14ac:dyDescent="0.25">
      <c r="A181" s="224" t="s">
        <v>129</v>
      </c>
      <c r="B181" s="83">
        <v>74174</v>
      </c>
      <c r="C181" s="182" t="str">
        <f t="shared" si="22"/>
        <v>PSR_13482.9_DN_80 km/h</v>
      </c>
      <c r="D181" s="183" t="s">
        <v>1045</v>
      </c>
      <c r="E181" s="184" t="s">
        <v>188</v>
      </c>
      <c r="F181" s="184"/>
      <c r="G181" s="179">
        <v>13482.9</v>
      </c>
      <c r="H181" s="185">
        <f t="shared" si="23"/>
        <v>13482.9</v>
      </c>
      <c r="I181" s="230">
        <f>IF("generated"=1, "Path=MMRBEM_7_DOWN, Scaled Offset=13482.899999999999636202119290828705", 13786.3532423154)</f>
        <v>13786.353242315399</v>
      </c>
      <c r="J181" s="184"/>
      <c r="K181" s="184"/>
      <c r="L181" s="184"/>
      <c r="M181" s="184">
        <v>-2.5</v>
      </c>
      <c r="N181" s="184"/>
      <c r="O181" s="184"/>
      <c r="P181" s="184"/>
      <c r="Q181" s="180" t="s">
        <v>1048</v>
      </c>
      <c r="R181" s="184"/>
      <c r="S181" s="184"/>
      <c r="T181" s="184"/>
      <c r="AA181" s="21" t="s">
        <v>917</v>
      </c>
      <c r="AB181" s="21">
        <v>175</v>
      </c>
    </row>
    <row r="182" spans="1:28" ht="15" x14ac:dyDescent="0.25">
      <c r="A182" s="224" t="s">
        <v>129</v>
      </c>
      <c r="B182">
        <v>74175</v>
      </c>
      <c r="C182" s="182" t="str">
        <f t="shared" si="22"/>
        <v>PSR_13482.9_UP_80 km/h</v>
      </c>
      <c r="D182" s="183" t="s">
        <v>1045</v>
      </c>
      <c r="E182" s="183" t="str">
        <f>E181</f>
        <v>MMRBEM_7_DOWN</v>
      </c>
      <c r="F182" s="184"/>
      <c r="G182" s="179">
        <f>G181</f>
        <v>13482.9</v>
      </c>
      <c r="H182" s="185">
        <f t="shared" si="23"/>
        <v>13482.9</v>
      </c>
      <c r="I182" s="230">
        <f>IF("generated"=1, "Path=MMRBEM_7_DOWN, Scaled Offset=13482.899999999999636202119290828705", 13786.3532423154)</f>
        <v>13786.353242315399</v>
      </c>
      <c r="J182" s="184"/>
      <c r="K182" s="184"/>
      <c r="L182" s="184">
        <v>1</v>
      </c>
      <c r="M182" s="184">
        <v>2.5</v>
      </c>
      <c r="N182" s="184"/>
      <c r="O182" s="184"/>
      <c r="P182" s="184"/>
      <c r="Q182" s="184" t="str">
        <f>Q179</f>
        <v>80 km/h</v>
      </c>
      <c r="R182" s="184"/>
      <c r="S182" s="184"/>
      <c r="T182" s="184"/>
      <c r="AA182" s="21" t="s">
        <v>917</v>
      </c>
      <c r="AB182" s="21">
        <v>176</v>
      </c>
    </row>
    <row r="183" spans="1:28" ht="15" x14ac:dyDescent="0.25">
      <c r="A183" s="224" t="s">
        <v>129</v>
      </c>
      <c r="B183" s="83">
        <v>74176</v>
      </c>
      <c r="C183" s="176" t="str">
        <f t="shared" si="22"/>
        <v>PSR_13855.46_DN_55 km/h</v>
      </c>
      <c r="D183" s="177" t="s">
        <v>1045</v>
      </c>
      <c r="E183" s="177" t="s">
        <v>188</v>
      </c>
      <c r="F183" s="178"/>
      <c r="G183" s="179">
        <v>13855.46</v>
      </c>
      <c r="H183" s="179">
        <f t="shared" si="23"/>
        <v>13855.46</v>
      </c>
      <c r="I183" s="230">
        <f>IF("generated"=1, "Path=MMRBEM_7_DOWN, Scaled Offset=13855.459999999999126885086297988892", 14151.8332175311)</f>
        <v>14151.833217531101</v>
      </c>
      <c r="J183" s="178"/>
      <c r="K183" s="178"/>
      <c r="L183" s="178"/>
      <c r="M183" s="178">
        <v>-2.5</v>
      </c>
      <c r="N183" s="178"/>
      <c r="O183" s="178"/>
      <c r="P183" s="178"/>
      <c r="Q183" s="180" t="s">
        <v>1050</v>
      </c>
      <c r="R183" s="181"/>
      <c r="S183" s="178"/>
      <c r="T183" s="178"/>
      <c r="AA183" s="21" t="s">
        <v>917</v>
      </c>
      <c r="AB183" s="21">
        <v>177</v>
      </c>
    </row>
    <row r="184" spans="1:28" ht="15" x14ac:dyDescent="0.25">
      <c r="A184" s="224" t="s">
        <v>129</v>
      </c>
      <c r="B184">
        <v>74177</v>
      </c>
      <c r="C184" s="176" t="str">
        <f t="shared" si="22"/>
        <v>PSR_13855.46_UP_80 km/h</v>
      </c>
      <c r="D184" s="177" t="s">
        <v>1045</v>
      </c>
      <c r="E184" s="177" t="str">
        <f>E183</f>
        <v>MMRBEM_7_DOWN</v>
      </c>
      <c r="F184" s="178"/>
      <c r="G184" s="179">
        <f>G183</f>
        <v>13855.46</v>
      </c>
      <c r="H184" s="179">
        <f t="shared" si="23"/>
        <v>13855.46</v>
      </c>
      <c r="I184" s="230">
        <f>IF("generated"=1, "Path=MMRBEM_7_DOWN, Scaled Offset=13855.459999999999126885086297988892", 14151.8332175311)</f>
        <v>14151.833217531101</v>
      </c>
      <c r="J184" s="178"/>
      <c r="K184" s="178"/>
      <c r="L184" s="178">
        <v>1</v>
      </c>
      <c r="M184" s="178">
        <v>2.5</v>
      </c>
      <c r="N184" s="178"/>
      <c r="O184" s="178"/>
      <c r="P184" s="178"/>
      <c r="Q184" s="178" t="str">
        <f>Q181</f>
        <v>80 km/h</v>
      </c>
      <c r="R184" s="181"/>
      <c r="S184" s="178"/>
      <c r="T184" s="178"/>
      <c r="AA184" s="21" t="s">
        <v>917</v>
      </c>
      <c r="AB184" s="21">
        <v>178</v>
      </c>
    </row>
    <row r="185" spans="1:28" ht="15" x14ac:dyDescent="0.25">
      <c r="A185" s="224" t="s">
        <v>129</v>
      </c>
      <c r="B185" s="83">
        <v>74178</v>
      </c>
      <c r="C185" s="182" t="str">
        <f>"PSR_"&amp;G185&amp;IF(L185=0,"_DN_","_UP_")&amp;Q185</f>
        <v>PSR_14001.21_DN_80 km/h</v>
      </c>
      <c r="D185" s="183" t="s">
        <v>1045</v>
      </c>
      <c r="E185" s="184" t="s">
        <v>188</v>
      </c>
      <c r="F185" s="184"/>
      <c r="G185" s="179">
        <v>14001.21</v>
      </c>
      <c r="H185" s="185">
        <f t="shared" si="23"/>
        <v>14001.21</v>
      </c>
      <c r="I185" s="230">
        <f>IF("generated"=1, "Path=MMRBEM_7_DOWN, Scaled Offset=14001.209999999999126885086297988892", 14294.8134257867)</f>
        <v>14294.8134257867</v>
      </c>
      <c r="J185" s="184"/>
      <c r="K185" s="184"/>
      <c r="L185" s="184"/>
      <c r="M185" s="184">
        <v>-2.5</v>
      </c>
      <c r="N185" s="184"/>
      <c r="O185" s="184"/>
      <c r="P185" s="184"/>
      <c r="Q185" s="180" t="s">
        <v>1048</v>
      </c>
      <c r="R185" s="184"/>
      <c r="S185" s="184"/>
      <c r="T185" s="184"/>
      <c r="AA185" s="21" t="s">
        <v>917</v>
      </c>
      <c r="AB185" s="21">
        <v>179</v>
      </c>
    </row>
    <row r="186" spans="1:28" ht="15" x14ac:dyDescent="0.25">
      <c r="A186" s="224" t="s">
        <v>129</v>
      </c>
      <c r="B186">
        <v>74179</v>
      </c>
      <c r="C186" s="182" t="str">
        <f t="shared" ref="C186:C192" si="24">"PSR_"&amp;G186&amp;IF(L186=0,"_DN_","_UP_")&amp;Q186</f>
        <v>PSR_14001.21_UP_55 km/h</v>
      </c>
      <c r="D186" s="183" t="s">
        <v>1045</v>
      </c>
      <c r="E186" s="183" t="str">
        <f>E185</f>
        <v>MMRBEM_7_DOWN</v>
      </c>
      <c r="F186" s="184"/>
      <c r="G186" s="179">
        <f>G185</f>
        <v>14001.21</v>
      </c>
      <c r="H186" s="185">
        <f t="shared" si="23"/>
        <v>14001.21</v>
      </c>
      <c r="I186" s="230">
        <f>IF("generated"=1, "Path=MMRBEM_7_DOWN, Scaled Offset=14001.209999999999126885086297988892", 14294.8134257867)</f>
        <v>14294.8134257867</v>
      </c>
      <c r="J186" s="184"/>
      <c r="K186" s="184"/>
      <c r="L186" s="184">
        <v>1</v>
      </c>
      <c r="M186" s="184">
        <v>2.5</v>
      </c>
      <c r="N186" s="184"/>
      <c r="O186" s="184"/>
      <c r="P186" s="184"/>
      <c r="Q186" s="184" t="str">
        <f>Q183</f>
        <v>55 km/h</v>
      </c>
      <c r="R186" s="184"/>
      <c r="S186" s="184"/>
      <c r="T186" s="184"/>
      <c r="AA186" s="21" t="s">
        <v>917</v>
      </c>
      <c r="AB186" s="21">
        <v>180</v>
      </c>
    </row>
    <row r="187" spans="1:28" ht="15" x14ac:dyDescent="0.25">
      <c r="A187" s="224" t="s">
        <v>129</v>
      </c>
      <c r="B187" s="83">
        <v>74180</v>
      </c>
      <c r="C187" s="176" t="str">
        <f t="shared" si="24"/>
        <v>PSR_14046.39_DN_80 km/h</v>
      </c>
      <c r="D187" s="177" t="s">
        <v>1045</v>
      </c>
      <c r="E187" s="177" t="s">
        <v>188</v>
      </c>
      <c r="F187" s="178"/>
      <c r="G187" s="179">
        <v>14046.39</v>
      </c>
      <c r="H187" s="179">
        <f t="shared" si="23"/>
        <v>14046.39</v>
      </c>
      <c r="I187" s="230">
        <f>IF("generated"=1, "Path=MMRBEM_7_DOWN, Scaled Offset=14046.389999999999417923390865325928", 14339.1348378552)</f>
        <v>14339.134837855199</v>
      </c>
      <c r="J187" s="178"/>
      <c r="K187" s="178"/>
      <c r="L187" s="178"/>
      <c r="M187" s="178">
        <v>-2.5</v>
      </c>
      <c r="N187" s="178"/>
      <c r="O187" s="178"/>
      <c r="P187" s="178"/>
      <c r="Q187" s="180" t="s">
        <v>1048</v>
      </c>
      <c r="R187" s="181"/>
      <c r="S187" s="178"/>
      <c r="T187" s="178"/>
      <c r="AA187" s="21" t="s">
        <v>917</v>
      </c>
      <c r="AB187" s="21">
        <v>181</v>
      </c>
    </row>
    <row r="188" spans="1:28" ht="15" x14ac:dyDescent="0.25">
      <c r="A188" s="224" t="s">
        <v>129</v>
      </c>
      <c r="B188">
        <v>74181</v>
      </c>
      <c r="C188" s="176" t="str">
        <f t="shared" si="24"/>
        <v>PSR_14046.39_UP_80 km/h</v>
      </c>
      <c r="D188" s="177" t="s">
        <v>1045</v>
      </c>
      <c r="E188" s="177" t="str">
        <f>E187</f>
        <v>MMRBEM_7_DOWN</v>
      </c>
      <c r="F188" s="178"/>
      <c r="G188" s="179">
        <f>G187</f>
        <v>14046.39</v>
      </c>
      <c r="H188" s="179">
        <f t="shared" si="23"/>
        <v>14046.39</v>
      </c>
      <c r="I188" s="230">
        <f>IF("generated"=1, "Path=MMRBEM_7_DOWN, Scaled Offset=14046.389999999999417923390865325928", 14339.1348378552)</f>
        <v>14339.134837855199</v>
      </c>
      <c r="J188" s="178"/>
      <c r="K188" s="178"/>
      <c r="L188" s="178">
        <v>1</v>
      </c>
      <c r="M188" s="178">
        <v>2.5</v>
      </c>
      <c r="N188" s="178"/>
      <c r="O188" s="178"/>
      <c r="P188" s="178"/>
      <c r="Q188" s="178" t="str">
        <f>Q185</f>
        <v>80 km/h</v>
      </c>
      <c r="R188" s="181"/>
      <c r="S188" s="178"/>
      <c r="T188" s="178"/>
      <c r="AA188" s="21" t="s">
        <v>917</v>
      </c>
      <c r="AB188" s="21">
        <v>182</v>
      </c>
    </row>
    <row r="189" spans="1:28" ht="15" x14ac:dyDescent="0.25">
      <c r="A189" s="224" t="s">
        <v>129</v>
      </c>
      <c r="B189" s="83">
        <v>74182</v>
      </c>
      <c r="C189" s="182" t="str">
        <f t="shared" si="24"/>
        <v>PSR_14127.41_DN_80 km/h</v>
      </c>
      <c r="D189" s="183" t="s">
        <v>1045</v>
      </c>
      <c r="E189" s="184" t="s">
        <v>188</v>
      </c>
      <c r="F189" s="184"/>
      <c r="G189" s="179">
        <v>14127.41</v>
      </c>
      <c r="H189" s="185">
        <f t="shared" si="23"/>
        <v>14127.41</v>
      </c>
      <c r="I189" s="230">
        <f>IF("generated"=1, "Path=MMRBEM_7_DOWN, Scaled Offset=14127.409999999999854480847716331482", 14418.6151567085)</f>
        <v>14418.6151567085</v>
      </c>
      <c r="J189" s="184"/>
      <c r="K189" s="184"/>
      <c r="L189" s="184"/>
      <c r="M189" s="184">
        <v>-2.5</v>
      </c>
      <c r="N189" s="184"/>
      <c r="O189" s="184"/>
      <c r="P189" s="184"/>
      <c r="Q189" s="180" t="s">
        <v>1048</v>
      </c>
      <c r="R189" s="184"/>
      <c r="S189" s="184"/>
      <c r="T189" s="184"/>
      <c r="AA189" s="21" t="s">
        <v>917</v>
      </c>
      <c r="AB189" s="21">
        <v>183</v>
      </c>
    </row>
    <row r="190" spans="1:28" ht="15" x14ac:dyDescent="0.25">
      <c r="A190" s="224" t="s">
        <v>129</v>
      </c>
      <c r="B190">
        <v>74183</v>
      </c>
      <c r="C190" s="182" t="str">
        <f t="shared" si="24"/>
        <v>PSR_14127.41_UP_80 km/h</v>
      </c>
      <c r="D190" s="183" t="s">
        <v>1045</v>
      </c>
      <c r="E190" s="183" t="str">
        <f>E189</f>
        <v>MMRBEM_7_DOWN</v>
      </c>
      <c r="F190" s="184"/>
      <c r="G190" s="179">
        <f>G189</f>
        <v>14127.41</v>
      </c>
      <c r="H190" s="185">
        <f t="shared" si="23"/>
        <v>14127.41</v>
      </c>
      <c r="I190" s="230">
        <f>IF("generated"=1, "Path=MMRBEM_7_DOWN, Scaled Offset=14127.409999999999854480847716331482", 14418.6151567085)</f>
        <v>14418.6151567085</v>
      </c>
      <c r="J190" s="184"/>
      <c r="K190" s="184"/>
      <c r="L190" s="184">
        <v>1</v>
      </c>
      <c r="M190" s="184">
        <v>2.5</v>
      </c>
      <c r="N190" s="184"/>
      <c r="O190" s="184"/>
      <c r="P190" s="184"/>
      <c r="Q190" s="184" t="str">
        <f>Q187</f>
        <v>80 km/h</v>
      </c>
      <c r="R190" s="184"/>
      <c r="S190" s="184"/>
      <c r="T190" s="184"/>
      <c r="AA190" s="21" t="s">
        <v>917</v>
      </c>
      <c r="AB190" s="21">
        <v>184</v>
      </c>
    </row>
    <row r="191" spans="1:28" ht="15" x14ac:dyDescent="0.25">
      <c r="A191" s="224" t="s">
        <v>129</v>
      </c>
      <c r="B191" s="83">
        <v>74184</v>
      </c>
      <c r="C191" s="176" t="str">
        <f t="shared" si="24"/>
        <v>PSR_14351.83_DN_80 km/h</v>
      </c>
      <c r="D191" s="177" t="s">
        <v>1045</v>
      </c>
      <c r="E191" s="177" t="s">
        <v>188</v>
      </c>
      <c r="F191" s="178"/>
      <c r="G191" s="179">
        <v>14351.83</v>
      </c>
      <c r="H191" s="179">
        <f t="shared" si="23"/>
        <v>14351.83</v>
      </c>
      <c r="I191" s="230">
        <f>IF("generated"=1, "Path=MMRBEM_7_DOWN, Scaled Offset=14351.829999999999927240423858165741", 14638.7703425522)</f>
        <v>14638.7703425522</v>
      </c>
      <c r="J191" s="178"/>
      <c r="K191" s="178"/>
      <c r="L191" s="178"/>
      <c r="M191" s="178">
        <v>-2.5</v>
      </c>
      <c r="N191" s="178"/>
      <c r="O191" s="178"/>
      <c r="P191" s="178"/>
      <c r="Q191" s="180" t="s">
        <v>1048</v>
      </c>
      <c r="R191" s="181"/>
      <c r="S191" s="178"/>
      <c r="T191" s="178"/>
      <c r="AA191" s="21" t="s">
        <v>917</v>
      </c>
      <c r="AB191" s="21">
        <v>185</v>
      </c>
    </row>
    <row r="192" spans="1:28" ht="15" x14ac:dyDescent="0.25">
      <c r="A192" s="224" t="s">
        <v>129</v>
      </c>
      <c r="B192">
        <v>74185</v>
      </c>
      <c r="C192" s="176" t="str">
        <f t="shared" si="24"/>
        <v>PSR_14351.83_UP_80 km/h</v>
      </c>
      <c r="D192" s="177" t="s">
        <v>1045</v>
      </c>
      <c r="E192" s="177" t="str">
        <f>E191</f>
        <v>MMRBEM_7_DOWN</v>
      </c>
      <c r="F192" s="178"/>
      <c r="G192" s="179">
        <f>G191</f>
        <v>14351.83</v>
      </c>
      <c r="H192" s="179">
        <f t="shared" si="23"/>
        <v>14351.83</v>
      </c>
      <c r="I192" s="230">
        <f>IF("generated"=1, "Path=MMRBEM_7_DOWN, Scaled Offset=14351.829999999999927240423858165741", 14638.7703425522)</f>
        <v>14638.7703425522</v>
      </c>
      <c r="J192" s="178"/>
      <c r="K192" s="178"/>
      <c r="L192" s="178">
        <v>1</v>
      </c>
      <c r="M192" s="178">
        <v>2.5</v>
      </c>
      <c r="N192" s="178"/>
      <c r="O192" s="178"/>
      <c r="P192" s="178"/>
      <c r="Q192" s="178" t="str">
        <f>Q189</f>
        <v>80 km/h</v>
      </c>
      <c r="R192" s="181"/>
      <c r="S192" s="178"/>
      <c r="T192" s="178"/>
      <c r="AA192" s="21" t="s">
        <v>917</v>
      </c>
      <c r="AB192" s="21">
        <v>186</v>
      </c>
    </row>
    <row r="193" spans="1:28" ht="15" x14ac:dyDescent="0.25">
      <c r="A193" s="224" t="s">
        <v>129</v>
      </c>
      <c r="B193" s="83">
        <v>74186</v>
      </c>
      <c r="C193" s="182" t="str">
        <f>"PSR_"&amp;G193&amp;IF(L193=0,"_DN_","_UP_")&amp;Q193</f>
        <v>PSR_14428.53_DN_65 km/h</v>
      </c>
      <c r="D193" s="183" t="s">
        <v>1045</v>
      </c>
      <c r="E193" s="184" t="s">
        <v>188</v>
      </c>
      <c r="F193" s="184"/>
      <c r="G193" s="179">
        <v>14428.53</v>
      </c>
      <c r="H193" s="185">
        <f t="shared" si="23"/>
        <v>14428.53</v>
      </c>
      <c r="I193" s="230">
        <f>IF("generated"=1, "Path=MMRBEM_7_DOWN, Scaled Offset=14428.530000000000654836185276508331", 14714.0127574627)</f>
        <v>14714.0127574627</v>
      </c>
      <c r="J193" s="184"/>
      <c r="K193" s="184"/>
      <c r="L193" s="184"/>
      <c r="M193" s="184">
        <v>-2.5</v>
      </c>
      <c r="N193" s="184"/>
      <c r="O193" s="184"/>
      <c r="P193" s="184"/>
      <c r="Q193" s="180" t="s">
        <v>1051</v>
      </c>
      <c r="R193" s="184"/>
      <c r="S193" s="184"/>
      <c r="T193" s="184"/>
      <c r="AA193" s="21" t="s">
        <v>917</v>
      </c>
      <c r="AB193" s="21">
        <v>187</v>
      </c>
    </row>
    <row r="194" spans="1:28" ht="15" x14ac:dyDescent="0.25">
      <c r="A194" s="224" t="s">
        <v>129</v>
      </c>
      <c r="B194">
        <v>74187</v>
      </c>
      <c r="C194" s="182" t="str">
        <f t="shared" ref="C194:C204" si="25">"PSR_"&amp;G194&amp;IF(L194=0,"_DN_","_UP_")&amp;Q194</f>
        <v>PSR_14428.53_UP_80 km/h</v>
      </c>
      <c r="D194" s="183" t="s">
        <v>1045</v>
      </c>
      <c r="E194" s="183" t="str">
        <f>E193</f>
        <v>MMRBEM_7_DOWN</v>
      </c>
      <c r="F194" s="184"/>
      <c r="G194" s="179">
        <f>G193</f>
        <v>14428.53</v>
      </c>
      <c r="H194" s="185">
        <f t="shared" si="23"/>
        <v>14428.53</v>
      </c>
      <c r="I194" s="230">
        <f>IF("generated"=1, "Path=MMRBEM_7_DOWN, Scaled Offset=14428.530000000000654836185276508331", 14714.0127574627)</f>
        <v>14714.0127574627</v>
      </c>
      <c r="J194" s="184"/>
      <c r="K194" s="184"/>
      <c r="L194" s="184">
        <v>1</v>
      </c>
      <c r="M194" s="184">
        <v>2.5</v>
      </c>
      <c r="N194" s="184"/>
      <c r="O194" s="184"/>
      <c r="P194" s="184"/>
      <c r="Q194" s="184" t="str">
        <f>Q191</f>
        <v>80 km/h</v>
      </c>
      <c r="R194" s="184"/>
      <c r="S194" s="184"/>
      <c r="T194" s="184"/>
      <c r="AA194" s="21" t="s">
        <v>917</v>
      </c>
      <c r="AB194" s="21">
        <v>188</v>
      </c>
    </row>
    <row r="195" spans="1:28" ht="15" x14ac:dyDescent="0.25">
      <c r="A195" s="224" t="s">
        <v>129</v>
      </c>
      <c r="B195" s="83">
        <v>74188</v>
      </c>
      <c r="C195" s="176" t="str">
        <f t="shared" si="25"/>
        <v>PSR_14539.82_DN_70 km/h</v>
      </c>
      <c r="D195" s="177" t="s">
        <v>1045</v>
      </c>
      <c r="E195" s="177" t="s">
        <v>188</v>
      </c>
      <c r="F195" s="178"/>
      <c r="G195" s="179">
        <v>14539.82</v>
      </c>
      <c r="H195" s="179">
        <f t="shared" si="23"/>
        <v>14539.82</v>
      </c>
      <c r="I195" s="230">
        <f>IF("generated"=1, "Path=MMRBEM_7_DOWN, Scaled Offset=14539.819999999999708961695432662964", 14823.1878338041)</f>
        <v>14823.187833804101</v>
      </c>
      <c r="J195" s="178"/>
      <c r="K195" s="178"/>
      <c r="L195" s="178"/>
      <c r="M195" s="178">
        <v>-2.5</v>
      </c>
      <c r="N195" s="178"/>
      <c r="O195" s="178"/>
      <c r="P195" s="178"/>
      <c r="Q195" s="180" t="s">
        <v>1047</v>
      </c>
      <c r="R195" s="181"/>
      <c r="S195" s="178"/>
      <c r="T195" s="178"/>
      <c r="AA195" s="21" t="s">
        <v>917</v>
      </c>
      <c r="AB195" s="21">
        <v>189</v>
      </c>
    </row>
    <row r="196" spans="1:28" ht="15" x14ac:dyDescent="0.25">
      <c r="A196" s="224" t="s">
        <v>129</v>
      </c>
      <c r="B196">
        <v>74189</v>
      </c>
      <c r="C196" s="176" t="str">
        <f t="shared" si="25"/>
        <v>PSR_14539.82_UP_65 km/h</v>
      </c>
      <c r="D196" s="177" t="s">
        <v>1045</v>
      </c>
      <c r="E196" s="177" t="str">
        <f>E195</f>
        <v>MMRBEM_7_DOWN</v>
      </c>
      <c r="F196" s="178"/>
      <c r="G196" s="179">
        <f>G195</f>
        <v>14539.82</v>
      </c>
      <c r="H196" s="179">
        <f t="shared" si="23"/>
        <v>14539.82</v>
      </c>
      <c r="I196" s="230">
        <f>IF("generated"=1, "Path=MMRBEM_7_DOWN, Scaled Offset=14539.819999999999708961695432662964", 14823.1878338041)</f>
        <v>14823.187833804101</v>
      </c>
      <c r="J196" s="178"/>
      <c r="K196" s="178"/>
      <c r="L196" s="178">
        <v>1</v>
      </c>
      <c r="M196" s="178">
        <v>2.5</v>
      </c>
      <c r="N196" s="178"/>
      <c r="O196" s="178"/>
      <c r="P196" s="178"/>
      <c r="Q196" s="178" t="str">
        <f>Q193</f>
        <v>65 km/h</v>
      </c>
      <c r="R196" s="181"/>
      <c r="S196" s="178"/>
      <c r="T196" s="178"/>
      <c r="AA196" s="21" t="s">
        <v>917</v>
      </c>
      <c r="AB196" s="21">
        <v>190</v>
      </c>
    </row>
    <row r="197" spans="1:28" ht="15" x14ac:dyDescent="0.25">
      <c r="A197" s="224" t="s">
        <v>129</v>
      </c>
      <c r="B197" s="83">
        <v>74190</v>
      </c>
      <c r="C197" s="182" t="str">
        <f t="shared" si="25"/>
        <v>PSR_14626.53_DN_80 km/h</v>
      </c>
      <c r="D197" s="183" t="s">
        <v>1045</v>
      </c>
      <c r="E197" s="184" t="s">
        <v>188</v>
      </c>
      <c r="F197" s="184"/>
      <c r="G197" s="179">
        <v>14626.53</v>
      </c>
      <c r="H197" s="185">
        <f t="shared" si="23"/>
        <v>14626.53</v>
      </c>
      <c r="I197" s="230">
        <f>IF("generated"=1, "Path=MMRBEM_7_DOWN, Scaled Offset=14626.530000000000654836185276508331", 14908.250021508)</f>
        <v>14908.250021508</v>
      </c>
      <c r="J197" s="184"/>
      <c r="K197" s="184"/>
      <c r="L197" s="184"/>
      <c r="M197" s="184">
        <v>-2.5</v>
      </c>
      <c r="N197" s="184"/>
      <c r="O197" s="184"/>
      <c r="P197" s="184"/>
      <c r="Q197" s="180" t="s">
        <v>1048</v>
      </c>
      <c r="R197" s="184"/>
      <c r="S197" s="184"/>
      <c r="T197" s="184"/>
      <c r="AA197" s="21" t="s">
        <v>917</v>
      </c>
      <c r="AB197" s="21">
        <v>191</v>
      </c>
    </row>
    <row r="198" spans="1:28" ht="15" x14ac:dyDescent="0.25">
      <c r="A198" s="224" t="s">
        <v>129</v>
      </c>
      <c r="B198">
        <v>74191</v>
      </c>
      <c r="C198" s="182" t="str">
        <f t="shared" si="25"/>
        <v>PSR_14626.53_UP_70 km/h</v>
      </c>
      <c r="D198" s="183" t="s">
        <v>1045</v>
      </c>
      <c r="E198" s="183" t="str">
        <f>E197</f>
        <v>MMRBEM_7_DOWN</v>
      </c>
      <c r="F198" s="184"/>
      <c r="G198" s="179">
        <f>G197</f>
        <v>14626.53</v>
      </c>
      <c r="H198" s="185">
        <f t="shared" si="23"/>
        <v>14626.53</v>
      </c>
      <c r="I198" s="230">
        <f>IF("generated"=1, "Path=MMRBEM_7_DOWN, Scaled Offset=14626.530000000000654836185276508331", 14908.250021508)</f>
        <v>14908.250021508</v>
      </c>
      <c r="J198" s="184"/>
      <c r="K198" s="184"/>
      <c r="L198" s="184">
        <v>1</v>
      </c>
      <c r="M198" s="184">
        <v>2.5</v>
      </c>
      <c r="N198" s="184"/>
      <c r="O198" s="184"/>
      <c r="P198" s="184"/>
      <c r="Q198" s="184" t="str">
        <f>Q195</f>
        <v>70 km/h</v>
      </c>
      <c r="R198" s="184"/>
      <c r="S198" s="184"/>
      <c r="T198" s="184"/>
      <c r="AA198" s="21" t="s">
        <v>917</v>
      </c>
      <c r="AB198" s="21">
        <v>192</v>
      </c>
    </row>
    <row r="199" spans="1:28" ht="15" x14ac:dyDescent="0.25">
      <c r="A199" s="224" t="s">
        <v>129</v>
      </c>
      <c r="B199" s="83">
        <v>74192</v>
      </c>
      <c r="C199" s="176" t="str">
        <f t="shared" si="25"/>
        <v>PSR_14813.87_DN_80 km/h</v>
      </c>
      <c r="D199" s="177" t="s">
        <v>1045</v>
      </c>
      <c r="E199" s="177" t="s">
        <v>188</v>
      </c>
      <c r="F199" s="178"/>
      <c r="G199" s="179">
        <v>14813.87</v>
      </c>
      <c r="H199" s="179">
        <f t="shared" si="23"/>
        <v>14813.87</v>
      </c>
      <c r="I199" s="230">
        <f>IF("generated"=1, "Path=MMRBEM_7_DOWN, Scaled Offset=14813.870000000000800355337560176849", 15092.0298651759)</f>
        <v>15092.0298651759</v>
      </c>
      <c r="J199" s="178"/>
      <c r="K199" s="178"/>
      <c r="L199" s="178"/>
      <c r="M199" s="178">
        <v>-2.5</v>
      </c>
      <c r="N199" s="178"/>
      <c r="O199" s="178"/>
      <c r="P199" s="178"/>
      <c r="Q199" s="180" t="s">
        <v>1048</v>
      </c>
      <c r="R199" s="181"/>
      <c r="S199" s="178"/>
      <c r="T199" s="178"/>
      <c r="AA199" s="21" t="s">
        <v>917</v>
      </c>
      <c r="AB199" s="21">
        <v>193</v>
      </c>
    </row>
    <row r="200" spans="1:28" ht="15" x14ac:dyDescent="0.25">
      <c r="A200" s="224" t="s">
        <v>129</v>
      </c>
      <c r="B200">
        <v>74193</v>
      </c>
      <c r="C200" s="176" t="str">
        <f t="shared" si="25"/>
        <v>PSR_14813.87_UP_80 km/h</v>
      </c>
      <c r="D200" s="177" t="s">
        <v>1045</v>
      </c>
      <c r="E200" s="177" t="str">
        <f>E199</f>
        <v>MMRBEM_7_DOWN</v>
      </c>
      <c r="F200" s="178"/>
      <c r="G200" s="179">
        <f>G199</f>
        <v>14813.87</v>
      </c>
      <c r="H200" s="179">
        <f t="shared" si="23"/>
        <v>14813.87</v>
      </c>
      <c r="I200" s="230">
        <f>IF("generated"=1, "Path=MMRBEM_7_DOWN, Scaled Offset=14813.870000000000800355337560176849", 15092.0298651759)</f>
        <v>15092.0298651759</v>
      </c>
      <c r="J200" s="178"/>
      <c r="K200" s="178"/>
      <c r="L200" s="178">
        <v>1</v>
      </c>
      <c r="M200" s="178">
        <v>2.5</v>
      </c>
      <c r="N200" s="178"/>
      <c r="O200" s="178"/>
      <c r="P200" s="178"/>
      <c r="Q200" s="178" t="str">
        <f>Q197</f>
        <v>80 km/h</v>
      </c>
      <c r="R200" s="181"/>
      <c r="S200" s="178"/>
      <c r="T200" s="178"/>
      <c r="AA200" s="21" t="s">
        <v>917</v>
      </c>
      <c r="AB200" s="21">
        <v>194</v>
      </c>
    </row>
    <row r="201" spans="1:28" ht="15" x14ac:dyDescent="0.25">
      <c r="A201" s="224" t="s">
        <v>129</v>
      </c>
      <c r="B201" s="83">
        <v>74194</v>
      </c>
      <c r="C201" s="182" t="str">
        <f t="shared" si="25"/>
        <v>PSR_14889.25_DN_80 km/h</v>
      </c>
      <c r="D201" s="183" t="s">
        <v>1045</v>
      </c>
      <c r="E201" s="184" t="s">
        <v>188</v>
      </c>
      <c r="F201" s="184"/>
      <c r="G201" s="179">
        <v>14889.25</v>
      </c>
      <c r="H201" s="185">
        <f t="shared" ref="H201:H210" si="26">G201+F201</f>
        <v>14889.25</v>
      </c>
      <c r="I201" s="230">
        <f>IF("generated"=1, "Path=MMRBEM_7_DOWN, Scaled Offset=14889.25", 15165.9773649928)</f>
        <v>15165.977364992799</v>
      </c>
      <c r="J201" s="184"/>
      <c r="K201" s="184"/>
      <c r="L201" s="184"/>
      <c r="M201" s="184">
        <v>-2.5</v>
      </c>
      <c r="N201" s="184"/>
      <c r="O201" s="184"/>
      <c r="P201" s="184"/>
      <c r="Q201" s="180" t="s">
        <v>1048</v>
      </c>
      <c r="R201" s="184"/>
      <c r="S201" s="184"/>
      <c r="T201" s="184"/>
      <c r="AA201" s="21" t="s">
        <v>917</v>
      </c>
      <c r="AB201" s="21">
        <v>195</v>
      </c>
    </row>
    <row r="202" spans="1:28" ht="15" x14ac:dyDescent="0.25">
      <c r="A202" s="224" t="s">
        <v>129</v>
      </c>
      <c r="B202">
        <v>74195</v>
      </c>
      <c r="C202" s="182" t="str">
        <f t="shared" si="25"/>
        <v>PSR_14889.25_UP_80 km/h</v>
      </c>
      <c r="D202" s="183" t="s">
        <v>1045</v>
      </c>
      <c r="E202" s="183" t="str">
        <f>E201</f>
        <v>MMRBEM_7_DOWN</v>
      </c>
      <c r="F202" s="184"/>
      <c r="G202" s="179">
        <f>G201</f>
        <v>14889.25</v>
      </c>
      <c r="H202" s="185">
        <f t="shared" si="26"/>
        <v>14889.25</v>
      </c>
      <c r="I202" s="230">
        <f>IF("generated"=1, "Path=MMRBEM_7_DOWN, Scaled Offset=14889.25", 15165.9773649928)</f>
        <v>15165.977364992799</v>
      </c>
      <c r="J202" s="184"/>
      <c r="K202" s="184"/>
      <c r="L202" s="184">
        <v>1</v>
      </c>
      <c r="M202" s="184">
        <v>2.5</v>
      </c>
      <c r="N202" s="184"/>
      <c r="O202" s="184"/>
      <c r="P202" s="184"/>
      <c r="Q202" s="184" t="str">
        <f>Q199</f>
        <v>80 km/h</v>
      </c>
      <c r="R202" s="184"/>
      <c r="S202" s="184"/>
      <c r="T202" s="184"/>
      <c r="AA202" s="21" t="s">
        <v>917</v>
      </c>
      <c r="AB202" s="21">
        <v>196</v>
      </c>
    </row>
    <row r="203" spans="1:28" ht="15" x14ac:dyDescent="0.25">
      <c r="A203" s="224" t="s">
        <v>129</v>
      </c>
      <c r="B203" s="83">
        <v>74196</v>
      </c>
      <c r="C203" s="176" t="str">
        <f t="shared" si="25"/>
        <v>PSR_15100.55_DN_75 km/h</v>
      </c>
      <c r="D203" s="177" t="s">
        <v>1045</v>
      </c>
      <c r="E203" s="177" t="s">
        <v>188</v>
      </c>
      <c r="F203" s="178"/>
      <c r="G203" s="179">
        <v>15100.55</v>
      </c>
      <c r="H203" s="179">
        <f t="shared" si="26"/>
        <v>15100.55</v>
      </c>
      <c r="I203" s="230">
        <f>IF("generated"=1, "Path=MMRBEM_7_DOWN, Scaled Offset=15100.54999999999927240423858165741", 15364.2396082506)</f>
        <v>15364.2396082506</v>
      </c>
      <c r="J203" s="178"/>
      <c r="K203" s="178"/>
      <c r="L203" s="178"/>
      <c r="M203" s="178">
        <v>-2.5</v>
      </c>
      <c r="N203" s="178"/>
      <c r="O203" s="178"/>
      <c r="P203" s="178"/>
      <c r="Q203" s="180" t="s">
        <v>1049</v>
      </c>
      <c r="R203" s="181"/>
      <c r="S203" s="178"/>
      <c r="T203" s="178"/>
      <c r="AA203" s="21" t="s">
        <v>917</v>
      </c>
      <c r="AB203" s="21">
        <v>197</v>
      </c>
    </row>
    <row r="204" spans="1:28" ht="15" x14ac:dyDescent="0.25">
      <c r="A204" s="224" t="s">
        <v>129</v>
      </c>
      <c r="B204">
        <v>74197</v>
      </c>
      <c r="C204" s="176" t="str">
        <f t="shared" si="25"/>
        <v>PSR_15100.55_UP_80 km/h</v>
      </c>
      <c r="D204" s="177" t="s">
        <v>1045</v>
      </c>
      <c r="E204" s="177" t="str">
        <f>E203</f>
        <v>MMRBEM_7_DOWN</v>
      </c>
      <c r="F204" s="178"/>
      <c r="G204" s="179">
        <f>G203</f>
        <v>15100.55</v>
      </c>
      <c r="H204" s="179">
        <f t="shared" si="26"/>
        <v>15100.55</v>
      </c>
      <c r="I204" s="230">
        <f>IF("generated"=1, "Path=MMRBEM_7_DOWN, Scaled Offset=15100.54999999999927240423858165741", 15364.2396082506)</f>
        <v>15364.2396082506</v>
      </c>
      <c r="J204" s="178"/>
      <c r="K204" s="178"/>
      <c r="L204" s="178">
        <v>1</v>
      </c>
      <c r="M204" s="178">
        <v>2.5</v>
      </c>
      <c r="N204" s="178"/>
      <c r="O204" s="178"/>
      <c r="P204" s="178"/>
      <c r="Q204" s="178" t="str">
        <f>Q201</f>
        <v>80 km/h</v>
      </c>
      <c r="R204" s="181"/>
      <c r="S204" s="178"/>
      <c r="T204" s="178"/>
      <c r="AA204" s="21" t="s">
        <v>917</v>
      </c>
      <c r="AB204" s="21">
        <v>198</v>
      </c>
    </row>
    <row r="205" spans="1:28" ht="15" x14ac:dyDescent="0.25">
      <c r="A205" s="224" t="s">
        <v>129</v>
      </c>
      <c r="B205" s="83">
        <v>74198</v>
      </c>
      <c r="C205" s="182" t="str">
        <f>"PSR_"&amp;G205&amp;IF(L205=0,"_DN_","_UP_")&amp;Q205</f>
        <v>PSR_15427.06_DN_80 km/h</v>
      </c>
      <c r="D205" s="183" t="s">
        <v>1045</v>
      </c>
      <c r="E205" s="184" t="s">
        <v>188</v>
      </c>
      <c r="F205" s="184"/>
      <c r="G205" s="179">
        <v>15427.06</v>
      </c>
      <c r="H205" s="185">
        <f t="shared" si="26"/>
        <v>15427.06</v>
      </c>
      <c r="I205" s="230">
        <f>IF("generated"=1, "Path=MMRBEM_7_DOWN, Scaled Offset=15427.059999999999490682967007160187", 15665.0859436885)</f>
        <v>15665.0859436885</v>
      </c>
      <c r="J205" s="184"/>
      <c r="K205" s="184"/>
      <c r="L205" s="184"/>
      <c r="M205" s="184">
        <v>-2.5</v>
      </c>
      <c r="N205" s="184"/>
      <c r="O205" s="184"/>
      <c r="P205" s="184"/>
      <c r="Q205" s="180" t="s">
        <v>1048</v>
      </c>
      <c r="R205" s="184"/>
      <c r="S205" s="184"/>
      <c r="T205" s="184"/>
      <c r="AA205" s="21" t="s">
        <v>917</v>
      </c>
      <c r="AB205" s="21">
        <v>199</v>
      </c>
    </row>
    <row r="206" spans="1:28" ht="15" x14ac:dyDescent="0.25">
      <c r="A206" s="224" t="s">
        <v>129</v>
      </c>
      <c r="B206">
        <v>74199</v>
      </c>
      <c r="C206" s="182" t="str">
        <f t="shared" ref="C206:C210" si="27">"PSR_"&amp;G206&amp;IF(L206=0,"_DN_","_UP_")&amp;Q206</f>
        <v>PSR_15427.06_UP_75 km/h</v>
      </c>
      <c r="D206" s="183" t="s">
        <v>1045</v>
      </c>
      <c r="E206" s="183" t="str">
        <f>E205</f>
        <v>MMRBEM_7_DOWN</v>
      </c>
      <c r="F206" s="184"/>
      <c r="G206" s="179">
        <f>G205</f>
        <v>15427.06</v>
      </c>
      <c r="H206" s="185">
        <f t="shared" si="26"/>
        <v>15427.06</v>
      </c>
      <c r="I206" s="230">
        <f>IF("generated"=1, "Path=MMRBEM_7_DOWN, Scaled Offset=15427.059999999999490682967007160187", 15665.0859436885)</f>
        <v>15665.0859436885</v>
      </c>
      <c r="J206" s="184"/>
      <c r="K206" s="184"/>
      <c r="L206" s="184">
        <v>1</v>
      </c>
      <c r="M206" s="184">
        <v>2.5</v>
      </c>
      <c r="N206" s="184"/>
      <c r="O206" s="184"/>
      <c r="P206" s="184"/>
      <c r="Q206" s="184" t="str">
        <f>Q203</f>
        <v>75 km/h</v>
      </c>
      <c r="R206" s="184"/>
      <c r="S206" s="184"/>
      <c r="T206" s="184"/>
      <c r="AA206" s="21" t="s">
        <v>917</v>
      </c>
      <c r="AB206" s="21">
        <v>200</v>
      </c>
    </row>
    <row r="207" spans="1:28" ht="15" x14ac:dyDescent="0.25">
      <c r="A207" s="224" t="s">
        <v>129</v>
      </c>
      <c r="B207" s="83">
        <v>74200</v>
      </c>
      <c r="C207" s="176" t="str">
        <f t="shared" si="27"/>
        <v>PSR_15436.84_DN_80 km/h</v>
      </c>
      <c r="D207" s="177" t="s">
        <v>1045</v>
      </c>
      <c r="E207" s="177" t="s">
        <v>188</v>
      </c>
      <c r="F207" s="178"/>
      <c r="G207" s="179">
        <v>15436.84</v>
      </c>
      <c r="H207" s="179">
        <f t="shared" si="26"/>
        <v>15436.84</v>
      </c>
      <c r="I207" s="230">
        <f>IF("generated"=1, "Path=MMRBEM_7_DOWN, Scaled Offset=15436.840000000000145519152283668518", 15674.0972363306)</f>
        <v>15674.097236330599</v>
      </c>
      <c r="J207" s="178"/>
      <c r="K207" s="178"/>
      <c r="L207" s="178"/>
      <c r="M207" s="178">
        <v>-2.5</v>
      </c>
      <c r="N207" s="178"/>
      <c r="O207" s="178"/>
      <c r="P207" s="178"/>
      <c r="Q207" s="180" t="s">
        <v>1048</v>
      </c>
      <c r="R207" s="181"/>
      <c r="S207" s="178"/>
      <c r="T207" s="178"/>
      <c r="AA207" s="21" t="s">
        <v>917</v>
      </c>
      <c r="AB207" s="21">
        <v>201</v>
      </c>
    </row>
    <row r="208" spans="1:28" ht="15" x14ac:dyDescent="0.25">
      <c r="A208" s="224" t="s">
        <v>129</v>
      </c>
      <c r="B208">
        <v>74201</v>
      </c>
      <c r="C208" s="176" t="str">
        <f t="shared" si="27"/>
        <v>PSR_15436.84_UP_80 km/h</v>
      </c>
      <c r="D208" s="177" t="s">
        <v>1045</v>
      </c>
      <c r="E208" s="177" t="str">
        <f>E207</f>
        <v>MMRBEM_7_DOWN</v>
      </c>
      <c r="F208" s="178"/>
      <c r="G208" s="179">
        <f>G207</f>
        <v>15436.84</v>
      </c>
      <c r="H208" s="179">
        <f t="shared" si="26"/>
        <v>15436.84</v>
      </c>
      <c r="I208" s="230">
        <f>IF("generated"=1, "Path=MMRBEM_7_DOWN, Scaled Offset=15436.840000000000145519152283668518", 15674.0972363306)</f>
        <v>15674.097236330599</v>
      </c>
      <c r="J208" s="178"/>
      <c r="K208" s="178"/>
      <c r="L208" s="178">
        <v>1</v>
      </c>
      <c r="M208" s="178">
        <v>2.5</v>
      </c>
      <c r="N208" s="178"/>
      <c r="O208" s="178"/>
      <c r="P208" s="178"/>
      <c r="Q208" s="178" t="str">
        <f>Q205</f>
        <v>80 km/h</v>
      </c>
      <c r="R208" s="181"/>
      <c r="S208" s="178"/>
      <c r="T208" s="178"/>
      <c r="AA208" s="21" t="s">
        <v>917</v>
      </c>
      <c r="AB208" s="21">
        <v>202</v>
      </c>
    </row>
    <row r="209" spans="1:28" ht="15" x14ac:dyDescent="0.25">
      <c r="A209" s="224" t="s">
        <v>129</v>
      </c>
      <c r="B209" s="83">
        <v>74202</v>
      </c>
      <c r="C209" s="182" t="str">
        <f t="shared" si="27"/>
        <v>PSR_15343.57_DN_80 km/h</v>
      </c>
      <c r="D209" s="183" t="s">
        <v>1045</v>
      </c>
      <c r="E209" s="184" t="s">
        <v>188</v>
      </c>
      <c r="F209" s="184"/>
      <c r="G209" s="179">
        <v>15343.57</v>
      </c>
      <c r="H209" s="185">
        <f t="shared" si="26"/>
        <v>15343.57</v>
      </c>
      <c r="I209" s="230">
        <f>IF("generated"=1, "Path=MMRBEM_7_DOWN, Scaled Offset=15343.569999999999708961695432662964", 15588.1582522067)</f>
        <v>15588.1582522067</v>
      </c>
      <c r="J209" s="184"/>
      <c r="K209" s="184"/>
      <c r="L209" s="184"/>
      <c r="M209" s="184">
        <v>-2.5</v>
      </c>
      <c r="N209" s="184"/>
      <c r="O209" s="184"/>
      <c r="P209" s="184"/>
      <c r="Q209" s="180" t="s">
        <v>1048</v>
      </c>
      <c r="R209" s="184"/>
      <c r="S209" s="184"/>
      <c r="T209" s="184"/>
      <c r="AA209" s="21" t="s">
        <v>917</v>
      </c>
      <c r="AB209" s="21">
        <v>203</v>
      </c>
    </row>
    <row r="210" spans="1:28" ht="15" x14ac:dyDescent="0.25">
      <c r="A210" s="224" t="s">
        <v>129</v>
      </c>
      <c r="B210">
        <v>74203</v>
      </c>
      <c r="C210" s="182" t="str">
        <f t="shared" si="27"/>
        <v>PSR_15343.57_UP_80 km/h</v>
      </c>
      <c r="D210" s="183" t="s">
        <v>1045</v>
      </c>
      <c r="E210" s="183" t="str">
        <f>E209</f>
        <v>MMRBEM_7_DOWN</v>
      </c>
      <c r="F210" s="184"/>
      <c r="G210" s="179">
        <f>G209</f>
        <v>15343.57</v>
      </c>
      <c r="H210" s="185">
        <f t="shared" si="26"/>
        <v>15343.57</v>
      </c>
      <c r="I210" s="230">
        <f>IF("generated"=1, "Path=MMRBEM_7_DOWN, Scaled Offset=15343.569999999999708961695432662964", 15588.1582522067)</f>
        <v>15588.1582522067</v>
      </c>
      <c r="J210" s="184"/>
      <c r="K210" s="184"/>
      <c r="L210" s="184">
        <v>1</v>
      </c>
      <c r="M210" s="184">
        <v>2.5</v>
      </c>
      <c r="N210" s="184"/>
      <c r="O210" s="184"/>
      <c r="P210" s="184"/>
      <c r="Q210" s="184" t="str">
        <f>Q207</f>
        <v>80 km/h</v>
      </c>
      <c r="R210" s="184"/>
      <c r="S210" s="184"/>
      <c r="T210" s="184"/>
      <c r="AA210" s="21" t="s">
        <v>917</v>
      </c>
      <c r="AB210" s="21">
        <v>204</v>
      </c>
    </row>
    <row r="212" spans="1:28" ht="15" x14ac:dyDescent="0.25">
      <c r="A212" s="224" t="s">
        <v>129</v>
      </c>
      <c r="B212" s="83">
        <v>74000</v>
      </c>
      <c r="C212" s="176" t="str">
        <f>"PSR_"&amp;G212&amp;IF(L212=0,"_DN_","_UP_")&amp;Q212</f>
        <v>PSR_-525.9_DN_80 km/h</v>
      </c>
      <c r="D212" s="177" t="s">
        <v>1045</v>
      </c>
      <c r="E212" s="177" t="s">
        <v>187</v>
      </c>
      <c r="F212" s="178"/>
      <c r="G212" s="179">
        <v>-525.9</v>
      </c>
      <c r="H212" s="179">
        <f t="shared" ref="H212:H275" si="28">G212+F212</f>
        <v>-525.9</v>
      </c>
      <c r="I212" s="230">
        <f>IF("generated"=1, "Path=MMRBEM_7_UP, Scaled Offset=-525.89999999999997726263245567679405", 0)</f>
        <v>0</v>
      </c>
      <c r="J212" s="178"/>
      <c r="K212" s="178"/>
      <c r="L212" s="178"/>
      <c r="M212" s="178">
        <v>-2.5</v>
      </c>
      <c r="N212" s="178"/>
      <c r="O212" s="178"/>
      <c r="P212" s="178"/>
      <c r="Q212" s="180" t="s">
        <v>1048</v>
      </c>
      <c r="R212" s="181"/>
      <c r="S212" s="178"/>
      <c r="T212" s="178"/>
    </row>
    <row r="213" spans="1:28" ht="15" x14ac:dyDescent="0.25">
      <c r="A213" s="224" t="s">
        <v>129</v>
      </c>
      <c r="B213">
        <v>74001</v>
      </c>
      <c r="C213" s="176" t="str">
        <f t="shared" ref="C213:C219" si="29">"PSR_"&amp;G213&amp;IF(L213=0,"_DN_","_UP_")&amp;Q213</f>
        <v>PSR_-525.9_UP_80 km/h</v>
      </c>
      <c r="D213" s="177" t="s">
        <v>1045</v>
      </c>
      <c r="E213" s="177" t="str">
        <f>E212</f>
        <v>MMRBEM_7_UP</v>
      </c>
      <c r="F213" s="178"/>
      <c r="G213" s="179">
        <f>G212</f>
        <v>-525.9</v>
      </c>
      <c r="H213" s="179">
        <f t="shared" si="28"/>
        <v>-525.9</v>
      </c>
      <c r="I213" s="230">
        <f>IF("generated"=1, "Path=MMRBEM_7_UP, Scaled Offset=-525.89999999999997726263245567679405", 0)</f>
        <v>0</v>
      </c>
      <c r="J213" s="178"/>
      <c r="K213" s="178"/>
      <c r="L213" s="178">
        <v>1</v>
      </c>
      <c r="M213" s="178">
        <v>2.5</v>
      </c>
      <c r="N213" s="178"/>
      <c r="O213" s="178"/>
      <c r="P213" s="178"/>
      <c r="Q213" s="178" t="s">
        <v>1048</v>
      </c>
      <c r="R213" s="181"/>
      <c r="S213" s="178"/>
      <c r="T213" s="178"/>
    </row>
    <row r="214" spans="1:28" ht="15" x14ac:dyDescent="0.25">
      <c r="A214" s="224" t="s">
        <v>129</v>
      </c>
      <c r="B214" s="83">
        <v>74002</v>
      </c>
      <c r="C214" s="182" t="str">
        <f t="shared" si="29"/>
        <v>PSR_-123.22_DN_50 km/h</v>
      </c>
      <c r="D214" s="183" t="s">
        <v>1045</v>
      </c>
      <c r="E214" s="184" t="s">
        <v>187</v>
      </c>
      <c r="F214" s="184"/>
      <c r="G214" s="179">
        <v>-123.22</v>
      </c>
      <c r="H214" s="185">
        <f t="shared" si="28"/>
        <v>-123.22</v>
      </c>
      <c r="I214" s="230">
        <f>IF("generated"=1, "Path=MMRBEM_7_UP, Scaled Offset=-123.2199999999999988631316227838397", 395.667011681872)</f>
        <v>395.667011681872</v>
      </c>
      <c r="J214" s="184"/>
      <c r="K214" s="184"/>
      <c r="L214" s="184"/>
      <c r="M214" s="184">
        <v>-2.5</v>
      </c>
      <c r="N214" s="184"/>
      <c r="O214" s="184"/>
      <c r="P214" s="184"/>
      <c r="Q214" s="180" t="s">
        <v>1046</v>
      </c>
      <c r="R214" s="184"/>
      <c r="S214" s="184"/>
      <c r="T214" s="184"/>
    </row>
    <row r="215" spans="1:28" ht="15" x14ac:dyDescent="0.25">
      <c r="A215" s="224" t="s">
        <v>129</v>
      </c>
      <c r="B215">
        <v>74003</v>
      </c>
      <c r="C215" s="182" t="str">
        <f t="shared" si="29"/>
        <v>PSR_-123.22_UP_80 km/h</v>
      </c>
      <c r="D215" s="183" t="s">
        <v>1045</v>
      </c>
      <c r="E215" s="183" t="str">
        <f>E214</f>
        <v>MMRBEM_7_UP</v>
      </c>
      <c r="F215" s="184"/>
      <c r="G215" s="179">
        <f>G214</f>
        <v>-123.22</v>
      </c>
      <c r="H215" s="185">
        <f t="shared" si="28"/>
        <v>-123.22</v>
      </c>
      <c r="I215" s="230">
        <f>IF("generated"=1, "Path=MMRBEM_7_UP, Scaled Offset=-123.2199999999999988631316227838397", 395.667011681872)</f>
        <v>395.667011681872</v>
      </c>
      <c r="J215" s="184"/>
      <c r="K215" s="184"/>
      <c r="L215" s="184">
        <v>1</v>
      </c>
      <c r="M215" s="184">
        <v>2.5</v>
      </c>
      <c r="N215" s="184"/>
      <c r="O215" s="184"/>
      <c r="P215" s="184"/>
      <c r="Q215" s="184" t="str">
        <f>Q212</f>
        <v>80 km/h</v>
      </c>
      <c r="R215" s="184"/>
      <c r="S215" s="184"/>
      <c r="T215" s="184"/>
    </row>
    <row r="216" spans="1:28" ht="15" x14ac:dyDescent="0.25">
      <c r="A216" s="224" t="s">
        <v>129</v>
      </c>
      <c r="B216" s="83">
        <v>74342</v>
      </c>
      <c r="C216" s="176" t="str">
        <f t="shared" si="29"/>
        <v>PSR_-22.43_DN_80 km/h</v>
      </c>
      <c r="D216" s="177" t="s">
        <v>1045</v>
      </c>
      <c r="E216" s="177" t="s">
        <v>187</v>
      </c>
      <c r="F216" s="178"/>
      <c r="G216" s="179">
        <v>-22.43</v>
      </c>
      <c r="H216" s="179">
        <f t="shared" si="28"/>
        <v>-22.43</v>
      </c>
      <c r="I216" s="230">
        <f>IF("generated"=1, "Path=MMRBEM_7_UP, Scaled Offset=-22.429999999999999715782905695959926", 494.86435159693)</f>
        <v>494.86435159693002</v>
      </c>
      <c r="J216" s="178"/>
      <c r="K216" s="178"/>
      <c r="L216" s="178"/>
      <c r="M216" s="178">
        <v>-2.5</v>
      </c>
      <c r="N216" s="178"/>
      <c r="O216" s="178"/>
      <c r="P216" s="178"/>
      <c r="Q216" s="180" t="s">
        <v>1048</v>
      </c>
      <c r="R216" s="181"/>
      <c r="S216" s="178"/>
      <c r="T216" s="178"/>
    </row>
    <row r="217" spans="1:28" ht="15" x14ac:dyDescent="0.25">
      <c r="A217" s="224" t="s">
        <v>129</v>
      </c>
      <c r="B217">
        <v>74343</v>
      </c>
      <c r="C217" s="176" t="str">
        <f t="shared" si="29"/>
        <v>PSR_-22.43_UP_50 km/h</v>
      </c>
      <c r="D217" s="177" t="s">
        <v>1045</v>
      </c>
      <c r="E217" s="177" t="str">
        <f>E216</f>
        <v>MMRBEM_7_UP</v>
      </c>
      <c r="F217" s="178"/>
      <c r="G217" s="179">
        <f>G216</f>
        <v>-22.43</v>
      </c>
      <c r="H217" s="179">
        <f t="shared" si="28"/>
        <v>-22.43</v>
      </c>
      <c r="I217" s="230">
        <f>IF("generated"=1, "Path=MMRBEM_7_UP, Scaled Offset=-22.429999999999999715782905695959926", 494.86435159693)</f>
        <v>494.86435159693002</v>
      </c>
      <c r="J217" s="178"/>
      <c r="K217" s="178"/>
      <c r="L217" s="178">
        <v>1</v>
      </c>
      <c r="M217" s="178">
        <v>2.5</v>
      </c>
      <c r="N217" s="178"/>
      <c r="O217" s="178"/>
      <c r="P217" s="178"/>
      <c r="Q217" s="178" t="str">
        <f>Q214</f>
        <v>50 km/h</v>
      </c>
      <c r="R217" s="181"/>
      <c r="S217" s="178"/>
      <c r="T217" s="178"/>
    </row>
    <row r="218" spans="1:28" ht="15" x14ac:dyDescent="0.25">
      <c r="A218" s="224" t="s">
        <v>129</v>
      </c>
      <c r="B218" s="83">
        <v>74344</v>
      </c>
      <c r="C218" s="182" t="str">
        <f t="shared" si="29"/>
        <v>PSR_291.68_DN_80 km/h</v>
      </c>
      <c r="D218" s="183" t="s">
        <v>1045</v>
      </c>
      <c r="E218" s="184" t="s">
        <v>187</v>
      </c>
      <c r="F218" s="184"/>
      <c r="G218" s="179">
        <v>291.68</v>
      </c>
      <c r="H218" s="185">
        <f t="shared" si="28"/>
        <v>291.68</v>
      </c>
      <c r="I218" s="230">
        <f>IF("generated"=1, "Path=MMRBEM_7_UP, Scaled Offset=291.68000000000000682121026329696178", 804.0069978984)</f>
        <v>804.00699789839996</v>
      </c>
      <c r="J218" s="184"/>
      <c r="K218" s="184"/>
      <c r="L218" s="184"/>
      <c r="M218" s="184">
        <v>-2.5</v>
      </c>
      <c r="N218" s="184"/>
      <c r="O218" s="184"/>
      <c r="P218" s="184"/>
      <c r="Q218" s="180" t="s">
        <v>1048</v>
      </c>
      <c r="R218" s="184"/>
      <c r="S218" s="184"/>
      <c r="T218" s="184"/>
    </row>
    <row r="219" spans="1:28" ht="15" x14ac:dyDescent="0.25">
      <c r="A219" s="224" t="s">
        <v>129</v>
      </c>
      <c r="B219">
        <v>74345</v>
      </c>
      <c r="C219" s="182" t="str">
        <f t="shared" si="29"/>
        <v>PSR_291.68_UP_80 km/h</v>
      </c>
      <c r="D219" s="183" t="s">
        <v>1045</v>
      </c>
      <c r="E219" s="183" t="str">
        <f>E218</f>
        <v>MMRBEM_7_UP</v>
      </c>
      <c r="F219" s="184"/>
      <c r="G219" s="179">
        <f>G218</f>
        <v>291.68</v>
      </c>
      <c r="H219" s="185">
        <f t="shared" si="28"/>
        <v>291.68</v>
      </c>
      <c r="I219" s="230">
        <f>IF("generated"=1, "Path=MMRBEM_7_UP, Scaled Offset=291.68000000000000682121026329696178", 804.0069978984)</f>
        <v>804.00699789839996</v>
      </c>
      <c r="J219" s="184"/>
      <c r="K219" s="184"/>
      <c r="L219" s="184">
        <v>1</v>
      </c>
      <c r="M219" s="184">
        <v>2.5</v>
      </c>
      <c r="N219" s="184"/>
      <c r="O219" s="184"/>
      <c r="P219" s="184"/>
      <c r="Q219" s="184" t="str">
        <f>Q216</f>
        <v>80 km/h</v>
      </c>
      <c r="R219" s="184"/>
      <c r="S219" s="184"/>
      <c r="T219" s="184"/>
    </row>
    <row r="220" spans="1:28" ht="15" x14ac:dyDescent="0.25">
      <c r="A220" s="224" t="s">
        <v>129</v>
      </c>
      <c r="B220" s="83">
        <v>74346</v>
      </c>
      <c r="C220" s="176" t="str">
        <f>"PSR_"&amp;G220&amp;IF(L220=0,"_DN_","_UP_")&amp;Q220</f>
        <v>PSR_406.02_DN_80 km/h</v>
      </c>
      <c r="D220" s="177" t="s">
        <v>1045</v>
      </c>
      <c r="E220" s="177" t="s">
        <v>187</v>
      </c>
      <c r="F220" s="178"/>
      <c r="G220" s="179">
        <v>406.02</v>
      </c>
      <c r="H220" s="179">
        <f t="shared" si="28"/>
        <v>406.02</v>
      </c>
      <c r="I220" s="230">
        <f>IF("generated"=1, "Path=MMRBEM_7_UP, Scaled Offset=406.01999999999998181010596454143524", 916.523020735517)</f>
        <v>916.52302073551698</v>
      </c>
      <c r="J220" s="178"/>
      <c r="K220" s="178"/>
      <c r="L220" s="178"/>
      <c r="M220" s="178">
        <v>-2.5</v>
      </c>
      <c r="N220" s="178"/>
      <c r="O220" s="178"/>
      <c r="P220" s="178"/>
      <c r="Q220" s="180" t="s">
        <v>1048</v>
      </c>
      <c r="R220" s="181"/>
      <c r="S220" s="178"/>
      <c r="T220" s="178"/>
    </row>
    <row r="221" spans="1:28" ht="15" x14ac:dyDescent="0.25">
      <c r="A221" s="224" t="s">
        <v>129</v>
      </c>
      <c r="B221">
        <v>74347</v>
      </c>
      <c r="C221" s="176" t="str">
        <f t="shared" ref="C221:C227" si="30">"PSR_"&amp;G221&amp;IF(L221=0,"_DN_","_UP_")&amp;Q221</f>
        <v>PSR_406.02_UP_80 km/h</v>
      </c>
      <c r="D221" s="177" t="s">
        <v>1045</v>
      </c>
      <c r="E221" s="177" t="str">
        <f>E220</f>
        <v>MMRBEM_7_UP</v>
      </c>
      <c r="F221" s="178"/>
      <c r="G221" s="179">
        <f>G220</f>
        <v>406.02</v>
      </c>
      <c r="H221" s="179">
        <f t="shared" si="28"/>
        <v>406.02</v>
      </c>
      <c r="I221" s="230">
        <f>IF("generated"=1, "Path=MMRBEM_7_UP, Scaled Offset=406.01999999999998181010596454143524", 916.523020735517)</f>
        <v>916.52302073551698</v>
      </c>
      <c r="J221" s="178"/>
      <c r="K221" s="178"/>
      <c r="L221" s="178">
        <v>1</v>
      </c>
      <c r="M221" s="178">
        <v>2.5</v>
      </c>
      <c r="N221" s="178"/>
      <c r="O221" s="178"/>
      <c r="P221" s="178"/>
      <c r="Q221" s="178" t="str">
        <f>Q218</f>
        <v>80 km/h</v>
      </c>
      <c r="R221" s="181"/>
      <c r="S221" s="178"/>
      <c r="T221" s="178"/>
      <c r="AA221" s="21" t="s">
        <v>917</v>
      </c>
      <c r="AB221" s="21">
        <v>215</v>
      </c>
    </row>
    <row r="222" spans="1:28" ht="15" x14ac:dyDescent="0.25">
      <c r="A222" s="224" t="s">
        <v>129</v>
      </c>
      <c r="B222" s="83">
        <v>74348</v>
      </c>
      <c r="C222" s="182" t="str">
        <f t="shared" si="30"/>
        <v>PSR_465.94_DN_75 km/h</v>
      </c>
      <c r="D222" s="183" t="s">
        <v>1045</v>
      </c>
      <c r="E222" s="184" t="s">
        <v>187</v>
      </c>
      <c r="F222" s="184"/>
      <c r="G222" s="179">
        <v>465.94</v>
      </c>
      <c r="H222" s="185">
        <f t="shared" si="28"/>
        <v>465.94</v>
      </c>
      <c r="I222" s="230">
        <f>IF("generated"=1, "Path=MMRBEM_7_UP, Scaled Offset=465.93999999999999772626324556767941", 975.487163541185)</f>
        <v>975.48716354118505</v>
      </c>
      <c r="J222" s="184"/>
      <c r="K222" s="184"/>
      <c r="L222" s="184"/>
      <c r="M222" s="184">
        <v>-2.5</v>
      </c>
      <c r="N222" s="184"/>
      <c r="O222" s="184"/>
      <c r="P222" s="184"/>
      <c r="Q222" s="180" t="s">
        <v>1049</v>
      </c>
      <c r="R222" s="184"/>
      <c r="S222" s="184"/>
      <c r="T222" s="184"/>
      <c r="AA222" s="21" t="s">
        <v>917</v>
      </c>
      <c r="AB222" s="21">
        <v>216</v>
      </c>
    </row>
    <row r="223" spans="1:28" ht="15" x14ac:dyDescent="0.25">
      <c r="A223" s="224" t="s">
        <v>129</v>
      </c>
      <c r="B223">
        <v>74349</v>
      </c>
      <c r="C223" s="182" t="str">
        <f t="shared" si="30"/>
        <v>PSR_465.94_UP_80 km/h</v>
      </c>
      <c r="D223" s="183" t="s">
        <v>1045</v>
      </c>
      <c r="E223" s="183" t="str">
        <f>E222</f>
        <v>MMRBEM_7_UP</v>
      </c>
      <c r="F223" s="184"/>
      <c r="G223" s="179">
        <f>G222</f>
        <v>465.94</v>
      </c>
      <c r="H223" s="185">
        <f t="shared" si="28"/>
        <v>465.94</v>
      </c>
      <c r="I223" s="230">
        <f>IF("generated"=1, "Path=MMRBEM_7_UP, Scaled Offset=465.93999999999999772626324556767941", 975.487163541185)</f>
        <v>975.48716354118505</v>
      </c>
      <c r="J223" s="184"/>
      <c r="K223" s="184"/>
      <c r="L223" s="184">
        <v>1</v>
      </c>
      <c r="M223" s="184">
        <v>2.5</v>
      </c>
      <c r="N223" s="184"/>
      <c r="O223" s="184"/>
      <c r="P223" s="184"/>
      <c r="Q223" s="184" t="str">
        <f>Q220</f>
        <v>80 km/h</v>
      </c>
      <c r="R223" s="184"/>
      <c r="S223" s="184"/>
      <c r="T223" s="184"/>
      <c r="AA223" s="21" t="s">
        <v>917</v>
      </c>
      <c r="AB223" s="21">
        <v>217</v>
      </c>
    </row>
    <row r="224" spans="1:28" ht="15" x14ac:dyDescent="0.25">
      <c r="A224" s="224" t="s">
        <v>129</v>
      </c>
      <c r="B224" s="83">
        <v>74350</v>
      </c>
      <c r="C224" s="176" t="str">
        <f t="shared" si="30"/>
        <v>PSR_607.23_DN_75 km/h</v>
      </c>
      <c r="D224" s="177" t="s">
        <v>1045</v>
      </c>
      <c r="E224" s="177" t="s">
        <v>187</v>
      </c>
      <c r="F224" s="178"/>
      <c r="G224" s="179">
        <v>607.23</v>
      </c>
      <c r="H224" s="179">
        <f t="shared" si="28"/>
        <v>607.23</v>
      </c>
      <c r="I224" s="230">
        <f>IF("generated"=1, "Path=MMRBEM_7_UP, Scaled Offset=607.23000000000001818989403545856476", 1114.52327397197)</f>
        <v>1114.52327397197</v>
      </c>
      <c r="J224" s="178"/>
      <c r="K224" s="178"/>
      <c r="L224" s="178"/>
      <c r="M224" s="178">
        <v>-2.5</v>
      </c>
      <c r="N224" s="178"/>
      <c r="O224" s="178"/>
      <c r="P224" s="178"/>
      <c r="Q224" s="180" t="s">
        <v>1049</v>
      </c>
      <c r="R224" s="181"/>
      <c r="S224" s="178"/>
      <c r="T224" s="178"/>
      <c r="AA224" s="21" t="s">
        <v>917</v>
      </c>
      <c r="AB224" s="21">
        <v>218</v>
      </c>
    </row>
    <row r="225" spans="1:28" ht="15" x14ac:dyDescent="0.25">
      <c r="A225" s="224" t="s">
        <v>129</v>
      </c>
      <c r="B225">
        <v>74351</v>
      </c>
      <c r="C225" s="176" t="str">
        <f t="shared" si="30"/>
        <v>PSR_607.23_UP_75 km/h</v>
      </c>
      <c r="D225" s="177" t="s">
        <v>1045</v>
      </c>
      <c r="E225" s="177" t="str">
        <f>E224</f>
        <v>MMRBEM_7_UP</v>
      </c>
      <c r="F225" s="178"/>
      <c r="G225" s="179">
        <f>G224</f>
        <v>607.23</v>
      </c>
      <c r="H225" s="179">
        <f t="shared" si="28"/>
        <v>607.23</v>
      </c>
      <c r="I225" s="230">
        <f>IF("generated"=1, "Path=MMRBEM_7_UP, Scaled Offset=607.23000000000001818989403545856476", 1114.52327397197)</f>
        <v>1114.52327397197</v>
      </c>
      <c r="J225" s="178"/>
      <c r="K225" s="178"/>
      <c r="L225" s="178">
        <v>1</v>
      </c>
      <c r="M225" s="178">
        <v>2.5</v>
      </c>
      <c r="N225" s="178"/>
      <c r="O225" s="178"/>
      <c r="P225" s="178"/>
      <c r="Q225" s="178" t="str">
        <f>Q222</f>
        <v>75 km/h</v>
      </c>
      <c r="R225" s="181"/>
      <c r="S225" s="178"/>
      <c r="T225" s="178"/>
      <c r="AA225" s="21" t="s">
        <v>917</v>
      </c>
      <c r="AB225" s="21">
        <v>219</v>
      </c>
    </row>
    <row r="226" spans="1:28" ht="15" x14ac:dyDescent="0.25">
      <c r="A226" s="224" t="s">
        <v>129</v>
      </c>
      <c r="B226" s="83">
        <v>74352</v>
      </c>
      <c r="C226" s="182" t="str">
        <f t="shared" si="30"/>
        <v>PSR_769_DN_80 km/h</v>
      </c>
      <c r="D226" s="183" t="s">
        <v>1045</v>
      </c>
      <c r="E226" s="184" t="s">
        <v>187</v>
      </c>
      <c r="F226" s="184"/>
      <c r="G226" s="179">
        <v>769</v>
      </c>
      <c r="H226" s="185">
        <f t="shared" si="28"/>
        <v>769</v>
      </c>
      <c r="I226" s="230">
        <f>IF("generated"=1, "Path=MMRBEM_7_UP, Scaled Offset=769", 1273.71268287839)</f>
        <v>1273.7126828783901</v>
      </c>
      <c r="J226" s="184"/>
      <c r="K226" s="184"/>
      <c r="L226" s="184"/>
      <c r="M226" s="184">
        <v>-2.5</v>
      </c>
      <c r="N226" s="184"/>
      <c r="O226" s="184"/>
      <c r="P226" s="184"/>
      <c r="Q226" s="180" t="s">
        <v>1048</v>
      </c>
      <c r="R226" s="184"/>
      <c r="S226" s="184"/>
      <c r="T226" s="184"/>
      <c r="AA226" s="21" t="s">
        <v>917</v>
      </c>
      <c r="AB226" s="21">
        <v>220</v>
      </c>
    </row>
    <row r="227" spans="1:28" ht="15" x14ac:dyDescent="0.25">
      <c r="A227" s="224" t="s">
        <v>129</v>
      </c>
      <c r="B227">
        <v>74353</v>
      </c>
      <c r="C227" s="182" t="str">
        <f t="shared" si="30"/>
        <v>PSR_769_UP_75 km/h</v>
      </c>
      <c r="D227" s="183" t="s">
        <v>1045</v>
      </c>
      <c r="E227" s="183" t="str">
        <f>E226</f>
        <v>MMRBEM_7_UP</v>
      </c>
      <c r="F227" s="184"/>
      <c r="G227" s="179">
        <f>G226</f>
        <v>769</v>
      </c>
      <c r="H227" s="185">
        <f t="shared" si="28"/>
        <v>769</v>
      </c>
      <c r="I227" s="230">
        <f>IF("generated"=1, "Path=MMRBEM_7_UP, Scaled Offset=769", 1273.71268287839)</f>
        <v>1273.7126828783901</v>
      </c>
      <c r="J227" s="184"/>
      <c r="K227" s="184"/>
      <c r="L227" s="184">
        <v>1</v>
      </c>
      <c r="M227" s="184">
        <v>2.5</v>
      </c>
      <c r="N227" s="184"/>
      <c r="O227" s="184"/>
      <c r="P227" s="184"/>
      <c r="Q227" s="184" t="str">
        <f>Q224</f>
        <v>75 km/h</v>
      </c>
      <c r="R227" s="184"/>
      <c r="S227" s="184"/>
      <c r="T227" s="184"/>
      <c r="AA227" s="21" t="s">
        <v>917</v>
      </c>
      <c r="AB227" s="21">
        <v>221</v>
      </c>
    </row>
    <row r="228" spans="1:28" ht="15" x14ac:dyDescent="0.25">
      <c r="A228" s="224" t="s">
        <v>129</v>
      </c>
      <c r="B228" s="83">
        <v>74354</v>
      </c>
      <c r="C228" s="176" t="str">
        <f>"PSR_"&amp;G228&amp;IF(L228=0,"_DN_","_UP_")&amp;Q228</f>
        <v>PSR_935.2_DN_55 km/h</v>
      </c>
      <c r="D228" s="177" t="s">
        <v>1045</v>
      </c>
      <c r="E228" s="177" t="s">
        <v>187</v>
      </c>
      <c r="F228" s="178"/>
      <c r="G228" s="179">
        <v>935.2</v>
      </c>
      <c r="H228" s="179">
        <f t="shared" si="28"/>
        <v>935.2</v>
      </c>
      <c r="I228" s="230">
        <f>IF("generated"=1, "Path=MMRBEM_7_UP, Scaled Offset=935.2000000000000454747350886464119", 1437.26142343751)</f>
        <v>1437.2614234375101</v>
      </c>
      <c r="J228" s="178"/>
      <c r="K228" s="178"/>
      <c r="L228" s="178"/>
      <c r="M228" s="178">
        <v>-2.5</v>
      </c>
      <c r="N228" s="178"/>
      <c r="O228" s="178"/>
      <c r="P228" s="178"/>
      <c r="Q228" s="180" t="s">
        <v>1050</v>
      </c>
      <c r="R228" s="181"/>
      <c r="S228" s="178"/>
      <c r="T228" s="178"/>
      <c r="AA228" s="21" t="s">
        <v>917</v>
      </c>
      <c r="AB228" s="21">
        <v>222</v>
      </c>
    </row>
    <row r="229" spans="1:28" ht="15" x14ac:dyDescent="0.25">
      <c r="A229" s="224" t="s">
        <v>129</v>
      </c>
      <c r="B229">
        <v>74355</v>
      </c>
      <c r="C229" s="176" t="str">
        <f t="shared" ref="C229:C239" si="31">"PSR_"&amp;G229&amp;IF(L229=0,"_DN_","_UP_")&amp;Q229</f>
        <v>PSR_935.2_UP_80 km/h</v>
      </c>
      <c r="D229" s="177" t="s">
        <v>1045</v>
      </c>
      <c r="E229" s="177" t="str">
        <f>E228</f>
        <v>MMRBEM_7_UP</v>
      </c>
      <c r="F229" s="178"/>
      <c r="G229" s="179">
        <f>G228</f>
        <v>935.2</v>
      </c>
      <c r="H229" s="179">
        <f t="shared" si="28"/>
        <v>935.2</v>
      </c>
      <c r="I229" s="230">
        <f>IF("generated"=1, "Path=MMRBEM_7_UP, Scaled Offset=935.2000000000000454747350886464119", 1437.26142343751)</f>
        <v>1437.2614234375101</v>
      </c>
      <c r="J229" s="178"/>
      <c r="K229" s="178"/>
      <c r="L229" s="178">
        <v>1</v>
      </c>
      <c r="M229" s="178">
        <v>2.5</v>
      </c>
      <c r="N229" s="178"/>
      <c r="O229" s="178"/>
      <c r="P229" s="178"/>
      <c r="Q229" s="178" t="str">
        <f>Q226</f>
        <v>80 km/h</v>
      </c>
      <c r="R229" s="181"/>
      <c r="S229" s="178"/>
      <c r="T229" s="178"/>
      <c r="AA229" s="21" t="s">
        <v>917</v>
      </c>
      <c r="AB229" s="21">
        <v>223</v>
      </c>
    </row>
    <row r="230" spans="1:28" ht="15" x14ac:dyDescent="0.25">
      <c r="A230" s="224" t="s">
        <v>129</v>
      </c>
      <c r="B230" s="83">
        <v>74356</v>
      </c>
      <c r="C230" s="182" t="str">
        <f t="shared" si="31"/>
        <v>PSR_1227.04_DN_80 km/h</v>
      </c>
      <c r="D230" s="183" t="s">
        <v>1045</v>
      </c>
      <c r="E230" s="184" t="s">
        <v>187</v>
      </c>
      <c r="F230" s="184"/>
      <c r="G230" s="179">
        <v>1227.04</v>
      </c>
      <c r="H230" s="185">
        <f t="shared" si="28"/>
        <v>1227.04</v>
      </c>
      <c r="I230" s="230">
        <f>IF("generated"=1, "Path=MMRBEM_7_UP, Scaled Offset=1227.0399999999999636202119290828705", 1724.44592671531)</f>
        <v>1724.44592671531</v>
      </c>
      <c r="J230" s="184"/>
      <c r="K230" s="184"/>
      <c r="L230" s="184"/>
      <c r="M230" s="184">
        <v>-2.5</v>
      </c>
      <c r="N230" s="184"/>
      <c r="O230" s="184"/>
      <c r="P230" s="184"/>
      <c r="Q230" s="180" t="s">
        <v>1048</v>
      </c>
      <c r="R230" s="184"/>
      <c r="S230" s="184"/>
      <c r="T230" s="184"/>
      <c r="AA230" s="21" t="s">
        <v>917</v>
      </c>
      <c r="AB230" s="21">
        <v>224</v>
      </c>
    </row>
    <row r="231" spans="1:28" ht="15" x14ac:dyDescent="0.25">
      <c r="A231" s="224" t="s">
        <v>129</v>
      </c>
      <c r="B231">
        <v>74357</v>
      </c>
      <c r="C231" s="182" t="str">
        <f t="shared" si="31"/>
        <v>PSR_1227.04_UP_55 km/h</v>
      </c>
      <c r="D231" s="183" t="s">
        <v>1045</v>
      </c>
      <c r="E231" s="183" t="str">
        <f>E230</f>
        <v>MMRBEM_7_UP</v>
      </c>
      <c r="F231" s="184"/>
      <c r="G231" s="179">
        <f>G230</f>
        <v>1227.04</v>
      </c>
      <c r="H231" s="185">
        <f t="shared" si="28"/>
        <v>1227.04</v>
      </c>
      <c r="I231" s="230">
        <f>IF("generated"=1, "Path=MMRBEM_7_UP, Scaled Offset=1227.0399999999999636202119290828705", 1724.44592671531)</f>
        <v>1724.44592671531</v>
      </c>
      <c r="J231" s="184"/>
      <c r="K231" s="184"/>
      <c r="L231" s="184">
        <v>1</v>
      </c>
      <c r="M231" s="184">
        <v>2.5</v>
      </c>
      <c r="N231" s="184"/>
      <c r="O231" s="184"/>
      <c r="P231" s="184"/>
      <c r="Q231" s="184" t="str">
        <f>Q228</f>
        <v>55 km/h</v>
      </c>
      <c r="R231" s="184"/>
      <c r="S231" s="184"/>
      <c r="T231" s="184"/>
      <c r="AA231" s="21" t="s">
        <v>917</v>
      </c>
      <c r="AB231" s="21">
        <v>225</v>
      </c>
    </row>
    <row r="232" spans="1:28" ht="15" x14ac:dyDescent="0.25">
      <c r="A232" s="224" t="s">
        <v>129</v>
      </c>
      <c r="B232" s="83">
        <v>74358</v>
      </c>
      <c r="C232" s="176" t="str">
        <f t="shared" si="31"/>
        <v>PSR_1250.34_DN_55 km/h</v>
      </c>
      <c r="D232" s="177" t="s">
        <v>1045</v>
      </c>
      <c r="E232" s="177" t="s">
        <v>187</v>
      </c>
      <c r="F232" s="178"/>
      <c r="G232" s="179">
        <v>1250.3399999999999</v>
      </c>
      <c r="H232" s="179">
        <f t="shared" si="28"/>
        <v>1250.3399999999999</v>
      </c>
      <c r="I232" s="230">
        <f>IF("generated"=1, "Path=MMRBEM_7_UP, Scaled Offset=1250.3399999999999181454768404364586", 1747.37423992245)</f>
        <v>1747.37423992245</v>
      </c>
      <c r="J232" s="178"/>
      <c r="K232" s="178"/>
      <c r="L232" s="178"/>
      <c r="M232" s="178">
        <v>-2.5</v>
      </c>
      <c r="N232" s="178"/>
      <c r="O232" s="178"/>
      <c r="P232" s="178"/>
      <c r="Q232" s="180" t="s">
        <v>1050</v>
      </c>
      <c r="R232" s="181"/>
      <c r="S232" s="178"/>
      <c r="T232" s="178"/>
      <c r="AA232" s="21" t="s">
        <v>917</v>
      </c>
      <c r="AB232" s="21">
        <v>226</v>
      </c>
    </row>
    <row r="233" spans="1:28" ht="15" x14ac:dyDescent="0.25">
      <c r="A233" s="224" t="s">
        <v>129</v>
      </c>
      <c r="B233">
        <v>74359</v>
      </c>
      <c r="C233" s="176" t="str">
        <f t="shared" si="31"/>
        <v>PSR_1250.34_UP_80 km/h</v>
      </c>
      <c r="D233" s="177" t="s">
        <v>1045</v>
      </c>
      <c r="E233" s="177" t="str">
        <f>E232</f>
        <v>MMRBEM_7_UP</v>
      </c>
      <c r="F233" s="178"/>
      <c r="G233" s="179">
        <f>G232</f>
        <v>1250.3399999999999</v>
      </c>
      <c r="H233" s="179">
        <f t="shared" si="28"/>
        <v>1250.3399999999999</v>
      </c>
      <c r="I233" s="230">
        <f>IF("generated"=1, "Path=MMRBEM_7_UP, Scaled Offset=1250.3399999999999181454768404364586", 1747.37423992245)</f>
        <v>1747.37423992245</v>
      </c>
      <c r="J233" s="178"/>
      <c r="K233" s="178"/>
      <c r="L233" s="178">
        <v>1</v>
      </c>
      <c r="M233" s="178">
        <v>2.5</v>
      </c>
      <c r="N233" s="178"/>
      <c r="O233" s="178"/>
      <c r="P233" s="178"/>
      <c r="Q233" s="178" t="str">
        <f>Q230</f>
        <v>80 km/h</v>
      </c>
      <c r="R233" s="181"/>
      <c r="S233" s="178"/>
      <c r="T233" s="178"/>
      <c r="AA233" s="21" t="s">
        <v>917</v>
      </c>
      <c r="AB233" s="21">
        <v>227</v>
      </c>
    </row>
    <row r="234" spans="1:28" ht="15" x14ac:dyDescent="0.25">
      <c r="A234" s="224" t="s">
        <v>129</v>
      </c>
      <c r="B234" s="83">
        <v>74360</v>
      </c>
      <c r="C234" s="182" t="str">
        <f t="shared" si="31"/>
        <v>PSR_1467.84_DN_80 km/h</v>
      </c>
      <c r="D234" s="183" t="s">
        <v>1045</v>
      </c>
      <c r="E234" s="184" t="s">
        <v>187</v>
      </c>
      <c r="F234" s="184"/>
      <c r="G234" s="179">
        <v>1467.84</v>
      </c>
      <c r="H234" s="185">
        <f t="shared" si="28"/>
        <v>1467.84</v>
      </c>
      <c r="I234" s="230">
        <f>IF("generated"=1, "Path=MMRBEM_7_UP, Scaled Offset=1467.8399999999999181454768404364586", 1961.40463144837)</f>
        <v>1961.4046314483701</v>
      </c>
      <c r="J234" s="184"/>
      <c r="K234" s="184"/>
      <c r="L234" s="184"/>
      <c r="M234" s="184">
        <v>-2.5</v>
      </c>
      <c r="N234" s="184"/>
      <c r="O234" s="184"/>
      <c r="P234" s="184"/>
      <c r="Q234" s="180" t="s">
        <v>1048</v>
      </c>
      <c r="R234" s="184"/>
      <c r="S234" s="184"/>
      <c r="T234" s="184"/>
      <c r="AA234" s="21" t="s">
        <v>917</v>
      </c>
      <c r="AB234" s="21">
        <v>228</v>
      </c>
    </row>
    <row r="235" spans="1:28" ht="15" x14ac:dyDescent="0.25">
      <c r="A235" s="224" t="s">
        <v>129</v>
      </c>
      <c r="B235">
        <v>74361</v>
      </c>
      <c r="C235" s="182" t="str">
        <f t="shared" si="31"/>
        <v>PSR_1467.84_UP_55 km/h</v>
      </c>
      <c r="D235" s="183" t="s">
        <v>1045</v>
      </c>
      <c r="E235" s="183" t="str">
        <f>E234</f>
        <v>MMRBEM_7_UP</v>
      </c>
      <c r="F235" s="184"/>
      <c r="G235" s="179">
        <f>G234</f>
        <v>1467.84</v>
      </c>
      <c r="H235" s="185">
        <f t="shared" si="28"/>
        <v>1467.84</v>
      </c>
      <c r="I235" s="230">
        <f>IF("generated"=1, "Path=MMRBEM_7_UP, Scaled Offset=1467.8399999999999181454768404364586", 1961.40463144837)</f>
        <v>1961.4046314483701</v>
      </c>
      <c r="J235" s="184"/>
      <c r="K235" s="184"/>
      <c r="L235" s="184">
        <v>1</v>
      </c>
      <c r="M235" s="184">
        <v>2.5</v>
      </c>
      <c r="N235" s="184"/>
      <c r="O235" s="184"/>
      <c r="P235" s="184"/>
      <c r="Q235" s="184" t="str">
        <f>Q232</f>
        <v>55 km/h</v>
      </c>
      <c r="R235" s="184"/>
      <c r="S235" s="184"/>
      <c r="T235" s="184"/>
      <c r="AA235" s="21" t="s">
        <v>917</v>
      </c>
      <c r="AB235" s="21">
        <v>229</v>
      </c>
    </row>
    <row r="236" spans="1:28" ht="15" x14ac:dyDescent="0.25">
      <c r="A236" s="224" t="s">
        <v>129</v>
      </c>
      <c r="B236" s="83">
        <v>74362</v>
      </c>
      <c r="C236" s="176" t="str">
        <f t="shared" si="31"/>
        <v>PSR_1669.58_DN_80 km/h</v>
      </c>
      <c r="D236" s="177" t="s">
        <v>1045</v>
      </c>
      <c r="E236" s="177" t="s">
        <v>187</v>
      </c>
      <c r="F236" s="178"/>
      <c r="G236" s="179">
        <v>1669.58</v>
      </c>
      <c r="H236" s="179">
        <f t="shared" si="28"/>
        <v>1669.58</v>
      </c>
      <c r="I236" s="230">
        <f>IF("generated"=1, "Path=MMRBEM_7_UP, Scaled Offset=1669.579999999999927240423858165741", 2159.9264300067)</f>
        <v>2159.9264300066998</v>
      </c>
      <c r="J236" s="178"/>
      <c r="K236" s="178"/>
      <c r="L236" s="178"/>
      <c r="M236" s="178">
        <v>-2.5</v>
      </c>
      <c r="N236" s="178"/>
      <c r="O236" s="178"/>
      <c r="P236" s="178"/>
      <c r="Q236" s="180" t="s">
        <v>1048</v>
      </c>
      <c r="R236" s="181"/>
      <c r="S236" s="178"/>
      <c r="T236" s="178"/>
      <c r="AA236" s="21" t="s">
        <v>917</v>
      </c>
      <c r="AB236" s="21">
        <v>230</v>
      </c>
    </row>
    <row r="237" spans="1:28" ht="15" x14ac:dyDescent="0.25">
      <c r="A237" s="224" t="s">
        <v>129</v>
      </c>
      <c r="B237">
        <v>74363</v>
      </c>
      <c r="C237" s="176" t="str">
        <f t="shared" si="31"/>
        <v>PSR_1669.58_UP_80 km/h</v>
      </c>
      <c r="D237" s="177" t="s">
        <v>1045</v>
      </c>
      <c r="E237" s="177" t="str">
        <f>E236</f>
        <v>MMRBEM_7_UP</v>
      </c>
      <c r="F237" s="178"/>
      <c r="G237" s="179">
        <f>G236</f>
        <v>1669.58</v>
      </c>
      <c r="H237" s="179">
        <f t="shared" si="28"/>
        <v>1669.58</v>
      </c>
      <c r="I237" s="230">
        <f>IF("generated"=1, "Path=MMRBEM_7_UP, Scaled Offset=1669.579999999999927240423858165741", 2159.9264300067)</f>
        <v>2159.9264300066998</v>
      </c>
      <c r="J237" s="178"/>
      <c r="K237" s="178"/>
      <c r="L237" s="178">
        <v>1</v>
      </c>
      <c r="M237" s="178">
        <v>2.5</v>
      </c>
      <c r="N237" s="178"/>
      <c r="O237" s="178"/>
      <c r="P237" s="178"/>
      <c r="Q237" s="178" t="str">
        <f>Q234</f>
        <v>80 km/h</v>
      </c>
      <c r="R237" s="181"/>
      <c r="S237" s="178"/>
      <c r="T237" s="178"/>
      <c r="AA237" s="21" t="s">
        <v>917</v>
      </c>
      <c r="AB237" s="21">
        <v>231</v>
      </c>
    </row>
    <row r="238" spans="1:28" ht="15" x14ac:dyDescent="0.25">
      <c r="A238" s="224" t="s">
        <v>129</v>
      </c>
      <c r="B238" s="83">
        <v>74364</v>
      </c>
      <c r="C238" s="182" t="str">
        <f t="shared" si="31"/>
        <v>PSR_1746.66_DN_80 km/h</v>
      </c>
      <c r="D238" s="183" t="s">
        <v>1045</v>
      </c>
      <c r="E238" s="184" t="s">
        <v>187</v>
      </c>
      <c r="F238" s="184"/>
      <c r="G238" s="179">
        <v>1746.66</v>
      </c>
      <c r="H238" s="185">
        <f t="shared" si="28"/>
        <v>1746.66</v>
      </c>
      <c r="I238" s="230">
        <f>IF("generated"=1, "Path=MMRBEM_7_UP, Scaled Offset=1746.6600000000000818545231595635414", 2235.77683266793)</f>
        <v>2235.7768326679302</v>
      </c>
      <c r="J238" s="184"/>
      <c r="K238" s="184"/>
      <c r="L238" s="184"/>
      <c r="M238" s="184">
        <v>-2.5</v>
      </c>
      <c r="N238" s="184"/>
      <c r="O238" s="184"/>
      <c r="P238" s="184"/>
      <c r="Q238" s="180" t="s">
        <v>1048</v>
      </c>
      <c r="R238" s="184"/>
      <c r="S238" s="184"/>
      <c r="T238" s="184"/>
      <c r="AA238" s="21" t="s">
        <v>917</v>
      </c>
      <c r="AB238" s="21">
        <v>232</v>
      </c>
    </row>
    <row r="239" spans="1:28" ht="15" x14ac:dyDescent="0.25">
      <c r="A239" s="224" t="s">
        <v>129</v>
      </c>
      <c r="B239">
        <v>74365</v>
      </c>
      <c r="C239" s="182" t="str">
        <f t="shared" si="31"/>
        <v>PSR_1746.66_UP_80 km/h</v>
      </c>
      <c r="D239" s="183" t="s">
        <v>1045</v>
      </c>
      <c r="E239" s="183" t="str">
        <f>E238</f>
        <v>MMRBEM_7_UP</v>
      </c>
      <c r="F239" s="184"/>
      <c r="G239" s="179">
        <f>G238</f>
        <v>1746.66</v>
      </c>
      <c r="H239" s="185">
        <f t="shared" si="28"/>
        <v>1746.66</v>
      </c>
      <c r="I239" s="230">
        <f>IF("generated"=1, "Path=MMRBEM_7_UP, Scaled Offset=1746.6600000000000818545231595635414", 2235.77683266793)</f>
        <v>2235.7768326679302</v>
      </c>
      <c r="J239" s="184"/>
      <c r="K239" s="184"/>
      <c r="L239" s="184">
        <v>1</v>
      </c>
      <c r="M239" s="184">
        <v>2.5</v>
      </c>
      <c r="N239" s="184"/>
      <c r="O239" s="184"/>
      <c r="P239" s="184"/>
      <c r="Q239" s="184" t="str">
        <f>Q236</f>
        <v>80 km/h</v>
      </c>
      <c r="R239" s="184"/>
      <c r="S239" s="184"/>
      <c r="T239" s="184"/>
      <c r="AA239" s="21" t="s">
        <v>917</v>
      </c>
      <c r="AB239" s="21">
        <v>233</v>
      </c>
    </row>
    <row r="240" spans="1:28" ht="15" x14ac:dyDescent="0.25">
      <c r="A240" s="224" t="s">
        <v>129</v>
      </c>
      <c r="B240" s="83">
        <v>74366</v>
      </c>
      <c r="C240" s="176" t="str">
        <f>"PSR_"&amp;G240&amp;IF(L240=0,"_DN_","_UP_")&amp;Q240</f>
        <v>PSR_1994.98_DN_80 km/h</v>
      </c>
      <c r="D240" s="177" t="s">
        <v>1045</v>
      </c>
      <c r="E240" s="177" t="s">
        <v>187</v>
      </c>
      <c r="F240" s="178"/>
      <c r="G240" s="179">
        <v>1994.98</v>
      </c>
      <c r="H240" s="179">
        <f t="shared" si="28"/>
        <v>1994.98</v>
      </c>
      <c r="I240" s="230">
        <f>IF("generated"=1, "Path=MMRBEM_7_UP, Scaled Offset=1994.9800000000000181898940354585648", 2480.13557668502)</f>
        <v>2480.1355766850202</v>
      </c>
      <c r="J240" s="178"/>
      <c r="K240" s="178"/>
      <c r="L240" s="178"/>
      <c r="M240" s="178">
        <v>-2.5</v>
      </c>
      <c r="N240" s="178"/>
      <c r="O240" s="178"/>
      <c r="P240" s="178"/>
      <c r="Q240" s="180" t="s">
        <v>1048</v>
      </c>
      <c r="R240" s="181"/>
      <c r="S240" s="178"/>
      <c r="T240" s="178"/>
      <c r="AA240" s="21" t="s">
        <v>917</v>
      </c>
      <c r="AB240" s="21">
        <v>234</v>
      </c>
    </row>
    <row r="241" spans="1:28" ht="15" x14ac:dyDescent="0.25">
      <c r="A241" s="224" t="s">
        <v>129</v>
      </c>
      <c r="B241">
        <v>74367</v>
      </c>
      <c r="C241" s="176" t="str">
        <f t="shared" ref="C241:C247" si="32">"PSR_"&amp;G241&amp;IF(L241=0,"_DN_","_UP_")&amp;Q241</f>
        <v>PSR_1994.98_UP_80 km/h</v>
      </c>
      <c r="D241" s="177" t="s">
        <v>1045</v>
      </c>
      <c r="E241" s="177" t="str">
        <f>E240</f>
        <v>MMRBEM_7_UP</v>
      </c>
      <c r="F241" s="178"/>
      <c r="G241" s="179">
        <f>G240</f>
        <v>1994.98</v>
      </c>
      <c r="H241" s="179">
        <f t="shared" si="28"/>
        <v>1994.98</v>
      </c>
      <c r="I241" s="230">
        <f>IF("generated"=1, "Path=MMRBEM_7_UP, Scaled Offset=1994.9800000000000181898940354585648", 2480.13557668502)</f>
        <v>2480.1355766850202</v>
      </c>
      <c r="J241" s="178"/>
      <c r="K241" s="178"/>
      <c r="L241" s="178">
        <v>1</v>
      </c>
      <c r="M241" s="178">
        <v>2.5</v>
      </c>
      <c r="N241" s="178"/>
      <c r="O241" s="178"/>
      <c r="P241" s="178"/>
      <c r="Q241" s="178" t="str">
        <f>Q238</f>
        <v>80 km/h</v>
      </c>
      <c r="R241" s="181"/>
      <c r="S241" s="178"/>
      <c r="T241" s="178"/>
      <c r="AA241" s="21" t="s">
        <v>917</v>
      </c>
      <c r="AB241" s="21">
        <v>235</v>
      </c>
    </row>
    <row r="242" spans="1:28" ht="15" x14ac:dyDescent="0.25">
      <c r="A242" s="224" t="s">
        <v>129</v>
      </c>
      <c r="B242" s="83">
        <v>74368</v>
      </c>
      <c r="C242" s="182" t="str">
        <f t="shared" si="32"/>
        <v>PSR_2072.59_DN_80 km/h</v>
      </c>
      <c r="D242" s="183" t="s">
        <v>1045</v>
      </c>
      <c r="E242" s="184" t="s">
        <v>187</v>
      </c>
      <c r="F242" s="184"/>
      <c r="G242" s="179">
        <v>2072.59</v>
      </c>
      <c r="H242" s="185">
        <f t="shared" si="28"/>
        <v>2072.59</v>
      </c>
      <c r="I242" s="230">
        <f>IF("generated"=1, "Path=MMRBEM_7_UP, Scaled Offset=2072.5900000000001455191522836685181", 2556.50752466812)</f>
        <v>2556.5075246681199</v>
      </c>
      <c r="J242" s="184"/>
      <c r="K242" s="184"/>
      <c r="L242" s="184"/>
      <c r="M242" s="184">
        <v>-2.5</v>
      </c>
      <c r="N242" s="184"/>
      <c r="O242" s="184"/>
      <c r="P242" s="184"/>
      <c r="Q242" s="180" t="s">
        <v>1048</v>
      </c>
      <c r="R242" s="184"/>
      <c r="S242" s="184"/>
      <c r="T242" s="184"/>
      <c r="AA242" s="21" t="s">
        <v>917</v>
      </c>
      <c r="AB242" s="21">
        <v>236</v>
      </c>
    </row>
    <row r="243" spans="1:28" ht="15" x14ac:dyDescent="0.25">
      <c r="A243" s="224" t="s">
        <v>129</v>
      </c>
      <c r="B243">
        <v>74369</v>
      </c>
      <c r="C243" s="182" t="str">
        <f t="shared" si="32"/>
        <v>PSR_2072.59_UP_80 km/h</v>
      </c>
      <c r="D243" s="183" t="s">
        <v>1045</v>
      </c>
      <c r="E243" s="183" t="str">
        <f>E242</f>
        <v>MMRBEM_7_UP</v>
      </c>
      <c r="F243" s="184"/>
      <c r="G243" s="179">
        <f>G242</f>
        <v>2072.59</v>
      </c>
      <c r="H243" s="185">
        <f t="shared" si="28"/>
        <v>2072.59</v>
      </c>
      <c r="I243" s="230">
        <f>IF("generated"=1, "Path=MMRBEM_7_UP, Scaled Offset=2072.5900000000001455191522836685181", 2556.50752466812)</f>
        <v>2556.5075246681199</v>
      </c>
      <c r="J243" s="184"/>
      <c r="K243" s="184"/>
      <c r="L243" s="184">
        <v>1</v>
      </c>
      <c r="M243" s="184">
        <v>2.5</v>
      </c>
      <c r="N243" s="184"/>
      <c r="O243" s="184"/>
      <c r="P243" s="184"/>
      <c r="Q243" s="184" t="str">
        <f>Q240</f>
        <v>80 km/h</v>
      </c>
      <c r="R243" s="184"/>
      <c r="S243" s="184"/>
      <c r="T243" s="184"/>
      <c r="AA243" s="21" t="s">
        <v>917</v>
      </c>
      <c r="AB243" s="21">
        <v>237</v>
      </c>
    </row>
    <row r="244" spans="1:28" ht="15" x14ac:dyDescent="0.25">
      <c r="A244" s="224" t="s">
        <v>129</v>
      </c>
      <c r="B244" s="83">
        <v>74370</v>
      </c>
      <c r="C244" s="176" t="str">
        <f t="shared" si="32"/>
        <v>PSR_2443.87_DN_80 km/h</v>
      </c>
      <c r="D244" s="177" t="s">
        <v>1045</v>
      </c>
      <c r="E244" s="177" t="s">
        <v>187</v>
      </c>
      <c r="F244" s="178"/>
      <c r="G244" s="179">
        <v>2443.87</v>
      </c>
      <c r="H244" s="179">
        <f t="shared" si="28"/>
        <v>2443.87</v>
      </c>
      <c r="I244" s="230">
        <f>IF("generated"=1, "Path=MMRBEM_7_UP, Scaled Offset=2443.8699999999998908606357872486115", 2921.86478336119)</f>
        <v>2921.8647833611899</v>
      </c>
      <c r="J244" s="178"/>
      <c r="K244" s="178"/>
      <c r="L244" s="178"/>
      <c r="M244" s="178">
        <v>-2.5</v>
      </c>
      <c r="N244" s="178"/>
      <c r="O244" s="178"/>
      <c r="P244" s="178"/>
      <c r="Q244" s="180" t="s">
        <v>1048</v>
      </c>
      <c r="R244" s="181"/>
      <c r="S244" s="178"/>
      <c r="T244" s="178"/>
      <c r="AA244" s="21" t="s">
        <v>917</v>
      </c>
      <c r="AB244" s="21">
        <v>238</v>
      </c>
    </row>
    <row r="245" spans="1:28" ht="15" x14ac:dyDescent="0.25">
      <c r="A245" s="224" t="s">
        <v>129</v>
      </c>
      <c r="B245">
        <v>74371</v>
      </c>
      <c r="C245" s="176" t="str">
        <f t="shared" si="32"/>
        <v>PSR_2443.87_UP_80 km/h</v>
      </c>
      <c r="D245" s="177" t="s">
        <v>1045</v>
      </c>
      <c r="E245" s="177" t="str">
        <f>E244</f>
        <v>MMRBEM_7_UP</v>
      </c>
      <c r="F245" s="178"/>
      <c r="G245" s="179">
        <f>G244</f>
        <v>2443.87</v>
      </c>
      <c r="H245" s="179">
        <f t="shared" si="28"/>
        <v>2443.87</v>
      </c>
      <c r="I245" s="230">
        <f>IF("generated"=1, "Path=MMRBEM_7_UP, Scaled Offset=2443.8699999999998908606357872486115", 2921.86478336119)</f>
        <v>2921.8647833611899</v>
      </c>
      <c r="J245" s="178"/>
      <c r="K245" s="178"/>
      <c r="L245" s="178">
        <v>1</v>
      </c>
      <c r="M245" s="178">
        <v>2.5</v>
      </c>
      <c r="N245" s="178"/>
      <c r="O245" s="178"/>
      <c r="P245" s="178"/>
      <c r="Q245" s="178" t="str">
        <f>Q242</f>
        <v>80 km/h</v>
      </c>
      <c r="R245" s="181"/>
      <c r="S245" s="178"/>
      <c r="T245" s="178"/>
      <c r="AA245" s="21" t="s">
        <v>917</v>
      </c>
      <c r="AB245" s="21">
        <v>239</v>
      </c>
    </row>
    <row r="246" spans="1:28" ht="15" x14ac:dyDescent="0.25">
      <c r="A246" s="224" t="s">
        <v>129</v>
      </c>
      <c r="B246" s="83">
        <v>74372</v>
      </c>
      <c r="C246" s="182" t="str">
        <f t="shared" si="32"/>
        <v>PSR_2587.68_DN_80 km/h</v>
      </c>
      <c r="D246" s="183" t="s">
        <v>1045</v>
      </c>
      <c r="E246" s="184" t="s">
        <v>187</v>
      </c>
      <c r="F246" s="184"/>
      <c r="G246" s="179">
        <v>2587.6799999999998</v>
      </c>
      <c r="H246" s="185">
        <f t="shared" si="28"/>
        <v>2587.6799999999998</v>
      </c>
      <c r="I246" s="230">
        <f>IF("generated"=1, "Path=MMRBEM_7_UP, Scaled Offset=2587.6799999999998362909536808729172", 3063.38069419035)</f>
        <v>3063.3806941903499</v>
      </c>
      <c r="J246" s="184"/>
      <c r="K246" s="184"/>
      <c r="L246" s="184"/>
      <c r="M246" s="184">
        <v>-2.5</v>
      </c>
      <c r="N246" s="184"/>
      <c r="O246" s="184"/>
      <c r="P246" s="184"/>
      <c r="Q246" s="180" t="s">
        <v>1048</v>
      </c>
      <c r="R246" s="184"/>
      <c r="S246" s="184"/>
      <c r="T246" s="184"/>
      <c r="AA246" s="21" t="s">
        <v>917</v>
      </c>
      <c r="AB246" s="21">
        <v>240</v>
      </c>
    </row>
    <row r="247" spans="1:28" ht="15" x14ac:dyDescent="0.25">
      <c r="A247" s="224" t="s">
        <v>129</v>
      </c>
      <c r="B247">
        <v>74373</v>
      </c>
      <c r="C247" s="182" t="str">
        <f t="shared" si="32"/>
        <v>PSR_2587.68_UP_80 km/h</v>
      </c>
      <c r="D247" s="183" t="s">
        <v>1045</v>
      </c>
      <c r="E247" s="183" t="str">
        <f>E246</f>
        <v>MMRBEM_7_UP</v>
      </c>
      <c r="F247" s="184"/>
      <c r="G247" s="179">
        <f>G246</f>
        <v>2587.6799999999998</v>
      </c>
      <c r="H247" s="185">
        <f t="shared" si="28"/>
        <v>2587.6799999999998</v>
      </c>
      <c r="I247" s="230">
        <f>IF("generated"=1, "Path=MMRBEM_7_UP, Scaled Offset=2587.6799999999998362909536808729172", 3063.38069419035)</f>
        <v>3063.3806941903499</v>
      </c>
      <c r="J247" s="184"/>
      <c r="K247" s="184"/>
      <c r="L247" s="184">
        <v>1</v>
      </c>
      <c r="M247" s="184">
        <v>2.5</v>
      </c>
      <c r="N247" s="184"/>
      <c r="O247" s="184"/>
      <c r="P247" s="184"/>
      <c r="Q247" s="184" t="str">
        <f>Q244</f>
        <v>80 km/h</v>
      </c>
      <c r="R247" s="184"/>
      <c r="S247" s="184"/>
      <c r="T247" s="184"/>
      <c r="AA247" s="21" t="s">
        <v>917</v>
      </c>
      <c r="AB247" s="21">
        <v>241</v>
      </c>
    </row>
    <row r="248" spans="1:28" ht="15" x14ac:dyDescent="0.25">
      <c r="A248" s="224" t="s">
        <v>129</v>
      </c>
      <c r="B248" s="83">
        <v>74374</v>
      </c>
      <c r="C248" s="176" t="str">
        <f>"PSR_"&amp;G248&amp;IF(L248=0,"_DN_","_UP_")&amp;Q248</f>
        <v>PSR_2735.09_DN_80 km/h</v>
      </c>
      <c r="D248" s="177" t="s">
        <v>1045</v>
      </c>
      <c r="E248" s="177" t="s">
        <v>187</v>
      </c>
      <c r="F248" s="178"/>
      <c r="G248" s="179">
        <v>2735.09</v>
      </c>
      <c r="H248" s="179">
        <f t="shared" si="28"/>
        <v>2735.09</v>
      </c>
      <c r="I248" s="230">
        <f>IF("generated"=1, "Path=MMRBEM_7_UP, Scaled Offset=2735.0900000000001455191522836685181", 3208.43917701717)</f>
        <v>3208.4391770171701</v>
      </c>
      <c r="J248" s="178"/>
      <c r="K248" s="178"/>
      <c r="L248" s="178"/>
      <c r="M248" s="178">
        <v>-2.5</v>
      </c>
      <c r="N248" s="178"/>
      <c r="O248" s="178"/>
      <c r="P248" s="178"/>
      <c r="Q248" s="180" t="s">
        <v>1048</v>
      </c>
      <c r="R248" s="181"/>
      <c r="S248" s="178"/>
      <c r="T248" s="178"/>
      <c r="AA248" s="21" t="s">
        <v>917</v>
      </c>
      <c r="AB248" s="21">
        <v>242</v>
      </c>
    </row>
    <row r="249" spans="1:28" ht="15" x14ac:dyDescent="0.25">
      <c r="A249" s="224" t="s">
        <v>129</v>
      </c>
      <c r="B249">
        <v>74375</v>
      </c>
      <c r="C249" s="176" t="str">
        <f t="shared" ref="C249:C257" si="33">"PSR_"&amp;G249&amp;IF(L249=0,"_DN_","_UP_")&amp;Q249</f>
        <v>PSR_2735.09_UP_80 km/h</v>
      </c>
      <c r="D249" s="177" t="s">
        <v>1045</v>
      </c>
      <c r="E249" s="177" t="str">
        <f>E248</f>
        <v>MMRBEM_7_UP</v>
      </c>
      <c r="F249" s="178"/>
      <c r="G249" s="179">
        <f>G248</f>
        <v>2735.09</v>
      </c>
      <c r="H249" s="179">
        <f t="shared" si="28"/>
        <v>2735.09</v>
      </c>
      <c r="I249" s="230">
        <f>IF("generated"=1, "Path=MMRBEM_7_UP, Scaled Offset=2735.0900000000001455191522836685181", 3208.43917701717)</f>
        <v>3208.4391770171701</v>
      </c>
      <c r="J249" s="178"/>
      <c r="K249" s="178"/>
      <c r="L249" s="178">
        <v>1</v>
      </c>
      <c r="M249" s="178">
        <v>2.5</v>
      </c>
      <c r="N249" s="178"/>
      <c r="O249" s="178"/>
      <c r="P249" s="178"/>
      <c r="Q249" s="178" t="str">
        <f>Q246</f>
        <v>80 km/h</v>
      </c>
      <c r="R249" s="181"/>
      <c r="S249" s="178"/>
      <c r="T249" s="178"/>
      <c r="AA249" s="21" t="s">
        <v>917</v>
      </c>
      <c r="AB249" s="21">
        <v>243</v>
      </c>
    </row>
    <row r="250" spans="1:28" ht="15" x14ac:dyDescent="0.25">
      <c r="A250" s="224" t="s">
        <v>129</v>
      </c>
      <c r="B250" s="83">
        <v>74376</v>
      </c>
      <c r="C250" s="182" t="str">
        <f t="shared" si="33"/>
        <v>PSR_2767.51_DN_80 km/h</v>
      </c>
      <c r="D250" s="183" t="s">
        <v>1045</v>
      </c>
      <c r="E250" s="184" t="s">
        <v>187</v>
      </c>
      <c r="F250" s="184"/>
      <c r="G250" s="179">
        <v>2767.51</v>
      </c>
      <c r="H250" s="185">
        <f t="shared" si="28"/>
        <v>2767.51</v>
      </c>
      <c r="I250" s="230">
        <f>IF("generated"=1, "Path=MMRBEM_7_UP, Scaled Offset=2767.5100000000002182787284255027771", 3240.34200595175)</f>
        <v>3240.3420059517498</v>
      </c>
      <c r="J250" s="184"/>
      <c r="K250" s="184"/>
      <c r="L250" s="184"/>
      <c r="M250" s="184">
        <v>-2.5</v>
      </c>
      <c r="N250" s="184"/>
      <c r="O250" s="184"/>
      <c r="P250" s="184"/>
      <c r="Q250" s="180" t="s">
        <v>1048</v>
      </c>
      <c r="R250" s="184"/>
      <c r="S250" s="184"/>
      <c r="T250" s="184"/>
      <c r="AA250" s="21" t="s">
        <v>917</v>
      </c>
      <c r="AB250" s="21">
        <v>244</v>
      </c>
    </row>
    <row r="251" spans="1:28" ht="15" x14ac:dyDescent="0.25">
      <c r="A251" s="224" t="s">
        <v>129</v>
      </c>
      <c r="B251">
        <v>74377</v>
      </c>
      <c r="C251" s="182" t="str">
        <f t="shared" si="33"/>
        <v>PSR_2767.51_UP_80 km/h</v>
      </c>
      <c r="D251" s="183" t="s">
        <v>1045</v>
      </c>
      <c r="E251" s="183" t="str">
        <f>E250</f>
        <v>MMRBEM_7_UP</v>
      </c>
      <c r="F251" s="184"/>
      <c r="G251" s="179">
        <f>G250</f>
        <v>2767.51</v>
      </c>
      <c r="H251" s="185">
        <f t="shared" si="28"/>
        <v>2767.51</v>
      </c>
      <c r="I251" s="230">
        <f>IF("generated"=1, "Path=MMRBEM_7_UP, Scaled Offset=2767.5100000000002182787284255027771", 3240.34200595175)</f>
        <v>3240.3420059517498</v>
      </c>
      <c r="J251" s="184"/>
      <c r="K251" s="184"/>
      <c r="L251" s="184">
        <v>1</v>
      </c>
      <c r="M251" s="184">
        <v>2.5</v>
      </c>
      <c r="N251" s="184"/>
      <c r="O251" s="184"/>
      <c r="P251" s="184"/>
      <c r="Q251" s="184" t="str">
        <f>Q248</f>
        <v>80 km/h</v>
      </c>
      <c r="R251" s="184"/>
      <c r="S251" s="184"/>
      <c r="T251" s="184"/>
      <c r="AA251" s="21" t="s">
        <v>917</v>
      </c>
      <c r="AB251" s="21">
        <v>245</v>
      </c>
    </row>
    <row r="252" spans="1:28" ht="15" x14ac:dyDescent="0.25">
      <c r="A252" s="224" t="s">
        <v>129</v>
      </c>
      <c r="B252" s="83">
        <v>74378</v>
      </c>
      <c r="C252" s="176" t="str">
        <f t="shared" si="33"/>
        <v>PSR_2848.71_DN_80 km/h</v>
      </c>
      <c r="D252" s="177" t="s">
        <v>1045</v>
      </c>
      <c r="E252" s="177" t="s">
        <v>187</v>
      </c>
      <c r="F252" s="178"/>
      <c r="G252" s="179">
        <v>2848.71</v>
      </c>
      <c r="H252" s="179">
        <f t="shared" si="28"/>
        <v>2848.71</v>
      </c>
      <c r="I252" s="230">
        <f>IF("generated"=1, "Path=MMRBEM_7_UP, Scaled Offset=2848.7100000000000363797880709171295", 3320.24668545476)</f>
        <v>3320.2466854547602</v>
      </c>
      <c r="J252" s="178"/>
      <c r="K252" s="178"/>
      <c r="L252" s="178"/>
      <c r="M252" s="178">
        <v>-2.5</v>
      </c>
      <c r="N252" s="178"/>
      <c r="O252" s="178"/>
      <c r="P252" s="178"/>
      <c r="Q252" s="180" t="s">
        <v>1048</v>
      </c>
      <c r="R252" s="181"/>
      <c r="S252" s="178"/>
      <c r="T252" s="178"/>
      <c r="AA252" s="21" t="s">
        <v>917</v>
      </c>
      <c r="AB252" s="21">
        <v>246</v>
      </c>
    </row>
    <row r="253" spans="1:28" ht="15" x14ac:dyDescent="0.25">
      <c r="A253" s="224" t="s">
        <v>129</v>
      </c>
      <c r="B253">
        <v>74379</v>
      </c>
      <c r="C253" s="176" t="str">
        <f t="shared" si="33"/>
        <v>PSR_2848.71_UP_80 km/h</v>
      </c>
      <c r="D253" s="177" t="s">
        <v>1045</v>
      </c>
      <c r="E253" s="177" t="str">
        <f>E252</f>
        <v>MMRBEM_7_UP</v>
      </c>
      <c r="F253" s="178"/>
      <c r="G253" s="179">
        <f>G252</f>
        <v>2848.71</v>
      </c>
      <c r="H253" s="179">
        <f t="shared" si="28"/>
        <v>2848.71</v>
      </c>
      <c r="I253" s="230">
        <f>IF("generated"=1, "Path=MMRBEM_7_UP, Scaled Offset=2848.7100000000000363797880709171295", 3320.24668545476)</f>
        <v>3320.2466854547602</v>
      </c>
      <c r="J253" s="178"/>
      <c r="K253" s="178"/>
      <c r="L253" s="178">
        <v>1</v>
      </c>
      <c r="M253" s="178">
        <v>2.5</v>
      </c>
      <c r="N253" s="178"/>
      <c r="O253" s="178"/>
      <c r="P253" s="178"/>
      <c r="Q253" s="178" t="str">
        <f>Q250</f>
        <v>80 km/h</v>
      </c>
      <c r="R253" s="181"/>
      <c r="S253" s="178"/>
      <c r="T253" s="178"/>
      <c r="AA253" s="21" t="s">
        <v>917</v>
      </c>
      <c r="AB253" s="21">
        <v>247</v>
      </c>
    </row>
    <row r="254" spans="1:28" ht="15" x14ac:dyDescent="0.25">
      <c r="A254" s="224" t="s">
        <v>129</v>
      </c>
      <c r="B254" s="83">
        <v>74380</v>
      </c>
      <c r="C254" s="182" t="str">
        <f t="shared" si="33"/>
        <v>PSR_2892.54_DN_55 km/h</v>
      </c>
      <c r="D254" s="183" t="s">
        <v>1045</v>
      </c>
      <c r="E254" s="184" t="s">
        <v>187</v>
      </c>
      <c r="F254" s="184"/>
      <c r="G254" s="179">
        <v>2892.54</v>
      </c>
      <c r="H254" s="185">
        <f t="shared" si="28"/>
        <v>2892.54</v>
      </c>
      <c r="I254" s="230">
        <f>IF("generated"=1, "Path=MMRBEM_7_UP, Scaled Offset=2892.5399999999999636202119290828705", 3363.37749952639)</f>
        <v>3363.3774995263898</v>
      </c>
      <c r="J254" s="184"/>
      <c r="K254" s="184"/>
      <c r="L254" s="184"/>
      <c r="M254" s="184">
        <v>-2.5</v>
      </c>
      <c r="N254" s="184"/>
      <c r="O254" s="184"/>
      <c r="P254" s="184"/>
      <c r="Q254" s="180" t="s">
        <v>1050</v>
      </c>
      <c r="R254" s="184"/>
      <c r="S254" s="184"/>
      <c r="T254" s="184"/>
      <c r="AA254" s="21" t="s">
        <v>917</v>
      </c>
      <c r="AB254" s="21">
        <v>248</v>
      </c>
    </row>
    <row r="255" spans="1:28" ht="15" x14ac:dyDescent="0.25">
      <c r="A255" s="224" t="s">
        <v>129</v>
      </c>
      <c r="B255">
        <v>74381</v>
      </c>
      <c r="C255" s="182" t="str">
        <f t="shared" si="33"/>
        <v>PSR_2892.54_UP_80 km/h</v>
      </c>
      <c r="D255" s="183" t="s">
        <v>1045</v>
      </c>
      <c r="E255" s="183" t="str">
        <f>E254</f>
        <v>MMRBEM_7_UP</v>
      </c>
      <c r="F255" s="184"/>
      <c r="G255" s="179">
        <f>G254</f>
        <v>2892.54</v>
      </c>
      <c r="H255" s="185">
        <f t="shared" si="28"/>
        <v>2892.54</v>
      </c>
      <c r="I255" s="230">
        <f>IF("generated"=1, "Path=MMRBEM_7_UP, Scaled Offset=2892.5399999999999636202119290828705", 3363.37749952639)</f>
        <v>3363.3774995263898</v>
      </c>
      <c r="J255" s="184"/>
      <c r="K255" s="184"/>
      <c r="L255" s="184">
        <v>1</v>
      </c>
      <c r="M255" s="184">
        <v>2.5</v>
      </c>
      <c r="N255" s="184"/>
      <c r="O255" s="184"/>
      <c r="P255" s="184"/>
      <c r="Q255" s="184" t="str">
        <f>Q252</f>
        <v>80 km/h</v>
      </c>
      <c r="R255" s="184"/>
      <c r="S255" s="184"/>
      <c r="T255" s="184"/>
      <c r="AA255" s="21" t="s">
        <v>917</v>
      </c>
      <c r="AB255" s="21">
        <v>249</v>
      </c>
    </row>
    <row r="256" spans="1:28" ht="15" x14ac:dyDescent="0.25">
      <c r="A256" s="224" t="s">
        <v>129</v>
      </c>
      <c r="B256" s="83">
        <v>74382</v>
      </c>
      <c r="C256" s="176" t="str">
        <f t="shared" si="33"/>
        <v>PSR_3058.95_DN_80 km/h</v>
      </c>
      <c r="D256" s="177" t="s">
        <v>1045</v>
      </c>
      <c r="E256" s="177" t="s">
        <v>187</v>
      </c>
      <c r="F256" s="178"/>
      <c r="G256" s="179">
        <v>3058.95</v>
      </c>
      <c r="H256" s="179">
        <f t="shared" si="28"/>
        <v>3058.95</v>
      </c>
      <c r="I256" s="230">
        <f>IF("generated"=1, "Path=MMRBEM_7_UP, Scaled Offset=3058.9499999999998181010596454143524", 3527.1328901187)</f>
        <v>3527.1328901186998</v>
      </c>
      <c r="J256" s="178"/>
      <c r="K256" s="178"/>
      <c r="L256" s="178"/>
      <c r="M256" s="178">
        <v>-2.5</v>
      </c>
      <c r="N256" s="178"/>
      <c r="O256" s="178"/>
      <c r="P256" s="178"/>
      <c r="Q256" s="180" t="s">
        <v>1048</v>
      </c>
      <c r="R256" s="181"/>
      <c r="S256" s="178"/>
      <c r="T256" s="178"/>
      <c r="AA256" s="21" t="s">
        <v>917</v>
      </c>
      <c r="AB256" s="21">
        <v>250</v>
      </c>
    </row>
    <row r="257" spans="1:28" ht="15" x14ac:dyDescent="0.25">
      <c r="A257" s="224" t="s">
        <v>129</v>
      </c>
      <c r="B257">
        <v>74383</v>
      </c>
      <c r="C257" s="176" t="str">
        <f t="shared" si="33"/>
        <v>PSR_3058.95_UP_55 km/h</v>
      </c>
      <c r="D257" s="177" t="s">
        <v>1045</v>
      </c>
      <c r="E257" s="177" t="str">
        <f>E256</f>
        <v>MMRBEM_7_UP</v>
      </c>
      <c r="F257" s="178"/>
      <c r="G257" s="179">
        <f>G256</f>
        <v>3058.95</v>
      </c>
      <c r="H257" s="179">
        <f t="shared" si="28"/>
        <v>3058.95</v>
      </c>
      <c r="I257" s="230">
        <f>IF("generated"=1, "Path=MMRBEM_7_UP, Scaled Offset=3058.9499999999998181010596454143524", 3527.1328901187)</f>
        <v>3527.1328901186998</v>
      </c>
      <c r="J257" s="178"/>
      <c r="K257" s="178"/>
      <c r="L257" s="178">
        <v>1</v>
      </c>
      <c r="M257" s="178">
        <v>2.5</v>
      </c>
      <c r="N257" s="178"/>
      <c r="O257" s="178"/>
      <c r="P257" s="178"/>
      <c r="Q257" s="178" t="str">
        <f>Q254</f>
        <v>55 km/h</v>
      </c>
      <c r="R257" s="181"/>
      <c r="S257" s="178"/>
      <c r="T257" s="178"/>
      <c r="AA257" s="21" t="s">
        <v>917</v>
      </c>
      <c r="AB257" s="21">
        <v>251</v>
      </c>
    </row>
    <row r="258" spans="1:28" ht="15" x14ac:dyDescent="0.25">
      <c r="A258" s="224" t="s">
        <v>129</v>
      </c>
      <c r="B258" s="83">
        <v>74384</v>
      </c>
      <c r="C258" s="182" t="str">
        <f>"PSR_"&amp;G258&amp;IF(L258=0,"_DN_","_UP_")&amp;Q258</f>
        <v>PSR_3322.81_DN_75 km/h</v>
      </c>
      <c r="D258" s="183" t="s">
        <v>1045</v>
      </c>
      <c r="E258" s="184" t="s">
        <v>187</v>
      </c>
      <c r="F258" s="184"/>
      <c r="G258" s="179">
        <v>3322.81</v>
      </c>
      <c r="H258" s="185">
        <f t="shared" si="28"/>
        <v>3322.81</v>
      </c>
      <c r="I258" s="230">
        <f>IF("generated"=1, "Path=MMRBEM_7_UP, Scaled Offset=3322.8099999999999454303178936243057", 3786.78373659239)</f>
        <v>3786.7837365923901</v>
      </c>
      <c r="J258" s="184"/>
      <c r="K258" s="184"/>
      <c r="L258" s="184"/>
      <c r="M258" s="184">
        <v>-2.5</v>
      </c>
      <c r="N258" s="184"/>
      <c r="O258" s="184"/>
      <c r="P258" s="184"/>
      <c r="Q258" s="180" t="s">
        <v>1049</v>
      </c>
      <c r="R258" s="184"/>
      <c r="S258" s="184"/>
      <c r="T258" s="184"/>
      <c r="AA258" s="21" t="s">
        <v>917</v>
      </c>
      <c r="AB258" s="21">
        <v>252</v>
      </c>
    </row>
    <row r="259" spans="1:28" ht="15" x14ac:dyDescent="0.25">
      <c r="A259" s="224" t="s">
        <v>129</v>
      </c>
      <c r="B259">
        <v>74385</v>
      </c>
      <c r="C259" s="182" t="str">
        <f t="shared" ref="C259:C269" si="34">"PSR_"&amp;G259&amp;IF(L259=0,"_DN_","_UP_")&amp;Q259</f>
        <v>PSR_3322.81_UP_80 km/h</v>
      </c>
      <c r="D259" s="183" t="s">
        <v>1045</v>
      </c>
      <c r="E259" s="183" t="str">
        <f>E258</f>
        <v>MMRBEM_7_UP</v>
      </c>
      <c r="F259" s="184"/>
      <c r="G259" s="179">
        <f>G258</f>
        <v>3322.81</v>
      </c>
      <c r="H259" s="185">
        <f t="shared" si="28"/>
        <v>3322.81</v>
      </c>
      <c r="I259" s="230">
        <f>IF("generated"=1, "Path=MMRBEM_7_UP, Scaled Offset=3322.8099999999999454303178936243057", 3786.78373659239)</f>
        <v>3786.7837365923901</v>
      </c>
      <c r="J259" s="184"/>
      <c r="K259" s="184"/>
      <c r="L259" s="184">
        <v>1</v>
      </c>
      <c r="M259" s="184">
        <v>2.5</v>
      </c>
      <c r="N259" s="184"/>
      <c r="O259" s="184"/>
      <c r="P259" s="184"/>
      <c r="Q259" s="184" t="str">
        <f>Q256</f>
        <v>80 km/h</v>
      </c>
      <c r="R259" s="184"/>
      <c r="S259" s="184"/>
      <c r="T259" s="184"/>
      <c r="AA259" s="21" t="s">
        <v>917</v>
      </c>
      <c r="AB259" s="21">
        <v>253</v>
      </c>
    </row>
    <row r="260" spans="1:28" ht="15" x14ac:dyDescent="0.25">
      <c r="A260" s="224" t="s">
        <v>129</v>
      </c>
      <c r="B260" s="83">
        <v>74386</v>
      </c>
      <c r="C260" s="176" t="str">
        <f t="shared" si="34"/>
        <v>PSR_3504.6_DN_80 km/h</v>
      </c>
      <c r="D260" s="177" t="s">
        <v>1045</v>
      </c>
      <c r="E260" s="177" t="s">
        <v>187</v>
      </c>
      <c r="F260" s="178"/>
      <c r="G260" s="179">
        <v>3504.6</v>
      </c>
      <c r="H260" s="179">
        <f t="shared" si="28"/>
        <v>3504.6</v>
      </c>
      <c r="I260" s="230">
        <f>IF("generated"=1, "Path=MMRBEM_7_UP, Scaled Offset=3504.5999999999999090505298227071762", 3965.67378199697)</f>
        <v>3965.6737819969699</v>
      </c>
      <c r="J260" s="178"/>
      <c r="K260" s="178"/>
      <c r="L260" s="178"/>
      <c r="M260" s="178">
        <v>-2.5</v>
      </c>
      <c r="N260" s="178"/>
      <c r="O260" s="178"/>
      <c r="P260" s="178"/>
      <c r="Q260" s="180" t="s">
        <v>1048</v>
      </c>
      <c r="R260" s="181"/>
      <c r="S260" s="178"/>
      <c r="T260" s="178"/>
      <c r="AA260" s="21" t="s">
        <v>917</v>
      </c>
      <c r="AB260" s="21">
        <v>254</v>
      </c>
    </row>
    <row r="261" spans="1:28" ht="15" x14ac:dyDescent="0.25">
      <c r="A261" s="224" t="s">
        <v>129</v>
      </c>
      <c r="B261">
        <v>74387</v>
      </c>
      <c r="C261" s="176" t="str">
        <f t="shared" si="34"/>
        <v>PSR_3504.6_UP_75 km/h</v>
      </c>
      <c r="D261" s="177" t="s">
        <v>1045</v>
      </c>
      <c r="E261" s="177" t="str">
        <f>E260</f>
        <v>MMRBEM_7_UP</v>
      </c>
      <c r="F261" s="178"/>
      <c r="G261" s="179">
        <f>G260</f>
        <v>3504.6</v>
      </c>
      <c r="H261" s="179">
        <f t="shared" si="28"/>
        <v>3504.6</v>
      </c>
      <c r="I261" s="230">
        <f>IF("generated"=1, "Path=MMRBEM_7_UP, Scaled Offset=3504.5999999999999090505298227071762", 3965.67378199697)</f>
        <v>3965.6737819969699</v>
      </c>
      <c r="J261" s="178"/>
      <c r="K261" s="178"/>
      <c r="L261" s="178">
        <v>1</v>
      </c>
      <c r="M261" s="178">
        <v>2.5</v>
      </c>
      <c r="N261" s="178"/>
      <c r="O261" s="178"/>
      <c r="P261" s="178"/>
      <c r="Q261" s="178" t="str">
        <f>Q258</f>
        <v>75 km/h</v>
      </c>
      <c r="R261" s="181"/>
      <c r="S261" s="178"/>
      <c r="T261" s="178"/>
      <c r="AA261" s="21" t="s">
        <v>917</v>
      </c>
      <c r="AB261" s="21">
        <v>255</v>
      </c>
    </row>
    <row r="262" spans="1:28" ht="15" x14ac:dyDescent="0.25">
      <c r="A262" s="224" t="s">
        <v>129</v>
      </c>
      <c r="B262" s="83">
        <v>74388</v>
      </c>
      <c r="C262" s="182" t="str">
        <f t="shared" si="34"/>
        <v>PSR_3766.07_DN_80 km/h</v>
      </c>
      <c r="D262" s="183" t="s">
        <v>1045</v>
      </c>
      <c r="E262" s="184" t="s">
        <v>187</v>
      </c>
      <c r="F262" s="184"/>
      <c r="G262" s="179">
        <v>3766.07</v>
      </c>
      <c r="H262" s="185">
        <f t="shared" si="28"/>
        <v>3766.07</v>
      </c>
      <c r="I262" s="230">
        <f>IF("generated"=1, "Path=MMRBEM_7_UP, Scaled Offset=3766.0700000000001637090463191270828", 4222.97275428332)</f>
        <v>4222.9727542833198</v>
      </c>
      <c r="J262" s="184"/>
      <c r="K262" s="184"/>
      <c r="L262" s="184"/>
      <c r="M262" s="184">
        <v>-2.5</v>
      </c>
      <c r="N262" s="184"/>
      <c r="O262" s="184"/>
      <c r="P262" s="184"/>
      <c r="Q262" s="180" t="s">
        <v>1048</v>
      </c>
      <c r="R262" s="184"/>
      <c r="S262" s="184"/>
      <c r="T262" s="184"/>
      <c r="AA262" s="21" t="s">
        <v>917</v>
      </c>
      <c r="AB262" s="21">
        <v>256</v>
      </c>
    </row>
    <row r="263" spans="1:28" ht="15" x14ac:dyDescent="0.25">
      <c r="A263" s="224" t="s">
        <v>129</v>
      </c>
      <c r="B263">
        <v>74389</v>
      </c>
      <c r="C263" s="182" t="str">
        <f t="shared" si="34"/>
        <v>PSR_3766.07_UP_80 km/h</v>
      </c>
      <c r="D263" s="183" t="s">
        <v>1045</v>
      </c>
      <c r="E263" s="183" t="str">
        <f>E262</f>
        <v>MMRBEM_7_UP</v>
      </c>
      <c r="F263" s="184"/>
      <c r="G263" s="179">
        <f>G262</f>
        <v>3766.07</v>
      </c>
      <c r="H263" s="185">
        <f t="shared" si="28"/>
        <v>3766.07</v>
      </c>
      <c r="I263" s="230">
        <f>IF("generated"=1, "Path=MMRBEM_7_UP, Scaled Offset=3766.0700000000001637090463191270828", 4222.97275428332)</f>
        <v>4222.9727542833198</v>
      </c>
      <c r="J263" s="184"/>
      <c r="K263" s="184"/>
      <c r="L263" s="184">
        <v>1</v>
      </c>
      <c r="M263" s="184">
        <v>2.5</v>
      </c>
      <c r="N263" s="184"/>
      <c r="O263" s="184"/>
      <c r="P263" s="184"/>
      <c r="Q263" s="184" t="str">
        <f>Q260</f>
        <v>80 km/h</v>
      </c>
      <c r="R263" s="184"/>
      <c r="S263" s="184"/>
      <c r="T263" s="184"/>
    </row>
    <row r="264" spans="1:28" ht="15" x14ac:dyDescent="0.25">
      <c r="A264" s="224" t="s">
        <v>129</v>
      </c>
      <c r="B264" s="83">
        <v>74390</v>
      </c>
      <c r="C264" s="176" t="str">
        <f t="shared" si="34"/>
        <v>PSR_3852.23_DN_80 km/h</v>
      </c>
      <c r="D264" s="177" t="s">
        <v>1045</v>
      </c>
      <c r="E264" s="177" t="s">
        <v>187</v>
      </c>
      <c r="F264" s="178"/>
      <c r="G264" s="179">
        <v>3852.23</v>
      </c>
      <c r="H264" s="179">
        <f t="shared" si="28"/>
        <v>3852.23</v>
      </c>
      <c r="I264" s="230">
        <f>IF("generated"=1, "Path=MMRBEM_7_UP, Scaled Offset=3852.2300000000000181898940354585648", 4307.7583107609)</f>
        <v>4307.7583107608998</v>
      </c>
      <c r="J264" s="178"/>
      <c r="K264" s="178"/>
      <c r="L264" s="178"/>
      <c r="M264" s="178">
        <v>-2.5</v>
      </c>
      <c r="N264" s="178"/>
      <c r="O264" s="178"/>
      <c r="P264" s="178"/>
      <c r="Q264" s="180" t="s">
        <v>1048</v>
      </c>
      <c r="R264" s="181"/>
      <c r="S264" s="178"/>
      <c r="T264" s="178"/>
    </row>
    <row r="265" spans="1:28" ht="15" x14ac:dyDescent="0.25">
      <c r="A265" s="224" t="s">
        <v>129</v>
      </c>
      <c r="B265">
        <v>74391</v>
      </c>
      <c r="C265" s="176" t="str">
        <f t="shared" si="34"/>
        <v>PSR_3852.23_UP_80 km/h</v>
      </c>
      <c r="D265" s="177" t="s">
        <v>1045</v>
      </c>
      <c r="E265" s="177" t="str">
        <f>E264</f>
        <v>MMRBEM_7_UP</v>
      </c>
      <c r="F265" s="178"/>
      <c r="G265" s="179">
        <f>G264</f>
        <v>3852.23</v>
      </c>
      <c r="H265" s="179">
        <f t="shared" si="28"/>
        <v>3852.23</v>
      </c>
      <c r="I265" s="230">
        <f>IF("generated"=1, "Path=MMRBEM_7_UP, Scaled Offset=3852.2300000000000181898940354585648", 4307.7583107609)</f>
        <v>4307.7583107608998</v>
      </c>
      <c r="J265" s="178"/>
      <c r="K265" s="178"/>
      <c r="L265" s="178">
        <v>1</v>
      </c>
      <c r="M265" s="178">
        <v>2.5</v>
      </c>
      <c r="N265" s="178"/>
      <c r="O265" s="178"/>
      <c r="P265" s="178"/>
      <c r="Q265" s="178" t="str">
        <f>Q262</f>
        <v>80 km/h</v>
      </c>
      <c r="R265" s="181"/>
      <c r="S265" s="178"/>
      <c r="T265" s="178"/>
    </row>
    <row r="266" spans="1:28" ht="15" x14ac:dyDescent="0.25">
      <c r="A266" s="224" t="s">
        <v>129</v>
      </c>
      <c r="B266" s="83">
        <v>74392</v>
      </c>
      <c r="C266" s="182" t="str">
        <f t="shared" si="34"/>
        <v>PSR_3958.63_DN_80 km/h</v>
      </c>
      <c r="D266" s="183" t="s">
        <v>1045</v>
      </c>
      <c r="E266" s="184" t="s">
        <v>187</v>
      </c>
      <c r="F266" s="184"/>
      <c r="G266" s="179">
        <v>3958.63</v>
      </c>
      <c r="H266" s="185">
        <f t="shared" si="28"/>
        <v>3958.63</v>
      </c>
      <c r="I266" s="230">
        <f>IF("generated"=1, "Path=MMRBEM_7_UP, Scaled Offset=3958.6300000000001091393642127513885", 4412.4609942476)</f>
        <v>4412.4609942476</v>
      </c>
      <c r="J266" s="184"/>
      <c r="K266" s="184"/>
      <c r="L266" s="184"/>
      <c r="M266" s="184">
        <v>-2.5</v>
      </c>
      <c r="N266" s="184"/>
      <c r="O266" s="184"/>
      <c r="P266" s="184"/>
      <c r="Q266" s="180" t="s">
        <v>1048</v>
      </c>
      <c r="R266" s="184"/>
      <c r="S266" s="184"/>
      <c r="T266" s="184"/>
    </row>
    <row r="267" spans="1:28" ht="15" x14ac:dyDescent="0.25">
      <c r="A267" s="224" t="s">
        <v>129</v>
      </c>
      <c r="B267">
        <v>74393</v>
      </c>
      <c r="C267" s="182" t="str">
        <f t="shared" si="34"/>
        <v>PSR_3958.63_UP_80 km/h</v>
      </c>
      <c r="D267" s="183" t="s">
        <v>1045</v>
      </c>
      <c r="E267" s="183" t="str">
        <f>E266</f>
        <v>MMRBEM_7_UP</v>
      </c>
      <c r="F267" s="184"/>
      <c r="G267" s="179">
        <f>G266</f>
        <v>3958.63</v>
      </c>
      <c r="H267" s="185">
        <f t="shared" si="28"/>
        <v>3958.63</v>
      </c>
      <c r="I267" s="230">
        <f>IF("generated"=1, "Path=MMRBEM_7_UP, Scaled Offset=3958.6300000000001091393642127513885", 4412.4609942476)</f>
        <v>4412.4609942476</v>
      </c>
      <c r="J267" s="184"/>
      <c r="K267" s="184"/>
      <c r="L267" s="184">
        <v>1</v>
      </c>
      <c r="M267" s="184">
        <v>2.5</v>
      </c>
      <c r="N267" s="184"/>
      <c r="O267" s="184"/>
      <c r="P267" s="184"/>
      <c r="Q267" s="184" t="str">
        <f>Q264</f>
        <v>80 km/h</v>
      </c>
      <c r="R267" s="184"/>
      <c r="S267" s="184"/>
      <c r="T267" s="184"/>
    </row>
    <row r="268" spans="1:28" ht="15" x14ac:dyDescent="0.25">
      <c r="A268" s="224" t="s">
        <v>129</v>
      </c>
      <c r="B268" s="83">
        <v>74394</v>
      </c>
      <c r="C268" s="176" t="str">
        <f t="shared" si="34"/>
        <v>PSR_4047.2_DN_80 km/h</v>
      </c>
      <c r="D268" s="177" t="s">
        <v>1045</v>
      </c>
      <c r="E268" s="177" t="s">
        <v>187</v>
      </c>
      <c r="F268" s="178"/>
      <c r="G268" s="179">
        <v>4047.2</v>
      </c>
      <c r="H268" s="179">
        <f t="shared" si="28"/>
        <v>4047.2</v>
      </c>
      <c r="I268" s="230">
        <f>IF("generated"=1, "Path=MMRBEM_7_UP, Scaled Offset=4047.1999999999998181010596454143524", 4499.61810586806)</f>
        <v>4499.6181058680604</v>
      </c>
      <c r="J268" s="178"/>
      <c r="K268" s="178"/>
      <c r="L268" s="178"/>
      <c r="M268" s="178">
        <v>-2.5</v>
      </c>
      <c r="N268" s="178"/>
      <c r="O268" s="178"/>
      <c r="P268" s="178"/>
      <c r="Q268" s="180" t="s">
        <v>1048</v>
      </c>
      <c r="R268" s="181"/>
      <c r="S268" s="178"/>
      <c r="T268" s="178"/>
    </row>
    <row r="269" spans="1:28" ht="15" x14ac:dyDescent="0.25">
      <c r="A269" s="224" t="s">
        <v>129</v>
      </c>
      <c r="B269">
        <v>74395</v>
      </c>
      <c r="C269" s="176" t="str">
        <f t="shared" si="34"/>
        <v>PSR_4047.2_UP_80 km/h</v>
      </c>
      <c r="D269" s="177" t="s">
        <v>1045</v>
      </c>
      <c r="E269" s="177" t="str">
        <f>E268</f>
        <v>MMRBEM_7_UP</v>
      </c>
      <c r="F269" s="178"/>
      <c r="G269" s="179">
        <f>G268</f>
        <v>4047.2</v>
      </c>
      <c r="H269" s="179">
        <f t="shared" si="28"/>
        <v>4047.2</v>
      </c>
      <c r="I269" s="230">
        <f>IF("generated"=1, "Path=MMRBEM_7_UP, Scaled Offset=4047.1999999999998181010596454143524", 4499.61810586806)</f>
        <v>4499.6181058680604</v>
      </c>
      <c r="J269" s="178"/>
      <c r="K269" s="178"/>
      <c r="L269" s="178">
        <v>1</v>
      </c>
      <c r="M269" s="178">
        <v>2.5</v>
      </c>
      <c r="N269" s="178"/>
      <c r="O269" s="178"/>
      <c r="P269" s="178"/>
      <c r="Q269" s="178" t="str">
        <f>Q266</f>
        <v>80 km/h</v>
      </c>
      <c r="R269" s="181"/>
      <c r="S269" s="178"/>
      <c r="T269" s="178"/>
    </row>
    <row r="270" spans="1:28" ht="15" x14ac:dyDescent="0.25">
      <c r="A270" s="224" t="s">
        <v>129</v>
      </c>
      <c r="B270" s="83">
        <v>74396</v>
      </c>
      <c r="C270" s="182" t="str">
        <f>"PSR_"&amp;G270&amp;IF(L270=0,"_DN_","_UP_")&amp;Q270</f>
        <v>PSR_4327.06_DN_80 km/h</v>
      </c>
      <c r="D270" s="183" t="s">
        <v>1045</v>
      </c>
      <c r="E270" s="184" t="s">
        <v>187</v>
      </c>
      <c r="F270" s="184"/>
      <c r="G270" s="179">
        <v>4327.0600000000004</v>
      </c>
      <c r="H270" s="185">
        <f t="shared" si="28"/>
        <v>4327.0600000000004</v>
      </c>
      <c r="I270" s="230">
        <f>IF("generated"=1, "Path=MMRBEM_7_UP, Scaled Offset=4327.0600000000004001776687800884247", 4775.01371677584)</f>
        <v>4775.0137167758403</v>
      </c>
      <c r="J270" s="184"/>
      <c r="K270" s="184"/>
      <c r="L270" s="184"/>
      <c r="M270" s="184">
        <v>-2.5</v>
      </c>
      <c r="N270" s="184"/>
      <c r="O270" s="184"/>
      <c r="P270" s="184"/>
      <c r="Q270" s="180" t="s">
        <v>1048</v>
      </c>
      <c r="R270" s="184"/>
      <c r="S270" s="184"/>
      <c r="T270" s="184"/>
    </row>
    <row r="271" spans="1:28" ht="15" x14ac:dyDescent="0.25">
      <c r="A271" s="224" t="s">
        <v>129</v>
      </c>
      <c r="B271">
        <v>74397</v>
      </c>
      <c r="C271" s="182" t="str">
        <f t="shared" ref="C271:C277" si="35">"PSR_"&amp;G271&amp;IF(L271=0,"_DN_","_UP_")&amp;Q271</f>
        <v>PSR_4327.06_UP_80 km/h</v>
      </c>
      <c r="D271" s="183" t="s">
        <v>1045</v>
      </c>
      <c r="E271" s="183" t="str">
        <f>E270</f>
        <v>MMRBEM_7_UP</v>
      </c>
      <c r="F271" s="184"/>
      <c r="G271" s="179">
        <f>G270</f>
        <v>4327.0600000000004</v>
      </c>
      <c r="H271" s="185">
        <f t="shared" si="28"/>
        <v>4327.0600000000004</v>
      </c>
      <c r="I271" s="230">
        <f>IF("generated"=1, "Path=MMRBEM_7_UP, Scaled Offset=4327.0600000000004001776687800884247", 4775.01371677584)</f>
        <v>4775.0137167758403</v>
      </c>
      <c r="J271" s="184"/>
      <c r="K271" s="184"/>
      <c r="L271" s="184">
        <v>1</v>
      </c>
      <c r="M271" s="184">
        <v>2.5</v>
      </c>
      <c r="N271" s="184"/>
      <c r="O271" s="184"/>
      <c r="P271" s="184"/>
      <c r="Q271" s="184" t="str">
        <f>Q268</f>
        <v>80 km/h</v>
      </c>
      <c r="R271" s="184"/>
      <c r="S271" s="184"/>
      <c r="T271" s="184"/>
    </row>
    <row r="272" spans="1:28" ht="15" x14ac:dyDescent="0.25">
      <c r="A272" s="224" t="s">
        <v>129</v>
      </c>
      <c r="B272" s="83">
        <v>74398</v>
      </c>
      <c r="C272" s="176" t="str">
        <f t="shared" si="35"/>
        <v>PSR_4497.37_DN_80 km/h</v>
      </c>
      <c r="D272" s="177" t="s">
        <v>1045</v>
      </c>
      <c r="E272" s="177" t="s">
        <v>187</v>
      </c>
      <c r="F272" s="178"/>
      <c r="G272" s="179">
        <v>4497.37</v>
      </c>
      <c r="H272" s="179">
        <f t="shared" si="28"/>
        <v>4497.37</v>
      </c>
      <c r="I272" s="230">
        <f>IF("generated"=1, "Path=MMRBEM_7_UP, Scaled Offset=4497.3699999999998908606357872486115", 4942.60689369896)</f>
        <v>4942.6068936989604</v>
      </c>
      <c r="J272" s="178"/>
      <c r="K272" s="178"/>
      <c r="L272" s="178"/>
      <c r="M272" s="178">
        <v>-2.5</v>
      </c>
      <c r="N272" s="178"/>
      <c r="O272" s="178"/>
      <c r="P272" s="178"/>
      <c r="Q272" s="180" t="s">
        <v>1048</v>
      </c>
      <c r="R272" s="181"/>
      <c r="S272" s="178"/>
      <c r="T272" s="178"/>
    </row>
    <row r="273" spans="1:20" ht="15" x14ac:dyDescent="0.25">
      <c r="A273" s="224" t="s">
        <v>129</v>
      </c>
      <c r="B273">
        <v>74399</v>
      </c>
      <c r="C273" s="176" t="str">
        <f t="shared" si="35"/>
        <v>PSR_4497.37_UP_80 km/h</v>
      </c>
      <c r="D273" s="177" t="s">
        <v>1045</v>
      </c>
      <c r="E273" s="177" t="str">
        <f>E272</f>
        <v>MMRBEM_7_UP</v>
      </c>
      <c r="F273" s="178"/>
      <c r="G273" s="179">
        <f>G272</f>
        <v>4497.37</v>
      </c>
      <c r="H273" s="179">
        <f t="shared" si="28"/>
        <v>4497.37</v>
      </c>
      <c r="I273" s="230">
        <f>IF("generated"=1, "Path=MMRBEM_7_UP, Scaled Offset=4497.3699999999998908606357872486115", 4942.60689369896)</f>
        <v>4942.6068936989604</v>
      </c>
      <c r="J273" s="178"/>
      <c r="K273" s="178"/>
      <c r="L273" s="178">
        <v>1</v>
      </c>
      <c r="M273" s="178">
        <v>2.5</v>
      </c>
      <c r="N273" s="178"/>
      <c r="O273" s="178"/>
      <c r="P273" s="178"/>
      <c r="Q273" s="178" t="str">
        <f>Q270</f>
        <v>80 km/h</v>
      </c>
      <c r="R273" s="181"/>
      <c r="S273" s="178"/>
      <c r="T273" s="178"/>
    </row>
    <row r="274" spans="1:20" ht="15" x14ac:dyDescent="0.25">
      <c r="A274" s="224" t="s">
        <v>129</v>
      </c>
      <c r="B274" s="83">
        <v>74400</v>
      </c>
      <c r="C274" s="182" t="str">
        <f t="shared" si="35"/>
        <v>PSR_4544.87_DN_80 km/h</v>
      </c>
      <c r="D274" s="183" t="s">
        <v>1045</v>
      </c>
      <c r="E274" s="184" t="s">
        <v>187</v>
      </c>
      <c r="F274" s="184"/>
      <c r="G274" s="179">
        <v>4544.87</v>
      </c>
      <c r="H274" s="185">
        <f t="shared" si="28"/>
        <v>4544.87</v>
      </c>
      <c r="I274" s="230">
        <f>IF("generated"=1, "Path=MMRBEM_7_UP, Scaled Offset=4544.8699999999998908606357872486115", 4989.34916311266)</f>
        <v>4989.3491631126599</v>
      </c>
      <c r="J274" s="184"/>
      <c r="K274" s="184"/>
      <c r="L274" s="184"/>
      <c r="M274" s="184">
        <v>-2.5</v>
      </c>
      <c r="N274" s="184"/>
      <c r="O274" s="184"/>
      <c r="P274" s="184"/>
      <c r="Q274" s="180" t="s">
        <v>1048</v>
      </c>
      <c r="R274" s="184"/>
      <c r="S274" s="184"/>
      <c r="T274" s="184"/>
    </row>
    <row r="275" spans="1:20" ht="15" x14ac:dyDescent="0.25">
      <c r="A275" s="224" t="s">
        <v>129</v>
      </c>
      <c r="B275">
        <v>74401</v>
      </c>
      <c r="C275" s="182" t="str">
        <f t="shared" si="35"/>
        <v>PSR_4544.87_UP_80 km/h</v>
      </c>
      <c r="D275" s="183" t="s">
        <v>1045</v>
      </c>
      <c r="E275" s="183" t="str">
        <f>E274</f>
        <v>MMRBEM_7_UP</v>
      </c>
      <c r="F275" s="184"/>
      <c r="G275" s="179">
        <f>G274</f>
        <v>4544.87</v>
      </c>
      <c r="H275" s="185">
        <f t="shared" si="28"/>
        <v>4544.87</v>
      </c>
      <c r="I275" s="230">
        <f>IF("generated"=1, "Path=MMRBEM_7_UP, Scaled Offset=4544.8699999999998908606357872486115", 4989.34916311266)</f>
        <v>4989.3491631126599</v>
      </c>
      <c r="J275" s="184"/>
      <c r="K275" s="184"/>
      <c r="L275" s="184">
        <v>1</v>
      </c>
      <c r="M275" s="184">
        <v>2.5</v>
      </c>
      <c r="N275" s="184"/>
      <c r="O275" s="184"/>
      <c r="P275" s="184"/>
      <c r="Q275" s="184" t="str">
        <f>Q272</f>
        <v>80 km/h</v>
      </c>
      <c r="R275" s="184"/>
      <c r="S275" s="184"/>
      <c r="T275" s="184"/>
    </row>
    <row r="276" spans="1:20" ht="15" x14ac:dyDescent="0.25">
      <c r="A276" s="224" t="s">
        <v>129</v>
      </c>
      <c r="B276" s="83">
        <v>74402</v>
      </c>
      <c r="C276" s="176" t="str">
        <f t="shared" si="35"/>
        <v>PSR_4636.92_DN_80 km/h</v>
      </c>
      <c r="D276" s="177" t="s">
        <v>1045</v>
      </c>
      <c r="E276" s="177" t="s">
        <v>187</v>
      </c>
      <c r="F276" s="178"/>
      <c r="G276" s="179">
        <v>4636.92</v>
      </c>
      <c r="H276" s="179">
        <f t="shared" ref="H276:H339" si="36">G276+F276</f>
        <v>4636.92</v>
      </c>
      <c r="I276" s="230">
        <f>IF("generated"=1, "Path=MMRBEM_7_UP, Scaled Offset=4636.920000000000072759576141834259", 5079.93076099754)</f>
        <v>5079.9307609975403</v>
      </c>
      <c r="J276" s="178"/>
      <c r="K276" s="178"/>
      <c r="L276" s="178"/>
      <c r="M276" s="178">
        <v>-2.5</v>
      </c>
      <c r="N276" s="178"/>
      <c r="O276" s="178"/>
      <c r="P276" s="178"/>
      <c r="Q276" s="180" t="s">
        <v>1048</v>
      </c>
      <c r="R276" s="181"/>
      <c r="S276" s="178"/>
      <c r="T276" s="178"/>
    </row>
    <row r="277" spans="1:20" ht="15" x14ac:dyDescent="0.25">
      <c r="A277" s="224" t="s">
        <v>129</v>
      </c>
      <c r="B277">
        <v>74403</v>
      </c>
      <c r="C277" s="176" t="str">
        <f t="shared" si="35"/>
        <v>PSR_4636.92_UP_80 km/h</v>
      </c>
      <c r="D277" s="177" t="s">
        <v>1045</v>
      </c>
      <c r="E277" s="177" t="str">
        <f>E276</f>
        <v>MMRBEM_7_UP</v>
      </c>
      <c r="F277" s="178"/>
      <c r="G277" s="179">
        <f>G276</f>
        <v>4636.92</v>
      </c>
      <c r="H277" s="179">
        <f t="shared" si="36"/>
        <v>4636.92</v>
      </c>
      <c r="I277" s="230">
        <f>IF("generated"=1, "Path=MMRBEM_7_UP, Scaled Offset=4636.920000000000072759576141834259", 5079.93076099754)</f>
        <v>5079.9307609975403</v>
      </c>
      <c r="J277" s="178"/>
      <c r="K277" s="178"/>
      <c r="L277" s="178">
        <v>1</v>
      </c>
      <c r="M277" s="178">
        <v>2.5</v>
      </c>
      <c r="N277" s="178"/>
      <c r="O277" s="178"/>
      <c r="P277" s="178"/>
      <c r="Q277" s="178" t="str">
        <f>Q274</f>
        <v>80 km/h</v>
      </c>
      <c r="R277" s="181"/>
      <c r="S277" s="178"/>
      <c r="T277" s="178"/>
    </row>
    <row r="278" spans="1:20" ht="15" x14ac:dyDescent="0.25">
      <c r="A278" s="224" t="s">
        <v>129</v>
      </c>
      <c r="B278" s="83">
        <v>74404</v>
      </c>
      <c r="C278" s="182" t="str">
        <f>"PSR_"&amp;G278&amp;IF(L278=0,"_DN_","_UP_")&amp;Q278</f>
        <v>PSR_5063.44_DN_80 km/h</v>
      </c>
      <c r="D278" s="183" t="s">
        <v>1045</v>
      </c>
      <c r="E278" s="184" t="s">
        <v>187</v>
      </c>
      <c r="F278" s="184"/>
      <c r="G278" s="179">
        <v>5063.4399999999996</v>
      </c>
      <c r="H278" s="185">
        <f t="shared" si="36"/>
        <v>5063.4399999999996</v>
      </c>
      <c r="I278" s="230">
        <f>IF("generated"=1, "Path=MMRBEM_7_UP, Scaled Offset=5063.4399999999995998223312199115753", 5499.6468188993)</f>
        <v>5499.6468188993003</v>
      </c>
      <c r="J278" s="184"/>
      <c r="K278" s="184"/>
      <c r="L278" s="184"/>
      <c r="M278" s="184">
        <v>-2.5</v>
      </c>
      <c r="N278" s="184"/>
      <c r="O278" s="184"/>
      <c r="P278" s="184"/>
      <c r="Q278" s="180" t="s">
        <v>1048</v>
      </c>
      <c r="R278" s="184"/>
      <c r="S278" s="184"/>
      <c r="T278" s="184"/>
    </row>
    <row r="279" spans="1:20" ht="15" x14ac:dyDescent="0.25">
      <c r="A279" s="224" t="s">
        <v>129</v>
      </c>
      <c r="B279">
        <v>74405</v>
      </c>
      <c r="C279" s="182" t="str">
        <f t="shared" ref="C279:C287" si="37">"PSR_"&amp;G279&amp;IF(L279=0,"_DN_","_UP_")&amp;Q279</f>
        <v>PSR_5063.44_UP_80 km/h</v>
      </c>
      <c r="D279" s="183" t="s">
        <v>1045</v>
      </c>
      <c r="E279" s="183" t="str">
        <f>E278</f>
        <v>MMRBEM_7_UP</v>
      </c>
      <c r="F279" s="184"/>
      <c r="G279" s="179">
        <f>G278</f>
        <v>5063.4399999999996</v>
      </c>
      <c r="H279" s="185">
        <f t="shared" si="36"/>
        <v>5063.4399999999996</v>
      </c>
      <c r="I279" s="230">
        <f>IF("generated"=1, "Path=MMRBEM_7_UP, Scaled Offset=5063.4399999999995998223312199115753", 5499.6468188993)</f>
        <v>5499.6468188993003</v>
      </c>
      <c r="J279" s="184"/>
      <c r="K279" s="184"/>
      <c r="L279" s="184">
        <v>1</v>
      </c>
      <c r="M279" s="184">
        <v>2.5</v>
      </c>
      <c r="N279" s="184"/>
      <c r="O279" s="184"/>
      <c r="P279" s="184"/>
      <c r="Q279" s="184" t="str">
        <f>Q276</f>
        <v>80 km/h</v>
      </c>
      <c r="R279" s="184"/>
      <c r="S279" s="184"/>
      <c r="T279" s="184"/>
    </row>
    <row r="280" spans="1:20" ht="15" x14ac:dyDescent="0.25">
      <c r="A280" s="224" t="s">
        <v>129</v>
      </c>
      <c r="B280" s="83">
        <v>74406</v>
      </c>
      <c r="C280" s="176" t="str">
        <f t="shared" si="37"/>
        <v>PSR_5151.63_DN_80 km/h</v>
      </c>
      <c r="D280" s="177" t="s">
        <v>1045</v>
      </c>
      <c r="E280" s="177" t="s">
        <v>187</v>
      </c>
      <c r="F280" s="178"/>
      <c r="G280" s="179">
        <v>5151.63</v>
      </c>
      <c r="H280" s="179">
        <f t="shared" si="36"/>
        <v>5151.63</v>
      </c>
      <c r="I280" s="230">
        <f>IF("generated"=1, "Path=MMRBEM_7_UP, Scaled Offset=5151.6300000000001091393642127513885", 5586.42999236445)</f>
        <v>5586.4299923644503</v>
      </c>
      <c r="J280" s="178"/>
      <c r="K280" s="178"/>
      <c r="L280" s="178"/>
      <c r="M280" s="178">
        <v>-2.5</v>
      </c>
      <c r="N280" s="178"/>
      <c r="O280" s="178"/>
      <c r="P280" s="178"/>
      <c r="Q280" s="180" t="s">
        <v>1048</v>
      </c>
      <c r="R280" s="181"/>
      <c r="S280" s="178"/>
      <c r="T280" s="178"/>
    </row>
    <row r="281" spans="1:20" ht="15" x14ac:dyDescent="0.25">
      <c r="A281" s="224" t="s">
        <v>129</v>
      </c>
      <c r="B281">
        <v>74407</v>
      </c>
      <c r="C281" s="176" t="str">
        <f t="shared" si="37"/>
        <v>PSR_5151.63_UP_80 km/h</v>
      </c>
      <c r="D281" s="177" t="s">
        <v>1045</v>
      </c>
      <c r="E281" s="177" t="str">
        <f>E280</f>
        <v>MMRBEM_7_UP</v>
      </c>
      <c r="F281" s="178"/>
      <c r="G281" s="179">
        <f>G280</f>
        <v>5151.63</v>
      </c>
      <c r="H281" s="179">
        <f t="shared" si="36"/>
        <v>5151.63</v>
      </c>
      <c r="I281" s="230">
        <f>IF("generated"=1, "Path=MMRBEM_7_UP, Scaled Offset=5151.6300000000001091393642127513885", 5586.42999236445)</f>
        <v>5586.4299923644503</v>
      </c>
      <c r="J281" s="178"/>
      <c r="K281" s="178"/>
      <c r="L281" s="178">
        <v>1</v>
      </c>
      <c r="M281" s="178">
        <v>2.5</v>
      </c>
      <c r="N281" s="178"/>
      <c r="O281" s="178"/>
      <c r="P281" s="178"/>
      <c r="Q281" s="178" t="str">
        <f>Q278</f>
        <v>80 km/h</v>
      </c>
      <c r="R281" s="181"/>
      <c r="S281" s="178"/>
      <c r="T281" s="178"/>
    </row>
    <row r="282" spans="1:20" ht="15" x14ac:dyDescent="0.25">
      <c r="A282" s="224" t="s">
        <v>129</v>
      </c>
      <c r="B282" s="83">
        <v>74408</v>
      </c>
      <c r="C282" s="182" t="str">
        <f t="shared" si="37"/>
        <v>PSR_5546.19_DN_80 km/h</v>
      </c>
      <c r="D282" s="183" t="s">
        <v>1045</v>
      </c>
      <c r="E282" s="184" t="s">
        <v>187</v>
      </c>
      <c r="F282" s="184"/>
      <c r="G282" s="179">
        <v>5546.19</v>
      </c>
      <c r="H282" s="185">
        <f t="shared" si="36"/>
        <v>5546.19</v>
      </c>
      <c r="I282" s="230">
        <f>IF("generated"=1, "Path=MMRBEM_7_UP, Scaled Offset=5546.1899999999995998223312199115753", 5974.69588330912)</f>
        <v>5974.6958833091203</v>
      </c>
      <c r="J282" s="184"/>
      <c r="K282" s="184"/>
      <c r="L282" s="184"/>
      <c r="M282" s="184">
        <v>-2.5</v>
      </c>
      <c r="N282" s="184"/>
      <c r="O282" s="184"/>
      <c r="P282" s="184"/>
      <c r="Q282" s="180" t="s">
        <v>1048</v>
      </c>
      <c r="R282" s="184"/>
      <c r="S282" s="184"/>
      <c r="T282" s="184"/>
    </row>
    <row r="283" spans="1:20" ht="15" x14ac:dyDescent="0.25">
      <c r="A283" s="224" t="s">
        <v>129</v>
      </c>
      <c r="B283">
        <v>74409</v>
      </c>
      <c r="C283" s="182" t="str">
        <f t="shared" si="37"/>
        <v>PSR_5546.19_UP_80 km/h</v>
      </c>
      <c r="D283" s="183" t="s">
        <v>1045</v>
      </c>
      <c r="E283" s="183" t="str">
        <f>E282</f>
        <v>MMRBEM_7_UP</v>
      </c>
      <c r="F283" s="184"/>
      <c r="G283" s="179">
        <f>G282</f>
        <v>5546.19</v>
      </c>
      <c r="H283" s="185">
        <f t="shared" si="36"/>
        <v>5546.19</v>
      </c>
      <c r="I283" s="230">
        <f>IF("generated"=1, "Path=MMRBEM_7_UP, Scaled Offset=5546.1899999999995998223312199115753", 5974.69588330912)</f>
        <v>5974.6958833091203</v>
      </c>
      <c r="J283" s="184"/>
      <c r="K283" s="184"/>
      <c r="L283" s="184">
        <v>1</v>
      </c>
      <c r="M283" s="184">
        <v>2.5</v>
      </c>
      <c r="N283" s="184"/>
      <c r="O283" s="184"/>
      <c r="P283" s="184"/>
      <c r="Q283" s="184" t="str">
        <f>Q280</f>
        <v>80 km/h</v>
      </c>
      <c r="R283" s="184"/>
      <c r="S283" s="184"/>
      <c r="T283" s="184"/>
    </row>
    <row r="284" spans="1:20" ht="15" x14ac:dyDescent="0.25">
      <c r="A284" s="224" t="s">
        <v>129</v>
      </c>
      <c r="B284" s="83">
        <v>74410</v>
      </c>
      <c r="C284" s="176" t="str">
        <f t="shared" si="37"/>
        <v>PSR_5621.73_DN_80 km/h</v>
      </c>
      <c r="D284" s="177" t="s">
        <v>1045</v>
      </c>
      <c r="E284" s="177" t="s">
        <v>187</v>
      </c>
      <c r="F284" s="178"/>
      <c r="G284" s="179">
        <v>5621.73</v>
      </c>
      <c r="H284" s="179">
        <f t="shared" si="36"/>
        <v>5621.73</v>
      </c>
      <c r="I284" s="230">
        <f>IF("generated"=1, "Path=MMRBEM_7_UP, Scaled Offset=5621.7299999999995634425431489944458", 6049.03085239356)</f>
        <v>6049.0308523935601</v>
      </c>
      <c r="J284" s="178"/>
      <c r="K284" s="178"/>
      <c r="L284" s="178"/>
      <c r="M284" s="178">
        <v>-2.5</v>
      </c>
      <c r="N284" s="178"/>
      <c r="O284" s="178"/>
      <c r="P284" s="178"/>
      <c r="Q284" s="180" t="s">
        <v>1048</v>
      </c>
      <c r="R284" s="181"/>
      <c r="S284" s="178"/>
      <c r="T284" s="178"/>
    </row>
    <row r="285" spans="1:20" ht="15" x14ac:dyDescent="0.25">
      <c r="A285" s="224" t="s">
        <v>129</v>
      </c>
      <c r="B285">
        <v>74411</v>
      </c>
      <c r="C285" s="176" t="str">
        <f t="shared" si="37"/>
        <v>PSR_5621.73_UP_80 km/h</v>
      </c>
      <c r="D285" s="177" t="s">
        <v>1045</v>
      </c>
      <c r="E285" s="177" t="str">
        <f>E284</f>
        <v>MMRBEM_7_UP</v>
      </c>
      <c r="F285" s="178"/>
      <c r="G285" s="179">
        <f>G284</f>
        <v>5621.73</v>
      </c>
      <c r="H285" s="179">
        <f t="shared" si="36"/>
        <v>5621.73</v>
      </c>
      <c r="I285" s="230">
        <f>IF("generated"=1, "Path=MMRBEM_7_UP, Scaled Offset=5621.7299999999995634425431489944458", 6049.03085239356)</f>
        <v>6049.0308523935601</v>
      </c>
      <c r="J285" s="178"/>
      <c r="K285" s="178"/>
      <c r="L285" s="178">
        <v>1</v>
      </c>
      <c r="M285" s="178">
        <v>2.5</v>
      </c>
      <c r="N285" s="178"/>
      <c r="O285" s="178"/>
      <c r="P285" s="178"/>
      <c r="Q285" s="178" t="str">
        <f>Q282</f>
        <v>80 km/h</v>
      </c>
      <c r="R285" s="181"/>
      <c r="S285" s="178"/>
      <c r="T285" s="178"/>
    </row>
    <row r="286" spans="1:20" ht="15" x14ac:dyDescent="0.25">
      <c r="A286" s="224" t="s">
        <v>129</v>
      </c>
      <c r="B286" s="83">
        <v>74412</v>
      </c>
      <c r="C286" s="182" t="str">
        <f t="shared" si="37"/>
        <v>PSR_5810.81_DN_80 km/h</v>
      </c>
      <c r="D286" s="183" t="s">
        <v>1045</v>
      </c>
      <c r="E286" s="184" t="s">
        <v>187</v>
      </c>
      <c r="F286" s="184"/>
      <c r="G286" s="179">
        <v>5810.81</v>
      </c>
      <c r="H286" s="185">
        <f t="shared" si="36"/>
        <v>5810.81</v>
      </c>
      <c r="I286" s="230">
        <f>IF("generated"=1, "Path=MMRBEM_7_UP, Scaled Offset=5810.8100000000004001776687800884247", 6235.09460609343)</f>
        <v>6235.0946060934302</v>
      </c>
      <c r="J286" s="184"/>
      <c r="K286" s="184"/>
      <c r="L286" s="184"/>
      <c r="M286" s="184">
        <v>-2.5</v>
      </c>
      <c r="N286" s="184"/>
      <c r="O286" s="184"/>
      <c r="P286" s="184"/>
      <c r="Q286" s="180" t="s">
        <v>1048</v>
      </c>
      <c r="R286" s="184"/>
      <c r="S286" s="184"/>
      <c r="T286" s="184"/>
    </row>
    <row r="287" spans="1:20" ht="15" x14ac:dyDescent="0.25">
      <c r="A287" s="224" t="s">
        <v>129</v>
      </c>
      <c r="B287">
        <v>74413</v>
      </c>
      <c r="C287" s="182" t="str">
        <f t="shared" si="37"/>
        <v>PSR_5810.81_UP_80 km/h</v>
      </c>
      <c r="D287" s="183" t="s">
        <v>1045</v>
      </c>
      <c r="E287" s="183" t="str">
        <f>E286</f>
        <v>MMRBEM_7_UP</v>
      </c>
      <c r="F287" s="184"/>
      <c r="G287" s="179">
        <f>G286</f>
        <v>5810.81</v>
      </c>
      <c r="H287" s="185">
        <f t="shared" si="36"/>
        <v>5810.81</v>
      </c>
      <c r="I287" s="230">
        <f>IF("generated"=1, "Path=MMRBEM_7_UP, Scaled Offset=5810.8100000000004001776687800884247", 6235.09460609343)</f>
        <v>6235.0946060934302</v>
      </c>
      <c r="J287" s="184"/>
      <c r="K287" s="184"/>
      <c r="L287" s="184">
        <v>1</v>
      </c>
      <c r="M287" s="184">
        <v>2.5</v>
      </c>
      <c r="N287" s="184"/>
      <c r="O287" s="184"/>
      <c r="P287" s="184"/>
      <c r="Q287" s="184" t="str">
        <f>Q284</f>
        <v>80 km/h</v>
      </c>
      <c r="R287" s="184"/>
      <c r="S287" s="184"/>
      <c r="T287" s="184"/>
    </row>
    <row r="288" spans="1:20" ht="15" x14ac:dyDescent="0.25">
      <c r="A288" s="224" t="s">
        <v>129</v>
      </c>
      <c r="B288" s="83">
        <v>74414</v>
      </c>
      <c r="C288" s="176" t="str">
        <f>"PSR_"&amp;G288&amp;IF(L288=0,"_DN_","_UP_")&amp;Q288</f>
        <v>PSR_5886.29_DN_80 km/h</v>
      </c>
      <c r="D288" s="177" t="s">
        <v>1045</v>
      </c>
      <c r="E288" s="177" t="s">
        <v>187</v>
      </c>
      <c r="F288" s="178"/>
      <c r="G288" s="179">
        <v>5886.29</v>
      </c>
      <c r="H288" s="179">
        <f t="shared" si="36"/>
        <v>5886.29</v>
      </c>
      <c r="I288" s="230">
        <f>IF("generated"=1, "Path=MMRBEM_7_UP, Scaled Offset=5886.2899999999999636202119290828705", 6309.37053231125)</f>
        <v>6309.3705323112499</v>
      </c>
      <c r="J288" s="178"/>
      <c r="K288" s="178"/>
      <c r="L288" s="178"/>
      <c r="M288" s="178">
        <v>-2.5</v>
      </c>
      <c r="N288" s="178"/>
      <c r="O288" s="178"/>
      <c r="P288" s="178"/>
      <c r="Q288" s="180" t="s">
        <v>1048</v>
      </c>
      <c r="R288" s="181"/>
      <c r="S288" s="178"/>
      <c r="T288" s="178"/>
    </row>
    <row r="289" spans="1:20" ht="15" x14ac:dyDescent="0.25">
      <c r="A289" s="224" t="s">
        <v>129</v>
      </c>
      <c r="B289">
        <v>74415</v>
      </c>
      <c r="C289" s="176" t="str">
        <f t="shared" ref="C289:C295" si="38">"PSR_"&amp;G289&amp;IF(L289=0,"_DN_","_UP_")&amp;Q289</f>
        <v>PSR_5886.29_UP_80 km/h</v>
      </c>
      <c r="D289" s="177" t="s">
        <v>1045</v>
      </c>
      <c r="E289" s="177" t="str">
        <f>E288</f>
        <v>MMRBEM_7_UP</v>
      </c>
      <c r="F289" s="178"/>
      <c r="G289" s="179">
        <f>G288</f>
        <v>5886.29</v>
      </c>
      <c r="H289" s="179">
        <f t="shared" si="36"/>
        <v>5886.29</v>
      </c>
      <c r="I289" s="230">
        <f>IF("generated"=1, "Path=MMRBEM_7_UP, Scaled Offset=5886.2899999999999636202119290828705", 6309.37053231125)</f>
        <v>6309.3705323112499</v>
      </c>
      <c r="J289" s="178"/>
      <c r="K289" s="178"/>
      <c r="L289" s="178">
        <v>1</v>
      </c>
      <c r="M289" s="178">
        <v>2.5</v>
      </c>
      <c r="N289" s="178"/>
      <c r="O289" s="178"/>
      <c r="P289" s="178"/>
      <c r="Q289" s="178" t="str">
        <f>Q286</f>
        <v>80 km/h</v>
      </c>
      <c r="R289" s="181"/>
      <c r="S289" s="178"/>
      <c r="T289" s="178"/>
    </row>
    <row r="290" spans="1:20" ht="15" x14ac:dyDescent="0.25">
      <c r="A290" s="224" t="s">
        <v>129</v>
      </c>
      <c r="B290" s="83">
        <v>74416</v>
      </c>
      <c r="C290" s="182" t="str">
        <f t="shared" si="38"/>
        <v>PSR_6342.89_DN_80 km/h</v>
      </c>
      <c r="D290" s="183" t="s">
        <v>1045</v>
      </c>
      <c r="E290" s="184" t="s">
        <v>187</v>
      </c>
      <c r="F290" s="184"/>
      <c r="G290" s="179">
        <v>6342.89</v>
      </c>
      <c r="H290" s="185">
        <f t="shared" si="36"/>
        <v>6342.89</v>
      </c>
      <c r="I290" s="230">
        <f>IF("generated"=1, "Path=MMRBEM_7_UP, Scaled Offset=6342.8900000000003274180926382541656", 6757.54576088356)</f>
        <v>6757.5457608835604</v>
      </c>
      <c r="J290" s="184"/>
      <c r="K290" s="184"/>
      <c r="L290" s="184"/>
      <c r="M290" s="184">
        <v>-2.5</v>
      </c>
      <c r="N290" s="184"/>
      <c r="O290" s="184"/>
      <c r="P290" s="184"/>
      <c r="Q290" s="180" t="s">
        <v>1048</v>
      </c>
      <c r="R290" s="184"/>
      <c r="S290" s="184"/>
      <c r="T290" s="184"/>
    </row>
    <row r="291" spans="1:20" ht="15" x14ac:dyDescent="0.25">
      <c r="A291" s="224" t="s">
        <v>129</v>
      </c>
      <c r="B291">
        <v>74417</v>
      </c>
      <c r="C291" s="182" t="str">
        <f t="shared" si="38"/>
        <v>PSR_6342.89_UP_80 km/h</v>
      </c>
      <c r="D291" s="183" t="s">
        <v>1045</v>
      </c>
      <c r="E291" s="183" t="str">
        <f>E290</f>
        <v>MMRBEM_7_UP</v>
      </c>
      <c r="F291" s="184"/>
      <c r="G291" s="179">
        <f>G290</f>
        <v>6342.89</v>
      </c>
      <c r="H291" s="185">
        <f t="shared" si="36"/>
        <v>6342.89</v>
      </c>
      <c r="I291" s="230">
        <f>IF("generated"=1, "Path=MMRBEM_7_UP, Scaled Offset=6342.8900000000003274180926382541656", 6757.54576088356)</f>
        <v>6757.5457608835604</v>
      </c>
      <c r="J291" s="184"/>
      <c r="K291" s="184"/>
      <c r="L291" s="184">
        <v>1</v>
      </c>
      <c r="M291" s="184">
        <v>2.5</v>
      </c>
      <c r="N291" s="184"/>
      <c r="O291" s="184"/>
      <c r="P291" s="184"/>
      <c r="Q291" s="184" t="str">
        <f>Q288</f>
        <v>80 km/h</v>
      </c>
      <c r="R291" s="184"/>
      <c r="S291" s="184"/>
      <c r="T291" s="184"/>
    </row>
    <row r="292" spans="1:20" ht="15" x14ac:dyDescent="0.25">
      <c r="A292" s="224" t="s">
        <v>129</v>
      </c>
      <c r="B292" s="83">
        <v>74418</v>
      </c>
      <c r="C292" s="176" t="str">
        <f t="shared" si="38"/>
        <v>PSR_6418.87_DN_80 km/h</v>
      </c>
      <c r="D292" s="177" t="s">
        <v>1045</v>
      </c>
      <c r="E292" s="177" t="s">
        <v>187</v>
      </c>
      <c r="F292" s="178"/>
      <c r="G292" s="179">
        <v>6418.87</v>
      </c>
      <c r="H292" s="179">
        <f t="shared" si="36"/>
        <v>6418.87</v>
      </c>
      <c r="I292" s="230">
        <f>IF("generated"=1, "Path=MMRBEM_7_UP, Scaled Offset=6418.8699999999998908606357872486115", 6833.33131541901)</f>
        <v>6833.33131541901</v>
      </c>
      <c r="J292" s="178"/>
      <c r="K292" s="178"/>
      <c r="L292" s="178"/>
      <c r="M292" s="178">
        <v>-2.5</v>
      </c>
      <c r="N292" s="178"/>
      <c r="O292" s="178"/>
      <c r="P292" s="178"/>
      <c r="Q292" s="180" t="s">
        <v>1048</v>
      </c>
      <c r="R292" s="181"/>
      <c r="S292" s="178"/>
      <c r="T292" s="178"/>
    </row>
    <row r="293" spans="1:20" ht="15" x14ac:dyDescent="0.25">
      <c r="A293" s="224" t="s">
        <v>129</v>
      </c>
      <c r="B293">
        <v>74419</v>
      </c>
      <c r="C293" s="176" t="str">
        <f t="shared" si="38"/>
        <v>PSR_6418.87_UP_80 km/h</v>
      </c>
      <c r="D293" s="177" t="s">
        <v>1045</v>
      </c>
      <c r="E293" s="177" t="str">
        <f>E292</f>
        <v>MMRBEM_7_UP</v>
      </c>
      <c r="F293" s="178"/>
      <c r="G293" s="179">
        <f>G292</f>
        <v>6418.87</v>
      </c>
      <c r="H293" s="179">
        <f t="shared" si="36"/>
        <v>6418.87</v>
      </c>
      <c r="I293" s="230">
        <f>IF("generated"=1, "Path=MMRBEM_7_UP, Scaled Offset=6418.8699999999998908606357872486115", 6833.33131541901)</f>
        <v>6833.33131541901</v>
      </c>
      <c r="J293" s="178"/>
      <c r="K293" s="178"/>
      <c r="L293" s="178">
        <v>1</v>
      </c>
      <c r="M293" s="178">
        <v>2.5</v>
      </c>
      <c r="N293" s="178"/>
      <c r="O293" s="178"/>
      <c r="P293" s="178"/>
      <c r="Q293" s="178" t="str">
        <f>Q290</f>
        <v>80 km/h</v>
      </c>
      <c r="R293" s="181"/>
      <c r="S293" s="178"/>
      <c r="T293" s="178"/>
    </row>
    <row r="294" spans="1:20" ht="15" x14ac:dyDescent="0.25">
      <c r="A294" s="224" t="s">
        <v>129</v>
      </c>
      <c r="B294" s="83">
        <v>74420</v>
      </c>
      <c r="C294" s="182" t="str">
        <f t="shared" si="38"/>
        <v>PSR_6590.73_DN_55 km/h</v>
      </c>
      <c r="D294" s="183" t="s">
        <v>1045</v>
      </c>
      <c r="E294" s="184" t="s">
        <v>187</v>
      </c>
      <c r="F294" s="184"/>
      <c r="G294" s="179">
        <v>6590.73</v>
      </c>
      <c r="H294" s="185">
        <f t="shared" si="36"/>
        <v>6590.73</v>
      </c>
      <c r="I294" s="230">
        <f>IF("generated"=1, "Path=MMRBEM_7_UP, Scaled Offset=6590.7299999999995634425431489944458", 7004.75149707814)</f>
        <v>7004.7514970781403</v>
      </c>
      <c r="J294" s="184"/>
      <c r="K294" s="184"/>
      <c r="L294" s="184"/>
      <c r="M294" s="184">
        <v>-2.5</v>
      </c>
      <c r="N294" s="184"/>
      <c r="O294" s="184"/>
      <c r="P294" s="184"/>
      <c r="Q294" s="180" t="s">
        <v>1050</v>
      </c>
      <c r="R294" s="184"/>
      <c r="S294" s="184"/>
      <c r="T294" s="184"/>
    </row>
    <row r="295" spans="1:20" ht="15" x14ac:dyDescent="0.25">
      <c r="A295" s="224" t="s">
        <v>129</v>
      </c>
      <c r="B295">
        <v>74421</v>
      </c>
      <c r="C295" s="182" t="str">
        <f t="shared" si="38"/>
        <v>PSR_6590.73_UP_80 km/h</v>
      </c>
      <c r="D295" s="183" t="s">
        <v>1045</v>
      </c>
      <c r="E295" s="183" t="str">
        <f>E294</f>
        <v>MMRBEM_7_UP</v>
      </c>
      <c r="F295" s="184"/>
      <c r="G295" s="179">
        <f>G294</f>
        <v>6590.73</v>
      </c>
      <c r="H295" s="185">
        <f t="shared" si="36"/>
        <v>6590.73</v>
      </c>
      <c r="I295" s="230">
        <f>IF("generated"=1, "Path=MMRBEM_7_UP, Scaled Offset=6590.7299999999995634425431489944458", 7004.75149707814)</f>
        <v>7004.7514970781403</v>
      </c>
      <c r="J295" s="184"/>
      <c r="K295" s="184"/>
      <c r="L295" s="184">
        <v>1</v>
      </c>
      <c r="M295" s="184">
        <v>2.5</v>
      </c>
      <c r="N295" s="184"/>
      <c r="O295" s="184"/>
      <c r="P295" s="184"/>
      <c r="Q295" s="184" t="str">
        <f>Q292</f>
        <v>80 km/h</v>
      </c>
      <c r="R295" s="184"/>
      <c r="S295" s="184"/>
      <c r="T295" s="184"/>
    </row>
    <row r="296" spans="1:20" ht="15" x14ac:dyDescent="0.25">
      <c r="A296" s="224" t="s">
        <v>129</v>
      </c>
      <c r="B296" s="83">
        <v>74422</v>
      </c>
      <c r="C296" s="176" t="str">
        <f>"PSR_"&amp;G296&amp;IF(L296=0,"_DN_","_UP_")&amp;Q296</f>
        <v>PSR_6868.78_DN_80 km/h</v>
      </c>
      <c r="D296" s="177" t="s">
        <v>1045</v>
      </c>
      <c r="E296" s="177" t="s">
        <v>187</v>
      </c>
      <c r="F296" s="178"/>
      <c r="G296" s="179">
        <v>6868.78</v>
      </c>
      <c r="H296" s="179">
        <f t="shared" si="36"/>
        <v>6868.78</v>
      </c>
      <c r="I296" s="230">
        <f>IF("generated"=1, "Path=MMRBEM_7_UP, Scaled Offset=6868.7799999999997453414835035800934", 7282.08992085517)</f>
        <v>7282.08992085517</v>
      </c>
      <c r="J296" s="178"/>
      <c r="K296" s="178"/>
      <c r="L296" s="178"/>
      <c r="M296" s="178">
        <v>-2.5</v>
      </c>
      <c r="N296" s="178"/>
      <c r="O296" s="178"/>
      <c r="P296" s="178"/>
      <c r="Q296" s="180" t="s">
        <v>1048</v>
      </c>
      <c r="R296" s="181"/>
      <c r="S296" s="178"/>
      <c r="T296" s="178"/>
    </row>
    <row r="297" spans="1:20" ht="15" x14ac:dyDescent="0.25">
      <c r="A297" s="224" t="s">
        <v>129</v>
      </c>
      <c r="B297">
        <v>74423</v>
      </c>
      <c r="C297" s="176" t="str">
        <f t="shared" ref="C297:C305" si="39">"PSR_"&amp;G297&amp;IF(L297=0,"_DN_","_UP_")&amp;Q297</f>
        <v>PSR_6868.78_UP_55 km/h</v>
      </c>
      <c r="D297" s="177" t="s">
        <v>1045</v>
      </c>
      <c r="E297" s="177" t="str">
        <f>E296</f>
        <v>MMRBEM_7_UP</v>
      </c>
      <c r="F297" s="178"/>
      <c r="G297" s="179">
        <f>G296</f>
        <v>6868.78</v>
      </c>
      <c r="H297" s="179">
        <f t="shared" si="36"/>
        <v>6868.78</v>
      </c>
      <c r="I297" s="230">
        <f>IF("generated"=1, "Path=MMRBEM_7_UP, Scaled Offset=6868.7799999999997453414835035800934", 7282.08992085517)</f>
        <v>7282.08992085517</v>
      </c>
      <c r="J297" s="178"/>
      <c r="K297" s="178"/>
      <c r="L297" s="178">
        <v>1</v>
      </c>
      <c r="M297" s="178">
        <v>2.5</v>
      </c>
      <c r="N297" s="178"/>
      <c r="O297" s="178"/>
      <c r="P297" s="178"/>
      <c r="Q297" s="178" t="str">
        <f>Q294</f>
        <v>55 km/h</v>
      </c>
      <c r="R297" s="181"/>
      <c r="S297" s="178"/>
      <c r="T297" s="178"/>
    </row>
    <row r="298" spans="1:20" ht="15" x14ac:dyDescent="0.25">
      <c r="A298" s="224" t="s">
        <v>129</v>
      </c>
      <c r="B298" s="83">
        <v>74424</v>
      </c>
      <c r="C298" s="182" t="str">
        <f t="shared" si="39"/>
        <v>PSR_6999.56_DN_55 km/h</v>
      </c>
      <c r="D298" s="183" t="s">
        <v>1045</v>
      </c>
      <c r="E298" s="184" t="s">
        <v>187</v>
      </c>
      <c r="F298" s="184"/>
      <c r="G298" s="179">
        <v>6999.56</v>
      </c>
      <c r="H298" s="185">
        <f t="shared" si="36"/>
        <v>6999.56</v>
      </c>
      <c r="I298" s="230">
        <f>IF("generated"=1, "Path=MMRBEM_7_UP, Scaled Offset=6999.5600000000004001776687800884247", 7412.53523307082)</f>
        <v>7412.5352330708201</v>
      </c>
      <c r="J298" s="184"/>
      <c r="K298" s="184"/>
      <c r="L298" s="184"/>
      <c r="M298" s="184">
        <v>-2.5</v>
      </c>
      <c r="N298" s="184"/>
      <c r="O298" s="184"/>
      <c r="P298" s="184"/>
      <c r="Q298" s="180" t="s">
        <v>1050</v>
      </c>
      <c r="R298" s="184"/>
      <c r="S298" s="184"/>
      <c r="T298" s="184"/>
    </row>
    <row r="299" spans="1:20" ht="15" x14ac:dyDescent="0.25">
      <c r="A299" s="224" t="s">
        <v>129</v>
      </c>
      <c r="B299">
        <v>74425</v>
      </c>
      <c r="C299" s="182" t="str">
        <f t="shared" si="39"/>
        <v>PSR_6999.56_UP_80 km/h</v>
      </c>
      <c r="D299" s="183" t="s">
        <v>1045</v>
      </c>
      <c r="E299" s="183" t="str">
        <f>E298</f>
        <v>MMRBEM_7_UP</v>
      </c>
      <c r="F299" s="184"/>
      <c r="G299" s="179">
        <f>G298</f>
        <v>6999.56</v>
      </c>
      <c r="H299" s="185">
        <f t="shared" si="36"/>
        <v>6999.56</v>
      </c>
      <c r="I299" s="230">
        <f>IF("generated"=1, "Path=MMRBEM_7_UP, Scaled Offset=6999.5600000000004001776687800884247", 7412.53523307082)</f>
        <v>7412.5352330708201</v>
      </c>
      <c r="J299" s="184"/>
      <c r="K299" s="184"/>
      <c r="L299" s="184">
        <v>1</v>
      </c>
      <c r="M299" s="184">
        <v>2.5</v>
      </c>
      <c r="N299" s="184"/>
      <c r="O299" s="184"/>
      <c r="P299" s="184"/>
      <c r="Q299" s="184" t="str">
        <f>Q296</f>
        <v>80 km/h</v>
      </c>
      <c r="R299" s="184"/>
      <c r="S299" s="184"/>
      <c r="T299" s="184"/>
    </row>
    <row r="300" spans="1:20" ht="15" x14ac:dyDescent="0.25">
      <c r="A300" s="224" t="s">
        <v>129</v>
      </c>
      <c r="B300" s="83">
        <v>74426</v>
      </c>
      <c r="C300" s="176" t="str">
        <f t="shared" si="39"/>
        <v>PSR_7178.13_DN_80 km/h</v>
      </c>
      <c r="D300" s="177" t="s">
        <v>1045</v>
      </c>
      <c r="E300" s="177" t="s">
        <v>187</v>
      </c>
      <c r="F300" s="178"/>
      <c r="G300" s="179">
        <v>7178.13</v>
      </c>
      <c r="H300" s="179">
        <f t="shared" si="36"/>
        <v>7178.13</v>
      </c>
      <c r="I300" s="230">
        <f>IF("generated"=1, "Path=MMRBEM_7_UP, Scaled Offset=7178.1300000000001091393642127513885", 7590.64824272328)</f>
        <v>7590.6482427232804</v>
      </c>
      <c r="J300" s="178"/>
      <c r="K300" s="178"/>
      <c r="L300" s="178"/>
      <c r="M300" s="178">
        <v>-2.5</v>
      </c>
      <c r="N300" s="178"/>
      <c r="O300" s="178"/>
      <c r="P300" s="178"/>
      <c r="Q300" s="180" t="s">
        <v>1048</v>
      </c>
      <c r="R300" s="181"/>
      <c r="S300" s="178"/>
      <c r="T300" s="178"/>
    </row>
    <row r="301" spans="1:20" ht="15" x14ac:dyDescent="0.25">
      <c r="A301" s="224" t="s">
        <v>129</v>
      </c>
      <c r="B301">
        <v>74427</v>
      </c>
      <c r="C301" s="176" t="str">
        <f t="shared" si="39"/>
        <v>PSR_7178.13_UP_55 km/h</v>
      </c>
      <c r="D301" s="177" t="s">
        <v>1045</v>
      </c>
      <c r="E301" s="177" t="str">
        <f>E300</f>
        <v>MMRBEM_7_UP</v>
      </c>
      <c r="F301" s="178"/>
      <c r="G301" s="179">
        <f>G300</f>
        <v>7178.13</v>
      </c>
      <c r="H301" s="179">
        <f t="shared" si="36"/>
        <v>7178.13</v>
      </c>
      <c r="I301" s="230">
        <f>IF("generated"=1, "Path=MMRBEM_7_UP, Scaled Offset=7178.1300000000001091393642127513885", 7590.64824272328)</f>
        <v>7590.6482427232804</v>
      </c>
      <c r="J301" s="178"/>
      <c r="K301" s="178"/>
      <c r="L301" s="178">
        <v>1</v>
      </c>
      <c r="M301" s="178">
        <v>2.5</v>
      </c>
      <c r="N301" s="178"/>
      <c r="O301" s="178"/>
      <c r="P301" s="178"/>
      <c r="Q301" s="178" t="str">
        <f>Q298</f>
        <v>55 km/h</v>
      </c>
      <c r="R301" s="181"/>
      <c r="S301" s="178"/>
      <c r="T301" s="178"/>
    </row>
    <row r="302" spans="1:20" ht="15" x14ac:dyDescent="0.25">
      <c r="A302" s="224" t="s">
        <v>129</v>
      </c>
      <c r="B302" s="83">
        <v>74428</v>
      </c>
      <c r="C302" s="182" t="str">
        <f t="shared" si="39"/>
        <v>PSR_7367.18_DN_75 km/h</v>
      </c>
      <c r="D302" s="183" t="s">
        <v>1045</v>
      </c>
      <c r="E302" s="184" t="s">
        <v>187</v>
      </c>
      <c r="F302" s="184"/>
      <c r="G302" s="179">
        <v>7367.18</v>
      </c>
      <c r="H302" s="185">
        <f t="shared" si="36"/>
        <v>7367.18</v>
      </c>
      <c r="I302" s="230">
        <f>IF("generated"=1, "Path=MMRBEM_7_UP, Scaled Offset=7367.1800000000002910383045673370361", 7779.21443231166)</f>
        <v>7779.2144323116599</v>
      </c>
      <c r="J302" s="184"/>
      <c r="K302" s="184"/>
      <c r="L302" s="184"/>
      <c r="M302" s="184">
        <v>-2.5</v>
      </c>
      <c r="N302" s="184"/>
      <c r="O302" s="184"/>
      <c r="P302" s="184"/>
      <c r="Q302" s="180" t="s">
        <v>1049</v>
      </c>
      <c r="R302" s="184"/>
      <c r="S302" s="184"/>
      <c r="T302" s="184"/>
    </row>
    <row r="303" spans="1:20" ht="15" x14ac:dyDescent="0.25">
      <c r="A303" s="224" t="s">
        <v>129</v>
      </c>
      <c r="B303">
        <v>74429</v>
      </c>
      <c r="C303" s="182" t="str">
        <f t="shared" si="39"/>
        <v>PSR_7367.18_UP_80 km/h</v>
      </c>
      <c r="D303" s="183" t="s">
        <v>1045</v>
      </c>
      <c r="E303" s="183" t="str">
        <f>E302</f>
        <v>MMRBEM_7_UP</v>
      </c>
      <c r="F303" s="184"/>
      <c r="G303" s="179">
        <f>G302</f>
        <v>7367.18</v>
      </c>
      <c r="H303" s="185">
        <f t="shared" si="36"/>
        <v>7367.18</v>
      </c>
      <c r="I303" s="230">
        <f>IF("generated"=1, "Path=MMRBEM_7_UP, Scaled Offset=7367.1800000000002910383045673370361", 7779.21443231166)</f>
        <v>7779.2144323116599</v>
      </c>
      <c r="J303" s="184"/>
      <c r="K303" s="184"/>
      <c r="L303" s="184">
        <v>1</v>
      </c>
      <c r="M303" s="184">
        <v>2.5</v>
      </c>
      <c r="N303" s="184"/>
      <c r="O303" s="184"/>
      <c r="P303" s="184"/>
      <c r="Q303" s="184" t="str">
        <f>Q300</f>
        <v>80 km/h</v>
      </c>
      <c r="R303" s="184"/>
      <c r="S303" s="184"/>
      <c r="T303" s="184"/>
    </row>
    <row r="304" spans="1:20" ht="15" x14ac:dyDescent="0.25">
      <c r="A304" s="224" t="s">
        <v>129</v>
      </c>
      <c r="B304" s="83">
        <v>74430</v>
      </c>
      <c r="C304" s="176" t="str">
        <f t="shared" si="39"/>
        <v>PSR_7465.33_DN_80 km/h</v>
      </c>
      <c r="D304" s="177" t="s">
        <v>1045</v>
      </c>
      <c r="E304" s="177" t="s">
        <v>187</v>
      </c>
      <c r="F304" s="178"/>
      <c r="G304" s="179">
        <v>7465.33</v>
      </c>
      <c r="H304" s="179">
        <f t="shared" si="36"/>
        <v>7465.33</v>
      </c>
      <c r="I304" s="230">
        <f>IF("generated"=1, "Path=MMRBEM_7_UP, Scaled Offset=7465.329999999999927240423858165741", 7877.11325012758)</f>
        <v>7877.1132501275797</v>
      </c>
      <c r="J304" s="178"/>
      <c r="K304" s="178"/>
      <c r="L304" s="178"/>
      <c r="M304" s="178">
        <v>-2.5</v>
      </c>
      <c r="N304" s="178"/>
      <c r="O304" s="178"/>
      <c r="P304" s="178"/>
      <c r="Q304" s="180" t="s">
        <v>1048</v>
      </c>
      <c r="R304" s="181"/>
      <c r="S304" s="178"/>
      <c r="T304" s="178"/>
    </row>
    <row r="305" spans="1:20" ht="15" x14ac:dyDescent="0.25">
      <c r="A305" s="224" t="s">
        <v>129</v>
      </c>
      <c r="B305">
        <v>74431</v>
      </c>
      <c r="C305" s="176" t="str">
        <f t="shared" si="39"/>
        <v>PSR_7465.33_UP_75 km/h</v>
      </c>
      <c r="D305" s="177" t="s">
        <v>1045</v>
      </c>
      <c r="E305" s="177" t="str">
        <f>E304</f>
        <v>MMRBEM_7_UP</v>
      </c>
      <c r="F305" s="178"/>
      <c r="G305" s="179">
        <f>G304</f>
        <v>7465.33</v>
      </c>
      <c r="H305" s="179">
        <f t="shared" si="36"/>
        <v>7465.33</v>
      </c>
      <c r="I305" s="230">
        <f>IF("generated"=1, "Path=MMRBEM_7_UP, Scaled Offset=7465.329999999999927240423858165741", 7877.11325012758)</f>
        <v>7877.1132501275797</v>
      </c>
      <c r="J305" s="178"/>
      <c r="K305" s="178"/>
      <c r="L305" s="178">
        <v>1</v>
      </c>
      <c r="M305" s="178">
        <v>2.5</v>
      </c>
      <c r="N305" s="178"/>
      <c r="O305" s="178"/>
      <c r="P305" s="178"/>
      <c r="Q305" s="178" t="str">
        <f>Q302</f>
        <v>75 km/h</v>
      </c>
      <c r="R305" s="181"/>
      <c r="S305" s="178"/>
      <c r="T305" s="178"/>
    </row>
    <row r="306" spans="1:20" ht="15" x14ac:dyDescent="0.25">
      <c r="A306" s="224" t="s">
        <v>129</v>
      </c>
      <c r="B306" s="83">
        <v>74432</v>
      </c>
      <c r="C306" s="182" t="str">
        <f>"PSR_"&amp;G306&amp;IF(L306=0,"_DN_","_UP_")&amp;Q306</f>
        <v>PSR_7490.91_DN_75 km/h</v>
      </c>
      <c r="D306" s="183" t="s">
        <v>1045</v>
      </c>
      <c r="E306" s="184" t="s">
        <v>187</v>
      </c>
      <c r="F306" s="184"/>
      <c r="G306" s="179">
        <v>7490.91</v>
      </c>
      <c r="H306" s="185">
        <f t="shared" si="36"/>
        <v>7490.91</v>
      </c>
      <c r="I306" s="230">
        <f>IF("generated"=1, "Path=MMRBEM_7_UP, Scaled Offset=7490.9099999999998544808477163314819", 7902.62778665056)</f>
        <v>7902.6277866505598</v>
      </c>
      <c r="J306" s="184"/>
      <c r="K306" s="184"/>
      <c r="L306" s="184"/>
      <c r="M306" s="184">
        <v>-2.5</v>
      </c>
      <c r="N306" s="184"/>
      <c r="O306" s="184"/>
      <c r="P306" s="184"/>
      <c r="Q306" s="180" t="s">
        <v>1049</v>
      </c>
      <c r="R306" s="184"/>
      <c r="S306" s="184"/>
      <c r="T306" s="184"/>
    </row>
    <row r="307" spans="1:20" ht="15" x14ac:dyDescent="0.25">
      <c r="A307" s="224" t="s">
        <v>129</v>
      </c>
      <c r="B307">
        <v>74433</v>
      </c>
      <c r="C307" s="182" t="str">
        <f t="shared" ref="C307:C317" si="40">"PSR_"&amp;G307&amp;IF(L307=0,"_DN_","_UP_")&amp;Q307</f>
        <v>PSR_7490.91_UP_80 km/h</v>
      </c>
      <c r="D307" s="183" t="s">
        <v>1045</v>
      </c>
      <c r="E307" s="183" t="str">
        <f>E306</f>
        <v>MMRBEM_7_UP</v>
      </c>
      <c r="F307" s="184"/>
      <c r="G307" s="179">
        <f>G306</f>
        <v>7490.91</v>
      </c>
      <c r="H307" s="185">
        <f t="shared" si="36"/>
        <v>7490.91</v>
      </c>
      <c r="I307" s="230">
        <f>IF("generated"=1, "Path=MMRBEM_7_UP, Scaled Offset=7490.9099999999998544808477163314819", 7902.62778665056)</f>
        <v>7902.6277866505598</v>
      </c>
      <c r="J307" s="184"/>
      <c r="K307" s="184"/>
      <c r="L307" s="184">
        <v>1</v>
      </c>
      <c r="M307" s="184">
        <v>2.5</v>
      </c>
      <c r="N307" s="184"/>
      <c r="O307" s="184"/>
      <c r="P307" s="184"/>
      <c r="Q307" s="184" t="str">
        <f>Q304</f>
        <v>80 km/h</v>
      </c>
      <c r="R307" s="184"/>
      <c r="S307" s="184"/>
      <c r="T307" s="184"/>
    </row>
    <row r="308" spans="1:20" ht="15" x14ac:dyDescent="0.25">
      <c r="A308" s="224" t="s">
        <v>129</v>
      </c>
      <c r="B308" s="83">
        <v>74434</v>
      </c>
      <c r="C308" s="176" t="str">
        <f t="shared" si="40"/>
        <v>PSR_7583.44_DN_80 km/h</v>
      </c>
      <c r="D308" s="177" t="s">
        <v>1045</v>
      </c>
      <c r="E308" s="177" t="s">
        <v>187</v>
      </c>
      <c r="F308" s="178"/>
      <c r="G308" s="179">
        <v>7583.44</v>
      </c>
      <c r="H308" s="179">
        <f t="shared" si="36"/>
        <v>7583.44</v>
      </c>
      <c r="I308" s="230">
        <f>IF("generated"=1, "Path=MMRBEM_7_UP, Scaled Offset=7583.4399999999995998223312199115753", 7994.92098698176)</f>
        <v>7994.9209869817596</v>
      </c>
      <c r="J308" s="178"/>
      <c r="K308" s="178"/>
      <c r="L308" s="178"/>
      <c r="M308" s="178">
        <v>-2.5</v>
      </c>
      <c r="N308" s="178"/>
      <c r="O308" s="178"/>
      <c r="P308" s="178"/>
      <c r="Q308" s="180" t="s">
        <v>1048</v>
      </c>
      <c r="R308" s="181"/>
      <c r="S308" s="178"/>
      <c r="T308" s="178"/>
    </row>
    <row r="309" spans="1:20" ht="15" x14ac:dyDescent="0.25">
      <c r="A309" s="224" t="s">
        <v>129</v>
      </c>
      <c r="B309">
        <v>74435</v>
      </c>
      <c r="C309" s="176" t="str">
        <f t="shared" si="40"/>
        <v>PSR_7583.44_UP_75 km/h</v>
      </c>
      <c r="D309" s="177" t="s">
        <v>1045</v>
      </c>
      <c r="E309" s="177" t="str">
        <f>E308</f>
        <v>MMRBEM_7_UP</v>
      </c>
      <c r="F309" s="178"/>
      <c r="G309" s="179">
        <f>G308</f>
        <v>7583.44</v>
      </c>
      <c r="H309" s="179">
        <f t="shared" si="36"/>
        <v>7583.44</v>
      </c>
      <c r="I309" s="230">
        <f>IF("generated"=1, "Path=MMRBEM_7_UP, Scaled Offset=7583.4399999999995998223312199115753", 7994.92098698176)</f>
        <v>7994.9209869817596</v>
      </c>
      <c r="J309" s="178"/>
      <c r="K309" s="178"/>
      <c r="L309" s="178">
        <v>1</v>
      </c>
      <c r="M309" s="178">
        <v>2.5</v>
      </c>
      <c r="N309" s="178"/>
      <c r="O309" s="178"/>
      <c r="P309" s="178"/>
      <c r="Q309" s="178" t="str">
        <f>Q306</f>
        <v>75 km/h</v>
      </c>
      <c r="R309" s="181"/>
      <c r="S309" s="178"/>
      <c r="T309" s="178"/>
    </row>
    <row r="310" spans="1:20" ht="15" x14ac:dyDescent="0.25">
      <c r="A310" s="224" t="s">
        <v>129</v>
      </c>
      <c r="B310" s="83">
        <v>74436</v>
      </c>
      <c r="C310" s="182" t="str">
        <f t="shared" si="40"/>
        <v>PSR_7715.8_DN_55 km/h</v>
      </c>
      <c r="D310" s="183" t="s">
        <v>1045</v>
      </c>
      <c r="E310" s="184" t="s">
        <v>187</v>
      </c>
      <c r="F310" s="184"/>
      <c r="G310" s="179">
        <v>7715.8</v>
      </c>
      <c r="H310" s="185">
        <f t="shared" si="36"/>
        <v>7715.8</v>
      </c>
      <c r="I310" s="230">
        <f>IF("generated"=1, "Path=MMRBEM_7_UP, Scaled Offset=7715.8000000000001818989403545856476", 8125.18254525837)</f>
        <v>8125.1825452583698</v>
      </c>
      <c r="J310" s="184"/>
      <c r="K310" s="184"/>
      <c r="L310" s="184"/>
      <c r="M310" s="184">
        <v>-2.5</v>
      </c>
      <c r="N310" s="184"/>
      <c r="O310" s="184"/>
      <c r="P310" s="184"/>
      <c r="Q310" s="180" t="s">
        <v>1050</v>
      </c>
      <c r="R310" s="184"/>
      <c r="S310" s="184"/>
      <c r="T310" s="184"/>
    </row>
    <row r="311" spans="1:20" ht="15" x14ac:dyDescent="0.25">
      <c r="A311" s="224" t="s">
        <v>129</v>
      </c>
      <c r="B311">
        <v>74437</v>
      </c>
      <c r="C311" s="182" t="str">
        <f t="shared" si="40"/>
        <v>PSR_7715.8_UP_80 km/h</v>
      </c>
      <c r="D311" s="183" t="s">
        <v>1045</v>
      </c>
      <c r="E311" s="183" t="str">
        <f>E310</f>
        <v>MMRBEM_7_UP</v>
      </c>
      <c r="F311" s="184"/>
      <c r="G311" s="179">
        <f>G310</f>
        <v>7715.8</v>
      </c>
      <c r="H311" s="185">
        <f t="shared" si="36"/>
        <v>7715.8</v>
      </c>
      <c r="I311" s="230">
        <f>IF("generated"=1, "Path=MMRBEM_7_UP, Scaled Offset=7715.8000000000001818989403545856476", 8125.18254525837)</f>
        <v>8125.1825452583698</v>
      </c>
      <c r="J311" s="184"/>
      <c r="K311" s="184"/>
      <c r="L311" s="184">
        <v>1</v>
      </c>
      <c r="M311" s="184">
        <v>2.5</v>
      </c>
      <c r="N311" s="184"/>
      <c r="O311" s="184"/>
      <c r="P311" s="184"/>
      <c r="Q311" s="184" t="str">
        <f>Q308</f>
        <v>80 km/h</v>
      </c>
      <c r="R311" s="184"/>
      <c r="S311" s="184"/>
      <c r="T311" s="184"/>
    </row>
    <row r="312" spans="1:20" ht="15" x14ac:dyDescent="0.25">
      <c r="A312" s="224" t="s">
        <v>129</v>
      </c>
      <c r="B312" s="83">
        <v>74438</v>
      </c>
      <c r="C312" s="176" t="str">
        <f t="shared" si="40"/>
        <v>PSR_7829.49_DN_75 km/h</v>
      </c>
      <c r="D312" s="177" t="s">
        <v>1045</v>
      </c>
      <c r="E312" s="177" t="s">
        <v>187</v>
      </c>
      <c r="F312" s="178"/>
      <c r="G312" s="179">
        <v>7829.49</v>
      </c>
      <c r="H312" s="179">
        <f t="shared" si="36"/>
        <v>7829.49</v>
      </c>
      <c r="I312" s="230">
        <f>IF("generated"=1, "Path=MMRBEM_7_UP, Scaled Offset=7829.4899999999997817212715744972229", 8236.77598458703)</f>
        <v>8236.7759845870296</v>
      </c>
      <c r="J312" s="178"/>
      <c r="K312" s="178"/>
      <c r="L312" s="178"/>
      <c r="M312" s="178">
        <v>-2.5</v>
      </c>
      <c r="N312" s="178"/>
      <c r="O312" s="178"/>
      <c r="P312" s="178"/>
      <c r="Q312" s="180" t="s">
        <v>1049</v>
      </c>
      <c r="R312" s="181"/>
      <c r="S312" s="178"/>
      <c r="T312" s="178"/>
    </row>
    <row r="313" spans="1:20" ht="15" x14ac:dyDescent="0.25">
      <c r="A313" s="224" t="s">
        <v>129</v>
      </c>
      <c r="B313">
        <v>74439</v>
      </c>
      <c r="C313" s="176" t="str">
        <f t="shared" si="40"/>
        <v>PSR_7829.49_UP_55 km/h</v>
      </c>
      <c r="D313" s="177" t="s">
        <v>1045</v>
      </c>
      <c r="E313" s="177" t="str">
        <f>E312</f>
        <v>MMRBEM_7_UP</v>
      </c>
      <c r="F313" s="178"/>
      <c r="G313" s="179">
        <f>G312</f>
        <v>7829.49</v>
      </c>
      <c r="H313" s="179">
        <f t="shared" si="36"/>
        <v>7829.49</v>
      </c>
      <c r="I313" s="230">
        <f>IF("generated"=1, "Path=MMRBEM_7_UP, Scaled Offset=7829.4899999999997817212715744972229", 8236.77598458703)</f>
        <v>8236.7759845870296</v>
      </c>
      <c r="J313" s="178"/>
      <c r="K313" s="178"/>
      <c r="L313" s="178">
        <v>1</v>
      </c>
      <c r="M313" s="178">
        <v>2.5</v>
      </c>
      <c r="N313" s="178"/>
      <c r="O313" s="178"/>
      <c r="P313" s="178"/>
      <c r="Q313" s="178" t="str">
        <f>Q310</f>
        <v>55 km/h</v>
      </c>
      <c r="R313" s="181"/>
      <c r="S313" s="178"/>
      <c r="T313" s="178"/>
    </row>
    <row r="314" spans="1:20" ht="15" x14ac:dyDescent="0.25">
      <c r="A314" s="224" t="s">
        <v>129</v>
      </c>
      <c r="B314" s="83">
        <v>74440</v>
      </c>
      <c r="C314" s="182" t="str">
        <f t="shared" si="40"/>
        <v>PSR_7968.58_DN_80 km/h</v>
      </c>
      <c r="D314" s="183" t="s">
        <v>1045</v>
      </c>
      <c r="E314" s="184" t="s">
        <v>187</v>
      </c>
      <c r="F314" s="184"/>
      <c r="G314" s="179">
        <v>7968.58</v>
      </c>
      <c r="H314" s="185">
        <f t="shared" si="36"/>
        <v>7968.58</v>
      </c>
      <c r="I314" s="230">
        <f>IF("generated"=1, "Path=MMRBEM_7_UP, Scaled Offset=7968.579999999999927240423858165741", 8373.30102176025)</f>
        <v>8373.3010217602496</v>
      </c>
      <c r="J314" s="184"/>
      <c r="K314" s="184"/>
      <c r="L314" s="184"/>
      <c r="M314" s="184">
        <v>-2.5</v>
      </c>
      <c r="N314" s="184"/>
      <c r="O314" s="184"/>
      <c r="P314" s="184"/>
      <c r="Q314" s="180" t="s">
        <v>1048</v>
      </c>
      <c r="R314" s="184"/>
      <c r="S314" s="184"/>
      <c r="T314" s="184"/>
    </row>
    <row r="315" spans="1:20" ht="15" x14ac:dyDescent="0.25">
      <c r="A315" s="224" t="s">
        <v>129</v>
      </c>
      <c r="B315">
        <v>74441</v>
      </c>
      <c r="C315" s="182" t="str">
        <f t="shared" si="40"/>
        <v>PSR_7968.58_UP_75 km/h</v>
      </c>
      <c r="D315" s="183" t="s">
        <v>1045</v>
      </c>
      <c r="E315" s="183" t="str">
        <f>E314</f>
        <v>MMRBEM_7_UP</v>
      </c>
      <c r="F315" s="184"/>
      <c r="G315" s="179">
        <f>G314</f>
        <v>7968.58</v>
      </c>
      <c r="H315" s="185">
        <f t="shared" si="36"/>
        <v>7968.58</v>
      </c>
      <c r="I315" s="230">
        <f>IF("generated"=1, "Path=MMRBEM_7_UP, Scaled Offset=7968.579999999999927240423858165741", 8373.30102176025)</f>
        <v>8373.3010217602496</v>
      </c>
      <c r="J315" s="184"/>
      <c r="K315" s="184"/>
      <c r="L315" s="184">
        <v>1</v>
      </c>
      <c r="M315" s="184">
        <v>2.5</v>
      </c>
      <c r="N315" s="184"/>
      <c r="O315" s="184"/>
      <c r="P315" s="184"/>
      <c r="Q315" s="184" t="str">
        <f>Q312</f>
        <v>75 km/h</v>
      </c>
      <c r="R315" s="184"/>
      <c r="S315" s="184"/>
      <c r="T315" s="184"/>
    </row>
    <row r="316" spans="1:20" ht="15" x14ac:dyDescent="0.25">
      <c r="A316" s="224" t="s">
        <v>129</v>
      </c>
      <c r="B316" s="83">
        <v>74442</v>
      </c>
      <c r="C316" s="176" t="str">
        <f t="shared" si="40"/>
        <v>PSR_8247.07_DN_55 km/h</v>
      </c>
      <c r="D316" s="177" t="s">
        <v>1045</v>
      </c>
      <c r="E316" s="177" t="s">
        <v>187</v>
      </c>
      <c r="F316" s="178"/>
      <c r="G316" s="179">
        <v>8247.07</v>
      </c>
      <c r="H316" s="179">
        <f t="shared" si="36"/>
        <v>8247.07</v>
      </c>
      <c r="I316" s="230">
        <f>IF("generated"=1, "Path=MMRBEM_7_UP, Scaled Offset=8247.0699999999997089616954326629639", 8646.65537938747)</f>
        <v>8646.65537938747</v>
      </c>
      <c r="J316" s="178"/>
      <c r="K316" s="178"/>
      <c r="L316" s="178"/>
      <c r="M316" s="178">
        <v>-2.5</v>
      </c>
      <c r="N316" s="178"/>
      <c r="O316" s="178"/>
      <c r="P316" s="178"/>
      <c r="Q316" s="180" t="s">
        <v>1050</v>
      </c>
      <c r="R316" s="181"/>
      <c r="S316" s="178"/>
      <c r="T316" s="178"/>
    </row>
    <row r="317" spans="1:20" ht="15" x14ac:dyDescent="0.25">
      <c r="A317" s="224" t="s">
        <v>129</v>
      </c>
      <c r="B317">
        <v>74443</v>
      </c>
      <c r="C317" s="176" t="str">
        <f t="shared" si="40"/>
        <v>PSR_8247.07_UP_80 km/h</v>
      </c>
      <c r="D317" s="177" t="s">
        <v>1045</v>
      </c>
      <c r="E317" s="177" t="str">
        <f>E316</f>
        <v>MMRBEM_7_UP</v>
      </c>
      <c r="F317" s="178"/>
      <c r="G317" s="179">
        <f>G316</f>
        <v>8247.07</v>
      </c>
      <c r="H317" s="179">
        <f t="shared" si="36"/>
        <v>8247.07</v>
      </c>
      <c r="I317" s="230">
        <f>IF("generated"=1, "Path=MMRBEM_7_UP, Scaled Offset=8247.0699999999997089616954326629639", 8646.65537938747)</f>
        <v>8646.65537938747</v>
      </c>
      <c r="J317" s="178"/>
      <c r="K317" s="178"/>
      <c r="L317" s="178">
        <v>1</v>
      </c>
      <c r="M317" s="178">
        <v>2.5</v>
      </c>
      <c r="N317" s="178"/>
      <c r="O317" s="178"/>
      <c r="P317" s="178"/>
      <c r="Q317" s="178" t="str">
        <f>Q314</f>
        <v>80 km/h</v>
      </c>
      <c r="R317" s="181"/>
      <c r="S317" s="178"/>
      <c r="T317" s="178"/>
    </row>
    <row r="318" spans="1:20" ht="15" x14ac:dyDescent="0.25">
      <c r="A318" s="224" t="s">
        <v>129</v>
      </c>
      <c r="B318" s="83">
        <v>74444</v>
      </c>
      <c r="C318" s="182" t="str">
        <f>"PSR_"&amp;G318&amp;IF(L318=0,"_DN_","_UP_")&amp;Q318</f>
        <v>PSR_8361.55_DN_55 km/h</v>
      </c>
      <c r="D318" s="183" t="s">
        <v>1045</v>
      </c>
      <c r="E318" s="184" t="s">
        <v>187</v>
      </c>
      <c r="F318" s="184"/>
      <c r="G318" s="179">
        <v>8361.5499999999993</v>
      </c>
      <c r="H318" s="185">
        <f t="shared" si="36"/>
        <v>8361.5499999999993</v>
      </c>
      <c r="I318" s="230">
        <f>IF("generated"=1, "Path=MMRBEM_7_UP, Scaled Offset=8361.5499999999992724042385816574097", 8759.02425030264)</f>
        <v>8759.0242503026402</v>
      </c>
      <c r="J318" s="184"/>
      <c r="K318" s="184"/>
      <c r="L318" s="184"/>
      <c r="M318" s="184">
        <v>-2.5</v>
      </c>
      <c r="N318" s="184"/>
      <c r="O318" s="184"/>
      <c r="P318" s="184"/>
      <c r="Q318" s="180" t="s">
        <v>1050</v>
      </c>
      <c r="R318" s="184"/>
      <c r="S318" s="184"/>
      <c r="T318" s="184"/>
    </row>
    <row r="319" spans="1:20" ht="15" x14ac:dyDescent="0.25">
      <c r="A319" s="224" t="s">
        <v>129</v>
      </c>
      <c r="B319">
        <v>74445</v>
      </c>
      <c r="C319" s="182" t="str">
        <f t="shared" ref="C319:C325" si="41">"PSR_"&amp;G319&amp;IF(L319=0,"_DN_","_UP_")&amp;Q319</f>
        <v>PSR_8361.55_UP_55 km/h</v>
      </c>
      <c r="D319" s="183" t="s">
        <v>1045</v>
      </c>
      <c r="E319" s="183" t="str">
        <f>E318</f>
        <v>MMRBEM_7_UP</v>
      </c>
      <c r="F319" s="184"/>
      <c r="G319" s="179">
        <f>G318</f>
        <v>8361.5499999999993</v>
      </c>
      <c r="H319" s="185">
        <f t="shared" si="36"/>
        <v>8361.5499999999993</v>
      </c>
      <c r="I319" s="230">
        <f>IF("generated"=1, "Path=MMRBEM_7_UP, Scaled Offset=8361.5499999999992724042385816574097", 8759.02425030264)</f>
        <v>8759.0242503026402</v>
      </c>
      <c r="J319" s="184"/>
      <c r="K319" s="184"/>
      <c r="L319" s="184">
        <v>1</v>
      </c>
      <c r="M319" s="184">
        <v>2.5</v>
      </c>
      <c r="N319" s="184"/>
      <c r="O319" s="184"/>
      <c r="P319" s="184"/>
      <c r="Q319" s="184" t="str">
        <f>Q316</f>
        <v>55 km/h</v>
      </c>
      <c r="R319" s="184"/>
      <c r="S319" s="184"/>
      <c r="T319" s="184"/>
    </row>
    <row r="320" spans="1:20" ht="15" x14ac:dyDescent="0.25">
      <c r="A320" s="224" t="s">
        <v>129</v>
      </c>
      <c r="B320" s="83">
        <v>74446</v>
      </c>
      <c r="C320" s="176" t="str">
        <f t="shared" si="41"/>
        <v>PSR_8480.27_DN_80 km/h</v>
      </c>
      <c r="D320" s="177" t="s">
        <v>1045</v>
      </c>
      <c r="E320" s="177" t="s">
        <v>187</v>
      </c>
      <c r="F320" s="178"/>
      <c r="G320" s="179">
        <v>8480.27</v>
      </c>
      <c r="H320" s="179">
        <f t="shared" si="36"/>
        <v>8480.27</v>
      </c>
      <c r="I320" s="230">
        <f>IF("generated"=1, "Path=MMRBEM_7_UP, Scaled Offset=8480.2700000000004365574568510055542", 8875.5549312517)</f>
        <v>8875.5549312516996</v>
      </c>
      <c r="J320" s="178"/>
      <c r="K320" s="178"/>
      <c r="L320" s="178"/>
      <c r="M320" s="178">
        <v>-2.5</v>
      </c>
      <c r="N320" s="178"/>
      <c r="O320" s="178"/>
      <c r="P320" s="178"/>
      <c r="Q320" s="180" t="s">
        <v>1048</v>
      </c>
      <c r="R320" s="181"/>
      <c r="S320" s="178"/>
      <c r="T320" s="178"/>
    </row>
    <row r="321" spans="1:20" ht="15" x14ac:dyDescent="0.25">
      <c r="A321" s="224" t="s">
        <v>129</v>
      </c>
      <c r="B321">
        <v>74447</v>
      </c>
      <c r="C321" s="176" t="str">
        <f t="shared" si="41"/>
        <v>PSR_8480.27_UP_55 km/h</v>
      </c>
      <c r="D321" s="177" t="s">
        <v>1045</v>
      </c>
      <c r="E321" s="177" t="str">
        <f>E320</f>
        <v>MMRBEM_7_UP</v>
      </c>
      <c r="F321" s="178"/>
      <c r="G321" s="179">
        <f>G320</f>
        <v>8480.27</v>
      </c>
      <c r="H321" s="179">
        <f t="shared" si="36"/>
        <v>8480.27</v>
      </c>
      <c r="I321" s="230">
        <f>IF("generated"=1, "Path=MMRBEM_7_UP, Scaled Offset=8480.2700000000004365574568510055542", 8875.5549312517)</f>
        <v>8875.5549312516996</v>
      </c>
      <c r="J321" s="178"/>
      <c r="K321" s="178"/>
      <c r="L321" s="178">
        <v>1</v>
      </c>
      <c r="M321" s="178">
        <v>2.5</v>
      </c>
      <c r="N321" s="178"/>
      <c r="O321" s="178"/>
      <c r="P321" s="178"/>
      <c r="Q321" s="178" t="str">
        <f>Q318</f>
        <v>55 km/h</v>
      </c>
      <c r="R321" s="181"/>
      <c r="S321" s="178"/>
      <c r="T321" s="178"/>
    </row>
    <row r="322" spans="1:20" ht="15" x14ac:dyDescent="0.25">
      <c r="A322" s="224" t="s">
        <v>129</v>
      </c>
      <c r="B322" s="83">
        <v>74448</v>
      </c>
      <c r="C322" s="182" t="str">
        <f t="shared" si="41"/>
        <v>PSR_8506.66_DN_50 km/h</v>
      </c>
      <c r="D322" s="183" t="s">
        <v>1045</v>
      </c>
      <c r="E322" s="184" t="s">
        <v>187</v>
      </c>
      <c r="F322" s="184"/>
      <c r="G322" s="179">
        <v>8506.66</v>
      </c>
      <c r="H322" s="185">
        <f t="shared" si="36"/>
        <v>8506.66</v>
      </c>
      <c r="I322" s="230">
        <f>IF("generated"=1, "Path=MMRBEM_7_UP, Scaled Offset=8506.6599999999998544808477163314819", 8901.45827247681)</f>
        <v>8901.4582724768097</v>
      </c>
      <c r="J322" s="184"/>
      <c r="K322" s="184"/>
      <c r="L322" s="184"/>
      <c r="M322" s="184">
        <v>-2.5</v>
      </c>
      <c r="N322" s="184"/>
      <c r="O322" s="184"/>
      <c r="P322" s="184"/>
      <c r="Q322" s="180" t="s">
        <v>1046</v>
      </c>
      <c r="R322" s="184"/>
      <c r="S322" s="184"/>
      <c r="T322" s="184"/>
    </row>
    <row r="323" spans="1:20" ht="15" x14ac:dyDescent="0.25">
      <c r="A323" s="224" t="s">
        <v>129</v>
      </c>
      <c r="B323">
        <v>74449</v>
      </c>
      <c r="C323" s="182" t="str">
        <f t="shared" si="41"/>
        <v>PSR_8506.66_UP_80 km/h</v>
      </c>
      <c r="D323" s="183" t="s">
        <v>1045</v>
      </c>
      <c r="E323" s="183" t="str">
        <f>E322</f>
        <v>MMRBEM_7_UP</v>
      </c>
      <c r="F323" s="184"/>
      <c r="G323" s="179">
        <f>G322</f>
        <v>8506.66</v>
      </c>
      <c r="H323" s="185">
        <f t="shared" si="36"/>
        <v>8506.66</v>
      </c>
      <c r="I323" s="230">
        <f>IF("generated"=1, "Path=MMRBEM_7_UP, Scaled Offset=8506.6599999999998544808477163314819", 8901.45827247681)</f>
        <v>8901.4582724768097</v>
      </c>
      <c r="J323" s="184"/>
      <c r="K323" s="184"/>
      <c r="L323" s="184">
        <v>1</v>
      </c>
      <c r="M323" s="184">
        <v>2.5</v>
      </c>
      <c r="N323" s="184"/>
      <c r="O323" s="184"/>
      <c r="P323" s="184"/>
      <c r="Q323" s="184" t="str">
        <f>Q320</f>
        <v>80 km/h</v>
      </c>
      <c r="R323" s="184"/>
      <c r="S323" s="184"/>
      <c r="T323" s="184"/>
    </row>
    <row r="324" spans="1:20" ht="15" x14ac:dyDescent="0.25">
      <c r="A324" s="224" t="s">
        <v>129</v>
      </c>
      <c r="B324" s="83">
        <v>74450</v>
      </c>
      <c r="C324" s="176" t="str">
        <f t="shared" si="41"/>
        <v>PSR_8675.29_DN_80 km/h</v>
      </c>
      <c r="D324" s="177" t="s">
        <v>1045</v>
      </c>
      <c r="E324" s="177" t="s">
        <v>187</v>
      </c>
      <c r="F324" s="178"/>
      <c r="G324" s="179">
        <v>8675.2900000000009</v>
      </c>
      <c r="H324" s="179">
        <f t="shared" si="36"/>
        <v>8675.2900000000009</v>
      </c>
      <c r="I324" s="230">
        <f>IF("generated"=1, "Path=MMRBEM_7_UP, Scaled Offset=8675.2900000000008731149137020111084", 9066.97856163146)</f>
        <v>9066.9785616314603</v>
      </c>
      <c r="J324" s="178"/>
      <c r="K324" s="178"/>
      <c r="L324" s="178"/>
      <c r="M324" s="178">
        <v>-2.5</v>
      </c>
      <c r="N324" s="178"/>
      <c r="O324" s="178"/>
      <c r="P324" s="178"/>
      <c r="Q324" s="180" t="s">
        <v>1048</v>
      </c>
      <c r="R324" s="181"/>
      <c r="S324" s="178"/>
      <c r="T324" s="178"/>
    </row>
    <row r="325" spans="1:20" ht="15" x14ac:dyDescent="0.25">
      <c r="A325" s="224" t="s">
        <v>129</v>
      </c>
      <c r="B325">
        <v>74451</v>
      </c>
      <c r="C325" s="176" t="str">
        <f t="shared" si="41"/>
        <v>PSR_8675.29_UP_50 km/h</v>
      </c>
      <c r="D325" s="177" t="s">
        <v>1045</v>
      </c>
      <c r="E325" s="177" t="str">
        <f>E324</f>
        <v>MMRBEM_7_UP</v>
      </c>
      <c r="F325" s="178"/>
      <c r="G325" s="179">
        <f>G324</f>
        <v>8675.2900000000009</v>
      </c>
      <c r="H325" s="179">
        <f t="shared" si="36"/>
        <v>8675.2900000000009</v>
      </c>
      <c r="I325" s="230">
        <f>IF("generated"=1, "Path=MMRBEM_7_UP, Scaled Offset=8675.2900000000008731149137020111084", 9066.97856163146)</f>
        <v>9066.9785616314603</v>
      </c>
      <c r="J325" s="178"/>
      <c r="K325" s="178"/>
      <c r="L325" s="178">
        <v>1</v>
      </c>
      <c r="M325" s="178">
        <v>2.5</v>
      </c>
      <c r="N325" s="178"/>
      <c r="O325" s="178"/>
      <c r="P325" s="178"/>
      <c r="Q325" s="178" t="str">
        <f>Q322</f>
        <v>50 km/h</v>
      </c>
      <c r="R325" s="181"/>
      <c r="S325" s="178"/>
      <c r="T325" s="178"/>
    </row>
    <row r="326" spans="1:20" ht="15" x14ac:dyDescent="0.25">
      <c r="A326" s="224" t="s">
        <v>129</v>
      </c>
      <c r="B326" s="83">
        <v>74452</v>
      </c>
      <c r="C326" s="182" t="str">
        <f>"PSR_"&amp;G326&amp;IF(L326=0,"_DN_","_UP_")&amp;Q326</f>
        <v>PSR_8770.11_DN_75 km/h</v>
      </c>
      <c r="D326" s="183" t="s">
        <v>1045</v>
      </c>
      <c r="E326" s="184" t="s">
        <v>187</v>
      </c>
      <c r="F326" s="184"/>
      <c r="G326" s="179">
        <v>8770.11</v>
      </c>
      <c r="H326" s="185">
        <f t="shared" si="36"/>
        <v>8770.11</v>
      </c>
      <c r="I326" s="230">
        <f>IF("generated"=1, "Path=MMRBEM_7_UP, Scaled Offset=8770.1100000000005820766091346740723", 9160.04998319135)</f>
        <v>9160.0499831913494</v>
      </c>
      <c r="J326" s="184"/>
      <c r="K326" s="184"/>
      <c r="L326" s="184"/>
      <c r="M326" s="184">
        <v>-2.5</v>
      </c>
      <c r="N326" s="184"/>
      <c r="O326" s="184"/>
      <c r="P326" s="184"/>
      <c r="Q326" s="180" t="s">
        <v>1049</v>
      </c>
      <c r="R326" s="184"/>
      <c r="S326" s="184"/>
      <c r="T326" s="184"/>
    </row>
    <row r="327" spans="1:20" ht="15" x14ac:dyDescent="0.25">
      <c r="A327" s="224" t="s">
        <v>129</v>
      </c>
      <c r="B327">
        <v>74453</v>
      </c>
      <c r="C327" s="182" t="str">
        <f t="shared" ref="C327:C341" si="42">"PSR_"&amp;G327&amp;IF(L327=0,"_DN_","_UP_")&amp;Q327</f>
        <v>PSR_8770.11_UP_80 km/h</v>
      </c>
      <c r="D327" s="183" t="s">
        <v>1045</v>
      </c>
      <c r="E327" s="183" t="str">
        <f>E326</f>
        <v>MMRBEM_7_UP</v>
      </c>
      <c r="F327" s="184"/>
      <c r="G327" s="179">
        <f>G326</f>
        <v>8770.11</v>
      </c>
      <c r="H327" s="185">
        <f t="shared" si="36"/>
        <v>8770.11</v>
      </c>
      <c r="I327" s="230">
        <f>IF("generated"=1, "Path=MMRBEM_7_UP, Scaled Offset=8770.1100000000005820766091346740723", 9160.04998319135)</f>
        <v>9160.0499831913494</v>
      </c>
      <c r="J327" s="184"/>
      <c r="K327" s="184"/>
      <c r="L327" s="184">
        <v>1</v>
      </c>
      <c r="M327" s="184">
        <v>2.5</v>
      </c>
      <c r="N327" s="184"/>
      <c r="O327" s="184"/>
      <c r="P327" s="184"/>
      <c r="Q327" s="184" t="str">
        <f>Q324</f>
        <v>80 km/h</v>
      </c>
      <c r="R327" s="184"/>
      <c r="S327" s="184"/>
      <c r="T327" s="184"/>
    </row>
    <row r="328" spans="1:20" ht="15" x14ac:dyDescent="0.25">
      <c r="A328" s="224" t="s">
        <v>129</v>
      </c>
      <c r="B328" s="83">
        <v>74454</v>
      </c>
      <c r="C328" s="176" t="str">
        <f t="shared" si="42"/>
        <v>PSR_9018.39_DN_80 km/h</v>
      </c>
      <c r="D328" s="177" t="s">
        <v>1045</v>
      </c>
      <c r="E328" s="177" t="s">
        <v>187</v>
      </c>
      <c r="F328" s="178"/>
      <c r="G328" s="179">
        <v>9018.39</v>
      </c>
      <c r="H328" s="179">
        <f t="shared" si="36"/>
        <v>9018.39</v>
      </c>
      <c r="I328" s="230">
        <f>IF("generated"=1, "Path=MMRBEM_7_UP, Scaled Offset=9018.3899999999994179233908653259277", 9403.75144432707)</f>
        <v>9403.7514443270702</v>
      </c>
      <c r="J328" s="178"/>
      <c r="K328" s="178"/>
      <c r="L328" s="178"/>
      <c r="M328" s="178">
        <v>-2.5</v>
      </c>
      <c r="N328" s="178"/>
      <c r="O328" s="178"/>
      <c r="P328" s="178"/>
      <c r="Q328" s="180" t="s">
        <v>1048</v>
      </c>
      <c r="R328" s="181"/>
      <c r="S328" s="178"/>
      <c r="T328" s="178"/>
    </row>
    <row r="329" spans="1:20" ht="15" x14ac:dyDescent="0.25">
      <c r="A329" s="224" t="s">
        <v>129</v>
      </c>
      <c r="B329">
        <v>74455</v>
      </c>
      <c r="C329" s="176" t="str">
        <f t="shared" si="42"/>
        <v>PSR_9018.39_UP_75 km/h</v>
      </c>
      <c r="D329" s="177" t="s">
        <v>1045</v>
      </c>
      <c r="E329" s="177" t="str">
        <f>E328</f>
        <v>MMRBEM_7_UP</v>
      </c>
      <c r="F329" s="178"/>
      <c r="G329" s="179">
        <f>G328</f>
        <v>9018.39</v>
      </c>
      <c r="H329" s="179">
        <f t="shared" si="36"/>
        <v>9018.39</v>
      </c>
      <c r="I329" s="230">
        <f>IF("generated"=1, "Path=MMRBEM_7_UP, Scaled Offset=9018.3899999999994179233908653259277", 9403.75144432707)</f>
        <v>9403.7514443270702</v>
      </c>
      <c r="J329" s="178"/>
      <c r="K329" s="178"/>
      <c r="L329" s="178">
        <v>1</v>
      </c>
      <c r="M329" s="178">
        <v>2.5</v>
      </c>
      <c r="N329" s="178"/>
      <c r="O329" s="178"/>
      <c r="P329" s="178"/>
      <c r="Q329" s="178" t="str">
        <f>Q326</f>
        <v>75 km/h</v>
      </c>
      <c r="R329" s="181"/>
      <c r="S329" s="178"/>
      <c r="T329" s="178"/>
    </row>
    <row r="330" spans="1:20" ht="15" x14ac:dyDescent="0.25">
      <c r="A330" s="224" t="s">
        <v>129</v>
      </c>
      <c r="B330" s="83">
        <v>74456</v>
      </c>
      <c r="C330" s="182" t="str">
        <f t="shared" si="42"/>
        <v>PSR_9188.83_DN_80 km/h</v>
      </c>
      <c r="D330" s="183" t="s">
        <v>1045</v>
      </c>
      <c r="E330" s="184" t="s">
        <v>187</v>
      </c>
      <c r="F330" s="184"/>
      <c r="G330" s="179">
        <v>9188.83</v>
      </c>
      <c r="H330" s="185">
        <f t="shared" si="36"/>
        <v>9188.83</v>
      </c>
      <c r="I330" s="230">
        <f>IF("generated"=1, "Path=MMRBEM_7_UP, Scaled Offset=9188.829999999999927240423858165741", 9571.04835521789)</f>
        <v>9571.0483552178903</v>
      </c>
      <c r="J330" s="184"/>
      <c r="K330" s="184"/>
      <c r="L330" s="184"/>
      <c r="M330" s="184">
        <v>-2.5</v>
      </c>
      <c r="N330" s="184"/>
      <c r="O330" s="184"/>
      <c r="P330" s="184"/>
      <c r="Q330" s="180" t="s">
        <v>1048</v>
      </c>
      <c r="R330" s="184"/>
      <c r="S330" s="184"/>
      <c r="T330" s="184"/>
    </row>
    <row r="331" spans="1:20" ht="15" x14ac:dyDescent="0.25">
      <c r="A331" s="224" t="s">
        <v>129</v>
      </c>
      <c r="B331">
        <v>74457</v>
      </c>
      <c r="C331" s="182" t="str">
        <f t="shared" si="42"/>
        <v>PSR_9188.83_UP_80 km/h</v>
      </c>
      <c r="D331" s="183" t="s">
        <v>1045</v>
      </c>
      <c r="E331" s="183" t="str">
        <f>E330</f>
        <v>MMRBEM_7_UP</v>
      </c>
      <c r="F331" s="184"/>
      <c r="G331" s="179">
        <f>G330</f>
        <v>9188.83</v>
      </c>
      <c r="H331" s="185">
        <f t="shared" si="36"/>
        <v>9188.83</v>
      </c>
      <c r="I331" s="230">
        <f>IF("generated"=1, "Path=MMRBEM_7_UP, Scaled Offset=9188.829999999999927240423858165741", 9571.04835521789)</f>
        <v>9571.0483552178903</v>
      </c>
      <c r="J331" s="184"/>
      <c r="K331" s="184"/>
      <c r="L331" s="184">
        <v>1</v>
      </c>
      <c r="M331" s="184">
        <v>2.5</v>
      </c>
      <c r="N331" s="184"/>
      <c r="O331" s="184"/>
      <c r="P331" s="184"/>
      <c r="Q331" s="184" t="str">
        <f>Q328</f>
        <v>80 km/h</v>
      </c>
      <c r="R331" s="184"/>
      <c r="S331" s="184"/>
      <c r="T331" s="184"/>
    </row>
    <row r="332" spans="1:20" ht="15" x14ac:dyDescent="0.25">
      <c r="A332" s="224" t="s">
        <v>129</v>
      </c>
      <c r="B332" s="83">
        <v>74458</v>
      </c>
      <c r="C332" s="176" t="str">
        <f t="shared" si="42"/>
        <v>PSR_9274.09_DN_80 km/h</v>
      </c>
      <c r="D332" s="177" t="s">
        <v>1045</v>
      </c>
      <c r="E332" s="177" t="s">
        <v>187</v>
      </c>
      <c r="F332" s="178"/>
      <c r="G332" s="179">
        <v>9274.09</v>
      </c>
      <c r="H332" s="179">
        <f t="shared" si="36"/>
        <v>9274.09</v>
      </c>
      <c r="I332" s="230">
        <f>IF("generated"=1, "Path=MMRBEM_7_UP, Scaled Offset=9274.0900000000001455191522836685181", 9654.7360730221)</f>
        <v>9654.7360730221008</v>
      </c>
      <c r="J332" s="178"/>
      <c r="K332" s="178"/>
      <c r="L332" s="178"/>
      <c r="M332" s="178">
        <v>-2.5</v>
      </c>
      <c r="N332" s="178"/>
      <c r="O332" s="178"/>
      <c r="P332" s="178"/>
      <c r="Q332" s="180" t="s">
        <v>1048</v>
      </c>
      <c r="R332" s="181"/>
      <c r="S332" s="178"/>
      <c r="T332" s="178"/>
    </row>
    <row r="333" spans="1:20" ht="15" x14ac:dyDescent="0.25">
      <c r="A333" s="224" t="s">
        <v>129</v>
      </c>
      <c r="B333">
        <v>74459</v>
      </c>
      <c r="C333" s="176" t="str">
        <f t="shared" si="42"/>
        <v>PSR_9274.09_UP_80 km/h</v>
      </c>
      <c r="D333" s="177" t="s">
        <v>1045</v>
      </c>
      <c r="E333" s="177" t="str">
        <f>E332</f>
        <v>MMRBEM_7_UP</v>
      </c>
      <c r="F333" s="178"/>
      <c r="G333" s="179">
        <f>G332</f>
        <v>9274.09</v>
      </c>
      <c r="H333" s="179">
        <f t="shared" si="36"/>
        <v>9274.09</v>
      </c>
      <c r="I333" s="230">
        <f>IF("generated"=1, "Path=MMRBEM_7_UP, Scaled Offset=9274.0900000000001455191522836685181", 9654.7360730221)</f>
        <v>9654.7360730221008</v>
      </c>
      <c r="J333" s="178"/>
      <c r="K333" s="178"/>
      <c r="L333" s="178">
        <v>1</v>
      </c>
      <c r="M333" s="178">
        <v>2.5</v>
      </c>
      <c r="N333" s="178"/>
      <c r="O333" s="178"/>
      <c r="P333" s="178"/>
      <c r="Q333" s="178" t="str">
        <f>Q330</f>
        <v>80 km/h</v>
      </c>
      <c r="R333" s="181"/>
      <c r="S333" s="178"/>
      <c r="T333" s="178"/>
    </row>
    <row r="334" spans="1:20" ht="15" x14ac:dyDescent="0.25">
      <c r="A334" s="224" t="s">
        <v>129</v>
      </c>
      <c r="B334" s="83">
        <v>74460</v>
      </c>
      <c r="C334" s="182" t="str">
        <f t="shared" si="42"/>
        <v>PSR_9496.86_DN_55 km/h</v>
      </c>
      <c r="D334" s="183" t="s">
        <v>1045</v>
      </c>
      <c r="E334" s="184" t="s">
        <v>187</v>
      </c>
      <c r="F334" s="184"/>
      <c r="G334" s="179">
        <v>9496.86</v>
      </c>
      <c r="H334" s="185">
        <f t="shared" si="36"/>
        <v>9496.86</v>
      </c>
      <c r="I334" s="230">
        <f>IF("generated"=1, "Path=MMRBEM_7_UP, Scaled Offset=9496.8600000000005820766091346740723", 9873.39796482653)</f>
        <v>9873.3979648265304</v>
      </c>
      <c r="J334" s="184"/>
      <c r="K334" s="184"/>
      <c r="L334" s="184"/>
      <c r="M334" s="184">
        <v>-2.5</v>
      </c>
      <c r="N334" s="184"/>
      <c r="O334" s="184"/>
      <c r="P334" s="184"/>
      <c r="Q334" s="180" t="s">
        <v>1050</v>
      </c>
      <c r="R334" s="184"/>
      <c r="S334" s="184"/>
      <c r="T334" s="184"/>
    </row>
    <row r="335" spans="1:20" ht="15" x14ac:dyDescent="0.25">
      <c r="A335" s="224" t="s">
        <v>129</v>
      </c>
      <c r="B335">
        <v>74461</v>
      </c>
      <c r="C335" s="182" t="str">
        <f t="shared" si="42"/>
        <v>PSR_9496.86_UP_80 km/h</v>
      </c>
      <c r="D335" s="183" t="s">
        <v>1045</v>
      </c>
      <c r="E335" s="183" t="str">
        <f>E334</f>
        <v>MMRBEM_7_UP</v>
      </c>
      <c r="F335" s="184"/>
      <c r="G335" s="179">
        <f>G334</f>
        <v>9496.86</v>
      </c>
      <c r="H335" s="185">
        <f t="shared" si="36"/>
        <v>9496.86</v>
      </c>
      <c r="I335" s="230">
        <f>IF("generated"=1, "Path=MMRBEM_7_UP, Scaled Offset=9496.8600000000005820766091346740723", 9873.39796482653)</f>
        <v>9873.3979648265304</v>
      </c>
      <c r="J335" s="184"/>
      <c r="K335" s="184"/>
      <c r="L335" s="184">
        <v>1</v>
      </c>
      <c r="M335" s="184">
        <v>2.5</v>
      </c>
      <c r="N335" s="184"/>
      <c r="O335" s="184"/>
      <c r="P335" s="184"/>
      <c r="Q335" s="184" t="str">
        <f>Q332</f>
        <v>80 km/h</v>
      </c>
      <c r="R335" s="184"/>
      <c r="S335" s="184"/>
      <c r="T335" s="184"/>
    </row>
    <row r="336" spans="1:20" ht="15" x14ac:dyDescent="0.25">
      <c r="A336" s="224" t="s">
        <v>129</v>
      </c>
      <c r="B336" s="83">
        <v>74462</v>
      </c>
      <c r="C336" s="176" t="str">
        <f t="shared" si="42"/>
        <v>PSR_9617.67_DN_80 km/h</v>
      </c>
      <c r="D336" s="177" t="s">
        <v>1045</v>
      </c>
      <c r="E336" s="177" t="s">
        <v>187</v>
      </c>
      <c r="F336" s="178"/>
      <c r="G336" s="179">
        <v>9617.67</v>
      </c>
      <c r="H336" s="179">
        <f t="shared" si="36"/>
        <v>9617.67</v>
      </c>
      <c r="I336" s="230">
        <f>IF("generated"=1, "Path=MMRBEM_7_UP, Scaled Offset=9617.670000000000072759576141834259", 9991.98010402343)</f>
        <v>9991.9801040234306</v>
      </c>
      <c r="J336" s="178"/>
      <c r="K336" s="178"/>
      <c r="L336" s="178"/>
      <c r="M336" s="178">
        <v>-2.5</v>
      </c>
      <c r="N336" s="178"/>
      <c r="O336" s="178"/>
      <c r="P336" s="178"/>
      <c r="Q336" s="180" t="s">
        <v>1048</v>
      </c>
      <c r="R336" s="181"/>
      <c r="S336" s="178"/>
      <c r="T336" s="178"/>
    </row>
    <row r="337" spans="1:20" ht="15" x14ac:dyDescent="0.25">
      <c r="A337" s="224" t="s">
        <v>129</v>
      </c>
      <c r="B337">
        <v>74463</v>
      </c>
      <c r="C337" s="176" t="str">
        <f t="shared" si="42"/>
        <v>PSR_9617.67_UP_55 km/h</v>
      </c>
      <c r="D337" s="177" t="s">
        <v>1045</v>
      </c>
      <c r="E337" s="177" t="str">
        <f>E336</f>
        <v>MMRBEM_7_UP</v>
      </c>
      <c r="F337" s="178"/>
      <c r="G337" s="179">
        <f>G336</f>
        <v>9617.67</v>
      </c>
      <c r="H337" s="179">
        <f t="shared" si="36"/>
        <v>9617.67</v>
      </c>
      <c r="I337" s="230">
        <f>IF("generated"=1, "Path=MMRBEM_7_UP, Scaled Offset=9617.670000000000072759576141834259", 9991.98010402343)</f>
        <v>9991.9801040234306</v>
      </c>
      <c r="J337" s="178"/>
      <c r="K337" s="178"/>
      <c r="L337" s="178">
        <v>1</v>
      </c>
      <c r="M337" s="178">
        <v>2.5</v>
      </c>
      <c r="N337" s="178"/>
      <c r="O337" s="178"/>
      <c r="P337" s="178"/>
      <c r="Q337" s="178" t="str">
        <f>Q334</f>
        <v>55 km/h</v>
      </c>
      <c r="R337" s="181"/>
      <c r="S337" s="178"/>
      <c r="T337" s="178"/>
    </row>
    <row r="338" spans="1:20" ht="15" x14ac:dyDescent="0.25">
      <c r="A338" s="224" t="s">
        <v>129</v>
      </c>
      <c r="B338" s="83">
        <v>74464</v>
      </c>
      <c r="C338" s="182" t="str">
        <f t="shared" si="42"/>
        <v>PSR_9681.13_DN_55 km/h</v>
      </c>
      <c r="D338" s="183" t="s">
        <v>1045</v>
      </c>
      <c r="E338" s="184" t="s">
        <v>187</v>
      </c>
      <c r="F338" s="184"/>
      <c r="G338" s="179">
        <v>9681.1299999999992</v>
      </c>
      <c r="H338" s="185">
        <f t="shared" si="36"/>
        <v>9681.1299999999992</v>
      </c>
      <c r="I338" s="230">
        <f>IF("generated"=1, "Path=MMRBEM_7_UP, Scaled Offset=9681.1299999999991996446624398231506", 10054.269836276)</f>
        <v>10054.269836276</v>
      </c>
      <c r="J338" s="184"/>
      <c r="K338" s="184"/>
      <c r="L338" s="184"/>
      <c r="M338" s="184">
        <v>-2.5</v>
      </c>
      <c r="N338" s="184"/>
      <c r="O338" s="184"/>
      <c r="P338" s="184"/>
      <c r="Q338" s="180" t="s">
        <v>1050</v>
      </c>
      <c r="R338" s="184"/>
      <c r="S338" s="184"/>
      <c r="T338" s="184"/>
    </row>
    <row r="339" spans="1:20" ht="15" x14ac:dyDescent="0.25">
      <c r="A339" s="224" t="s">
        <v>129</v>
      </c>
      <c r="B339">
        <v>74465</v>
      </c>
      <c r="C339" s="182" t="str">
        <f t="shared" si="42"/>
        <v>PSR_9681.13_UP_80 km/h</v>
      </c>
      <c r="D339" s="183" t="s">
        <v>1045</v>
      </c>
      <c r="E339" s="183" t="str">
        <f>E338</f>
        <v>MMRBEM_7_UP</v>
      </c>
      <c r="F339" s="184"/>
      <c r="G339" s="179">
        <f>G338</f>
        <v>9681.1299999999992</v>
      </c>
      <c r="H339" s="185">
        <f t="shared" si="36"/>
        <v>9681.1299999999992</v>
      </c>
      <c r="I339" s="230">
        <f>IF("generated"=1, "Path=MMRBEM_7_UP, Scaled Offset=9681.1299999999991996446624398231506", 10054.269836276)</f>
        <v>10054.269836276</v>
      </c>
      <c r="J339" s="184"/>
      <c r="K339" s="184"/>
      <c r="L339" s="184">
        <v>1</v>
      </c>
      <c r="M339" s="184">
        <v>2.5</v>
      </c>
      <c r="N339" s="184"/>
      <c r="O339" s="184"/>
      <c r="P339" s="184"/>
      <c r="Q339" s="184" t="str">
        <f>Q336</f>
        <v>80 km/h</v>
      </c>
      <c r="R339" s="184"/>
      <c r="S339" s="184"/>
      <c r="T339" s="184"/>
    </row>
    <row r="340" spans="1:20" ht="15" x14ac:dyDescent="0.25">
      <c r="A340" s="224" t="s">
        <v>129</v>
      </c>
      <c r="B340" s="83">
        <v>74466</v>
      </c>
      <c r="C340" s="176" t="str">
        <f t="shared" si="42"/>
        <v>PSR_9830.11_DN_80 km/h</v>
      </c>
      <c r="D340" s="177" t="s">
        <v>1045</v>
      </c>
      <c r="E340" s="177" t="s">
        <v>187</v>
      </c>
      <c r="F340" s="178"/>
      <c r="G340" s="179">
        <v>9830.11</v>
      </c>
      <c r="H340" s="179">
        <f t="shared" ref="H340:H403" si="43">G340+F340</f>
        <v>9830.11</v>
      </c>
      <c r="I340" s="230">
        <f>IF("generated"=1, "Path=MMRBEM_7_UP, Scaled Offset=9830.1100000000005820766091346740723", 10200.5024916651)</f>
        <v>10200.5024916651</v>
      </c>
      <c r="J340" s="178"/>
      <c r="K340" s="178"/>
      <c r="L340" s="178"/>
      <c r="M340" s="178">
        <v>-2.5</v>
      </c>
      <c r="N340" s="178"/>
      <c r="O340" s="178"/>
      <c r="P340" s="178"/>
      <c r="Q340" s="180" t="s">
        <v>1048</v>
      </c>
      <c r="R340" s="181"/>
      <c r="S340" s="178"/>
      <c r="T340" s="178"/>
    </row>
    <row r="341" spans="1:20" ht="15" x14ac:dyDescent="0.25">
      <c r="A341" s="224" t="s">
        <v>129</v>
      </c>
      <c r="B341">
        <v>74467</v>
      </c>
      <c r="C341" s="176" t="str">
        <f t="shared" si="42"/>
        <v>PSR_9830.11_UP_55 km/h</v>
      </c>
      <c r="D341" s="177" t="s">
        <v>1045</v>
      </c>
      <c r="E341" s="177" t="str">
        <f>E340</f>
        <v>MMRBEM_7_UP</v>
      </c>
      <c r="F341" s="178"/>
      <c r="G341" s="179">
        <f>G340</f>
        <v>9830.11</v>
      </c>
      <c r="H341" s="179">
        <f t="shared" si="43"/>
        <v>9830.11</v>
      </c>
      <c r="I341" s="230">
        <f>IF("generated"=1, "Path=MMRBEM_7_UP, Scaled Offset=9830.1100000000005820766091346740723", 10200.5024916651)</f>
        <v>10200.5024916651</v>
      </c>
      <c r="J341" s="178"/>
      <c r="K341" s="178"/>
      <c r="L341" s="178">
        <v>1</v>
      </c>
      <c r="M341" s="178">
        <v>2.5</v>
      </c>
      <c r="N341" s="178"/>
      <c r="O341" s="178"/>
      <c r="P341" s="178"/>
      <c r="Q341" s="178" t="str">
        <f>Q338</f>
        <v>55 km/h</v>
      </c>
      <c r="R341" s="181"/>
      <c r="S341" s="178"/>
      <c r="T341" s="178"/>
    </row>
    <row r="342" spans="1:20" ht="15" x14ac:dyDescent="0.25">
      <c r="A342" s="224" t="s">
        <v>129</v>
      </c>
      <c r="B342" s="83">
        <v>74468</v>
      </c>
      <c r="C342" s="182" t="str">
        <f>"PSR_"&amp;G342&amp;IF(L342=0,"_DN_","_UP_")&amp;Q342</f>
        <v>PSR_9877.75_DN_55 km/h</v>
      </c>
      <c r="D342" s="183" t="s">
        <v>1045</v>
      </c>
      <c r="E342" s="184" t="s">
        <v>187</v>
      </c>
      <c r="F342" s="184"/>
      <c r="G342" s="179">
        <v>9877.75</v>
      </c>
      <c r="H342" s="185">
        <f t="shared" si="43"/>
        <v>9877.75</v>
      </c>
      <c r="I342" s="230">
        <f>IF("generated"=1, "Path=MMRBEM_7_UP, Scaled Offset=9877.75", 10247.2639610082)</f>
        <v>10247.263961008201</v>
      </c>
      <c r="J342" s="184"/>
      <c r="K342" s="184"/>
      <c r="L342" s="184"/>
      <c r="M342" s="184">
        <v>-2.5</v>
      </c>
      <c r="N342" s="184"/>
      <c r="O342" s="184"/>
      <c r="P342" s="184"/>
      <c r="Q342" s="180" t="s">
        <v>1050</v>
      </c>
      <c r="R342" s="184"/>
      <c r="S342" s="184"/>
      <c r="T342" s="184"/>
    </row>
    <row r="343" spans="1:20" ht="15" x14ac:dyDescent="0.25">
      <c r="A343" s="224" t="s">
        <v>129</v>
      </c>
      <c r="B343">
        <v>74469</v>
      </c>
      <c r="C343" s="182" t="str">
        <f t="shared" ref="C343:C349" si="44">"PSR_"&amp;G343&amp;IF(L343=0,"_DN_","_UP_")&amp;Q343</f>
        <v>PSR_9877.75_UP_80 km/h</v>
      </c>
      <c r="D343" s="183" t="s">
        <v>1045</v>
      </c>
      <c r="E343" s="183" t="str">
        <f>E342</f>
        <v>MMRBEM_7_UP</v>
      </c>
      <c r="F343" s="184"/>
      <c r="G343" s="179">
        <f>G342</f>
        <v>9877.75</v>
      </c>
      <c r="H343" s="185">
        <f t="shared" si="43"/>
        <v>9877.75</v>
      </c>
      <c r="I343" s="230">
        <f>IF("generated"=1, "Path=MMRBEM_7_UP, Scaled Offset=9877.75", 10247.2639610082)</f>
        <v>10247.263961008201</v>
      </c>
      <c r="J343" s="184"/>
      <c r="K343" s="184"/>
      <c r="L343" s="184">
        <v>1</v>
      </c>
      <c r="M343" s="184">
        <v>2.5</v>
      </c>
      <c r="N343" s="184"/>
      <c r="O343" s="184"/>
      <c r="P343" s="184"/>
      <c r="Q343" s="184" t="str">
        <f>Q340</f>
        <v>80 km/h</v>
      </c>
      <c r="R343" s="184"/>
      <c r="S343" s="184"/>
      <c r="T343" s="184"/>
    </row>
    <row r="344" spans="1:20" ht="15" x14ac:dyDescent="0.25">
      <c r="A344" s="224" t="s">
        <v>129</v>
      </c>
      <c r="B344" s="83">
        <v>74470</v>
      </c>
      <c r="C344" s="176" t="str">
        <f t="shared" si="44"/>
        <v>PSR_9986.8_DN_80 km/h</v>
      </c>
      <c r="D344" s="177" t="s">
        <v>1045</v>
      </c>
      <c r="E344" s="177" t="s">
        <v>187</v>
      </c>
      <c r="F344" s="178"/>
      <c r="G344" s="179">
        <v>9986.7999999999993</v>
      </c>
      <c r="H344" s="179">
        <f t="shared" si="43"/>
        <v>9986.7999999999993</v>
      </c>
      <c r="I344" s="230">
        <f>IF("generated"=1, "Path=MMRBEM_7_UP, Scaled Offset=9986.7999999999992724042385816574097", 10354.3029667148)</f>
        <v>10354.3029667148</v>
      </c>
      <c r="J344" s="178"/>
      <c r="K344" s="178"/>
      <c r="L344" s="178"/>
      <c r="M344" s="178">
        <v>-2.5</v>
      </c>
      <c r="N344" s="178"/>
      <c r="O344" s="178"/>
      <c r="P344" s="178"/>
      <c r="Q344" s="180" t="s">
        <v>1048</v>
      </c>
      <c r="R344" s="181"/>
      <c r="S344" s="178"/>
      <c r="T344" s="178"/>
    </row>
    <row r="345" spans="1:20" ht="15" x14ac:dyDescent="0.25">
      <c r="A345" s="224" t="s">
        <v>129</v>
      </c>
      <c r="B345">
        <v>74471</v>
      </c>
      <c r="C345" s="176" t="str">
        <f t="shared" si="44"/>
        <v>PSR_9986.8_UP_55 km/h</v>
      </c>
      <c r="D345" s="177" t="s">
        <v>1045</v>
      </c>
      <c r="E345" s="177" t="str">
        <f>E344</f>
        <v>MMRBEM_7_UP</v>
      </c>
      <c r="F345" s="178"/>
      <c r="G345" s="179">
        <f>G344</f>
        <v>9986.7999999999993</v>
      </c>
      <c r="H345" s="179">
        <f t="shared" si="43"/>
        <v>9986.7999999999993</v>
      </c>
      <c r="I345" s="230">
        <f>IF("generated"=1, "Path=MMRBEM_7_UP, Scaled Offset=9986.7999999999992724042385816574097", 10354.3029667148)</f>
        <v>10354.3029667148</v>
      </c>
      <c r="J345" s="178"/>
      <c r="K345" s="178"/>
      <c r="L345" s="178">
        <v>1</v>
      </c>
      <c r="M345" s="178">
        <v>2.5</v>
      </c>
      <c r="N345" s="178"/>
      <c r="O345" s="178"/>
      <c r="P345" s="178"/>
      <c r="Q345" s="178" t="str">
        <f>Q342</f>
        <v>55 km/h</v>
      </c>
      <c r="R345" s="181"/>
      <c r="S345" s="178"/>
      <c r="T345" s="178"/>
    </row>
    <row r="346" spans="1:20" ht="15" x14ac:dyDescent="0.25">
      <c r="A346" s="224" t="s">
        <v>129</v>
      </c>
      <c r="B346" s="83">
        <v>74472</v>
      </c>
      <c r="C346" s="182" t="str">
        <f t="shared" si="44"/>
        <v>PSR_10423.85_DN_80 km/h</v>
      </c>
      <c r="D346" s="183" t="s">
        <v>1045</v>
      </c>
      <c r="E346" s="184" t="s">
        <v>187</v>
      </c>
      <c r="F346" s="184"/>
      <c r="G346" s="179">
        <v>10423.85</v>
      </c>
      <c r="H346" s="185">
        <f t="shared" si="43"/>
        <v>10423.85</v>
      </c>
      <c r="I346" s="230">
        <f>IF("generated"=1, "Path=MMRBEM_7_UP, Scaled Offset=10423.850000000000363797880709171295", 10783.2933146662)</f>
        <v>10783.2933146662</v>
      </c>
      <c r="J346" s="184"/>
      <c r="K346" s="184"/>
      <c r="L346" s="184"/>
      <c r="M346" s="184">
        <v>-2.5</v>
      </c>
      <c r="N346" s="184"/>
      <c r="O346" s="184"/>
      <c r="P346" s="184"/>
      <c r="Q346" s="180" t="s">
        <v>1048</v>
      </c>
      <c r="R346" s="184"/>
      <c r="S346" s="184"/>
      <c r="T346" s="184"/>
    </row>
    <row r="347" spans="1:20" ht="15" x14ac:dyDescent="0.25">
      <c r="A347" s="224" t="s">
        <v>129</v>
      </c>
      <c r="B347">
        <v>74473</v>
      </c>
      <c r="C347" s="182" t="str">
        <f t="shared" si="44"/>
        <v>PSR_10423.85_UP_80 km/h</v>
      </c>
      <c r="D347" s="183" t="s">
        <v>1045</v>
      </c>
      <c r="E347" s="183" t="str">
        <f>E346</f>
        <v>MMRBEM_7_UP</v>
      </c>
      <c r="F347" s="184"/>
      <c r="G347" s="179">
        <f>G346</f>
        <v>10423.85</v>
      </c>
      <c r="H347" s="185">
        <f t="shared" si="43"/>
        <v>10423.85</v>
      </c>
      <c r="I347" s="230">
        <f>IF("generated"=1, "Path=MMRBEM_7_UP, Scaled Offset=10423.850000000000363797880709171295", 10783.2933146662)</f>
        <v>10783.2933146662</v>
      </c>
      <c r="J347" s="184"/>
      <c r="K347" s="184"/>
      <c r="L347" s="184">
        <v>1</v>
      </c>
      <c r="M347" s="184">
        <v>2.5</v>
      </c>
      <c r="N347" s="184"/>
      <c r="O347" s="184"/>
      <c r="P347" s="184"/>
      <c r="Q347" s="184" t="str">
        <f>Q344</f>
        <v>80 km/h</v>
      </c>
      <c r="R347" s="184"/>
      <c r="S347" s="184"/>
      <c r="T347" s="184"/>
    </row>
    <row r="348" spans="1:20" ht="15" x14ac:dyDescent="0.25">
      <c r="A348" s="224" t="s">
        <v>129</v>
      </c>
      <c r="B348" s="83">
        <v>74474</v>
      </c>
      <c r="C348" s="176" t="str">
        <f t="shared" si="44"/>
        <v>PSR_10500.36_DN_80 km/h</v>
      </c>
      <c r="D348" s="177" t="s">
        <v>1045</v>
      </c>
      <c r="E348" s="177" t="s">
        <v>187</v>
      </c>
      <c r="F348" s="178"/>
      <c r="G348" s="179">
        <v>10500.36</v>
      </c>
      <c r="H348" s="179">
        <f t="shared" si="43"/>
        <v>10500.36</v>
      </c>
      <c r="I348" s="230">
        <f>IF("generated"=1, "Path=MMRBEM_7_UP, Scaled Offset=10500.360000000000582076609134674072", 10858.3923914806)</f>
        <v>10858.3923914806</v>
      </c>
      <c r="J348" s="178"/>
      <c r="K348" s="178"/>
      <c r="L348" s="178"/>
      <c r="M348" s="178">
        <v>-2.5</v>
      </c>
      <c r="N348" s="178"/>
      <c r="O348" s="178"/>
      <c r="P348" s="178"/>
      <c r="Q348" s="180" t="s">
        <v>1048</v>
      </c>
      <c r="R348" s="181"/>
      <c r="S348" s="178"/>
      <c r="T348" s="178"/>
    </row>
    <row r="349" spans="1:20" ht="15" x14ac:dyDescent="0.25">
      <c r="A349" s="224" t="s">
        <v>129</v>
      </c>
      <c r="B349">
        <v>74475</v>
      </c>
      <c r="C349" s="176" t="str">
        <f t="shared" si="44"/>
        <v>PSR_10500.36_UP_80 km/h</v>
      </c>
      <c r="D349" s="177" t="s">
        <v>1045</v>
      </c>
      <c r="E349" s="177" t="str">
        <f>E348</f>
        <v>MMRBEM_7_UP</v>
      </c>
      <c r="F349" s="178"/>
      <c r="G349" s="179">
        <f>G348</f>
        <v>10500.36</v>
      </c>
      <c r="H349" s="179">
        <f t="shared" si="43"/>
        <v>10500.36</v>
      </c>
      <c r="I349" s="230">
        <f>IF("generated"=1, "Path=MMRBEM_7_UP, Scaled Offset=10500.360000000000582076609134674072", 10858.3923914806)</f>
        <v>10858.3923914806</v>
      </c>
      <c r="J349" s="178"/>
      <c r="K349" s="178"/>
      <c r="L349" s="178">
        <v>1</v>
      </c>
      <c r="M349" s="178">
        <v>2.5</v>
      </c>
      <c r="N349" s="178"/>
      <c r="O349" s="178"/>
      <c r="P349" s="178"/>
      <c r="Q349" s="178" t="str">
        <f>Q346</f>
        <v>80 km/h</v>
      </c>
      <c r="R349" s="181"/>
      <c r="S349" s="178"/>
      <c r="T349" s="178"/>
    </row>
    <row r="350" spans="1:20" ht="15" x14ac:dyDescent="0.25">
      <c r="A350" s="224" t="s">
        <v>129</v>
      </c>
      <c r="B350" s="83">
        <v>74476</v>
      </c>
      <c r="C350" s="182" t="str">
        <f>"PSR_"&amp;G350&amp;IF(L350=0,"_DN_","_UP_")&amp;Q350</f>
        <v>PSR_10540.53_DN_70 km/h</v>
      </c>
      <c r="D350" s="183" t="s">
        <v>1045</v>
      </c>
      <c r="E350" s="184" t="s">
        <v>187</v>
      </c>
      <c r="F350" s="184"/>
      <c r="G350" s="179">
        <v>10540.53</v>
      </c>
      <c r="H350" s="185">
        <f t="shared" si="43"/>
        <v>10540.53</v>
      </c>
      <c r="I350" s="230">
        <f>IF("generated"=1, "Path=MMRBEM_7_UP, Scaled Offset=10540.530000000000654836185276508331", 10897.8216153159)</f>
        <v>10897.821615315899</v>
      </c>
      <c r="J350" s="184"/>
      <c r="K350" s="184"/>
      <c r="L350" s="184"/>
      <c r="M350" s="184">
        <v>-2.5</v>
      </c>
      <c r="N350" s="184"/>
      <c r="O350" s="184"/>
      <c r="P350" s="184"/>
      <c r="Q350" s="180" t="s">
        <v>1047</v>
      </c>
      <c r="R350" s="184"/>
      <c r="S350" s="184"/>
      <c r="T350" s="184"/>
    </row>
    <row r="351" spans="1:20" ht="15" x14ac:dyDescent="0.25">
      <c r="A351" s="224" t="s">
        <v>129</v>
      </c>
      <c r="B351">
        <v>74477</v>
      </c>
      <c r="C351" s="182" t="str">
        <f t="shared" ref="C351:C359" si="45">"PSR_"&amp;G351&amp;IF(L351=0,"_DN_","_UP_")&amp;Q351</f>
        <v>PSR_10540.53_UP_80 km/h</v>
      </c>
      <c r="D351" s="183" t="s">
        <v>1045</v>
      </c>
      <c r="E351" s="183" t="str">
        <f>E350</f>
        <v>MMRBEM_7_UP</v>
      </c>
      <c r="F351" s="184"/>
      <c r="G351" s="179">
        <f>G350</f>
        <v>10540.53</v>
      </c>
      <c r="H351" s="185">
        <f t="shared" si="43"/>
        <v>10540.53</v>
      </c>
      <c r="I351" s="230">
        <f>IF("generated"=1, "Path=MMRBEM_7_UP, Scaled Offset=10540.530000000000654836185276508331", 10897.8216153159)</f>
        <v>10897.821615315899</v>
      </c>
      <c r="J351" s="184"/>
      <c r="K351" s="184"/>
      <c r="L351" s="184">
        <v>1</v>
      </c>
      <c r="M351" s="184">
        <v>2.5</v>
      </c>
      <c r="N351" s="184"/>
      <c r="O351" s="184"/>
      <c r="P351" s="184"/>
      <c r="Q351" s="184" t="str">
        <f>Q348</f>
        <v>80 km/h</v>
      </c>
      <c r="R351" s="184"/>
      <c r="S351" s="184"/>
      <c r="T351" s="184"/>
    </row>
    <row r="352" spans="1:20" ht="15" x14ac:dyDescent="0.25">
      <c r="A352" s="224" t="s">
        <v>129</v>
      </c>
      <c r="B352" s="83">
        <v>74478</v>
      </c>
      <c r="C352" s="176" t="str">
        <f t="shared" si="45"/>
        <v>PSR_10708.7_DN_70 km/h</v>
      </c>
      <c r="D352" s="177" t="s">
        <v>1045</v>
      </c>
      <c r="E352" s="177" t="s">
        <v>187</v>
      </c>
      <c r="F352" s="178"/>
      <c r="G352" s="179">
        <v>10708.7</v>
      </c>
      <c r="H352" s="179">
        <f t="shared" si="43"/>
        <v>10708.7</v>
      </c>
      <c r="I352" s="230">
        <f>IF("generated"=1, "Path=MMRBEM_7_UP, Scaled Offset=10708.70000000000072759576141834259", 11062.8903873443)</f>
        <v>11062.8903873443</v>
      </c>
      <c r="J352" s="178"/>
      <c r="K352" s="178"/>
      <c r="L352" s="178"/>
      <c r="M352" s="178">
        <v>-2.5</v>
      </c>
      <c r="N352" s="178"/>
      <c r="O352" s="178"/>
      <c r="P352" s="178"/>
      <c r="Q352" s="180" t="s">
        <v>1047</v>
      </c>
      <c r="R352" s="181"/>
      <c r="S352" s="178"/>
      <c r="T352" s="178"/>
    </row>
    <row r="353" spans="1:20" ht="15" x14ac:dyDescent="0.25">
      <c r="A353" s="224" t="s">
        <v>129</v>
      </c>
      <c r="B353">
        <v>74479</v>
      </c>
      <c r="C353" s="176" t="str">
        <f t="shared" si="45"/>
        <v>PSR_10708.7_UP_70 km/h</v>
      </c>
      <c r="D353" s="177" t="s">
        <v>1045</v>
      </c>
      <c r="E353" s="177" t="str">
        <f>E352</f>
        <v>MMRBEM_7_UP</v>
      </c>
      <c r="F353" s="178"/>
      <c r="G353" s="179">
        <f>G352</f>
        <v>10708.7</v>
      </c>
      <c r="H353" s="179">
        <f t="shared" si="43"/>
        <v>10708.7</v>
      </c>
      <c r="I353" s="230">
        <f>IF("generated"=1, "Path=MMRBEM_7_UP, Scaled Offset=10708.70000000000072759576141834259", 11062.8903873443)</f>
        <v>11062.8903873443</v>
      </c>
      <c r="J353" s="178"/>
      <c r="K353" s="178"/>
      <c r="L353" s="178">
        <v>1</v>
      </c>
      <c r="M353" s="178">
        <v>2.5</v>
      </c>
      <c r="N353" s="178"/>
      <c r="O353" s="178"/>
      <c r="P353" s="178"/>
      <c r="Q353" s="178" t="str">
        <f>Q350</f>
        <v>70 km/h</v>
      </c>
      <c r="R353" s="181"/>
      <c r="S353" s="178"/>
      <c r="T353" s="178"/>
    </row>
    <row r="354" spans="1:20" ht="15" x14ac:dyDescent="0.25">
      <c r="A354" s="224" t="s">
        <v>129</v>
      </c>
      <c r="B354" s="83">
        <v>74480</v>
      </c>
      <c r="C354" s="182" t="str">
        <f t="shared" si="45"/>
        <v>PSR_11066.68_DN_70 km/h</v>
      </c>
      <c r="D354" s="183" t="s">
        <v>1045</v>
      </c>
      <c r="E354" s="184" t="s">
        <v>187</v>
      </c>
      <c r="F354" s="184"/>
      <c r="G354" s="179">
        <v>11066.68</v>
      </c>
      <c r="H354" s="185">
        <f t="shared" si="43"/>
        <v>11066.68</v>
      </c>
      <c r="I354" s="230">
        <f>IF("generated"=1, "Path=MMRBEM_7_UP, Scaled Offset=11066.680000000000291038304567337036", 11414.2688675173)</f>
        <v>11414.268867517299</v>
      </c>
      <c r="J354" s="184"/>
      <c r="K354" s="184"/>
      <c r="L354" s="184"/>
      <c r="M354" s="184">
        <v>-2.5</v>
      </c>
      <c r="N354" s="184"/>
      <c r="O354" s="184"/>
      <c r="P354" s="184"/>
      <c r="Q354" s="180" t="s">
        <v>1047</v>
      </c>
      <c r="R354" s="184"/>
      <c r="S354" s="184"/>
      <c r="T354" s="184"/>
    </row>
    <row r="355" spans="1:20" ht="15" x14ac:dyDescent="0.25">
      <c r="A355" s="224" t="s">
        <v>129</v>
      </c>
      <c r="B355">
        <v>74481</v>
      </c>
      <c r="C355" s="182" t="str">
        <f t="shared" si="45"/>
        <v>PSR_11066.68_UP_70 km/h</v>
      </c>
      <c r="D355" s="183" t="s">
        <v>1045</v>
      </c>
      <c r="E355" s="183" t="str">
        <f>E354</f>
        <v>MMRBEM_7_UP</v>
      </c>
      <c r="F355" s="184"/>
      <c r="G355" s="179">
        <f>G354</f>
        <v>11066.68</v>
      </c>
      <c r="H355" s="185">
        <f t="shared" si="43"/>
        <v>11066.68</v>
      </c>
      <c r="I355" s="230">
        <f>IF("generated"=1, "Path=MMRBEM_7_UP, Scaled Offset=11066.680000000000291038304567337036", 11414.2688675173)</f>
        <v>11414.268867517299</v>
      </c>
      <c r="J355" s="184"/>
      <c r="K355" s="184"/>
      <c r="L355" s="184">
        <v>1</v>
      </c>
      <c r="M355" s="184">
        <v>2.5</v>
      </c>
      <c r="N355" s="184"/>
      <c r="O355" s="184"/>
      <c r="P355" s="184"/>
      <c r="Q355" s="184" t="str">
        <f>Q352</f>
        <v>70 km/h</v>
      </c>
      <c r="R355" s="184"/>
      <c r="S355" s="184"/>
      <c r="T355" s="184"/>
    </row>
    <row r="356" spans="1:20" ht="15" x14ac:dyDescent="0.25">
      <c r="A356" s="224" t="s">
        <v>129</v>
      </c>
      <c r="B356" s="83">
        <v>74482</v>
      </c>
      <c r="C356" s="176" t="str">
        <f t="shared" si="45"/>
        <v>PSR_11332.52_DN_80 km/h</v>
      </c>
      <c r="D356" s="177" t="s">
        <v>1045</v>
      </c>
      <c r="E356" s="177" t="s">
        <v>187</v>
      </c>
      <c r="F356" s="178"/>
      <c r="G356" s="179">
        <v>11332.52</v>
      </c>
      <c r="H356" s="179">
        <f t="shared" si="43"/>
        <v>11332.52</v>
      </c>
      <c r="I356" s="230">
        <f>IF("generated"=1, "Path=MMRBEM_7_UP, Scaled Offset=11332.520000000000436557456851005554", 11675.2065041708)</f>
        <v>11675.206504170799</v>
      </c>
      <c r="J356" s="178"/>
      <c r="K356" s="178"/>
      <c r="L356" s="178"/>
      <c r="M356" s="178">
        <v>-2.5</v>
      </c>
      <c r="N356" s="178"/>
      <c r="O356" s="178"/>
      <c r="P356" s="178"/>
      <c r="Q356" s="180" t="s">
        <v>1048</v>
      </c>
      <c r="R356" s="181"/>
      <c r="S356" s="178"/>
      <c r="T356" s="178"/>
    </row>
    <row r="357" spans="1:20" ht="15" x14ac:dyDescent="0.25">
      <c r="A357" s="224" t="s">
        <v>129</v>
      </c>
      <c r="B357">
        <v>74483</v>
      </c>
      <c r="C357" s="176" t="str">
        <f t="shared" si="45"/>
        <v>PSR_11332.52_UP_70 km/h</v>
      </c>
      <c r="D357" s="177" t="s">
        <v>1045</v>
      </c>
      <c r="E357" s="177" t="str">
        <f>E356</f>
        <v>MMRBEM_7_UP</v>
      </c>
      <c r="F357" s="178"/>
      <c r="G357" s="179">
        <f>G356</f>
        <v>11332.52</v>
      </c>
      <c r="H357" s="179">
        <f t="shared" si="43"/>
        <v>11332.52</v>
      </c>
      <c r="I357" s="230">
        <f>IF("generated"=1, "Path=MMRBEM_7_UP, Scaled Offset=11332.520000000000436557456851005554", 11675.2065041708)</f>
        <v>11675.206504170799</v>
      </c>
      <c r="J357" s="178"/>
      <c r="K357" s="178"/>
      <c r="L357" s="178">
        <v>1</v>
      </c>
      <c r="M357" s="178">
        <v>2.5</v>
      </c>
      <c r="N357" s="178"/>
      <c r="O357" s="178"/>
      <c r="P357" s="178"/>
      <c r="Q357" s="178" t="str">
        <f>Q354</f>
        <v>70 km/h</v>
      </c>
      <c r="R357" s="181"/>
      <c r="S357" s="178"/>
      <c r="T357" s="178"/>
    </row>
    <row r="358" spans="1:20" ht="15" x14ac:dyDescent="0.25">
      <c r="A358" s="224" t="s">
        <v>129</v>
      </c>
      <c r="B358" s="83">
        <v>74484</v>
      </c>
      <c r="C358" s="182" t="str">
        <f t="shared" si="45"/>
        <v>PSR_11435.99_DN_80 km/h</v>
      </c>
      <c r="D358" s="183" t="s">
        <v>1045</v>
      </c>
      <c r="E358" s="184" t="s">
        <v>187</v>
      </c>
      <c r="F358" s="184"/>
      <c r="G358" s="179">
        <v>11435.99</v>
      </c>
      <c r="H358" s="185">
        <f t="shared" si="43"/>
        <v>11435.99</v>
      </c>
      <c r="I358" s="230">
        <f>IF("generated"=1, "Path=MMRBEM_7_UP, Scaled Offset=11435.989999999999781721271574497223", 11776.7684108234)</f>
        <v>11776.768410823401</v>
      </c>
      <c r="J358" s="184"/>
      <c r="K358" s="184"/>
      <c r="L358" s="184"/>
      <c r="M358" s="184">
        <v>-2.5</v>
      </c>
      <c r="N358" s="184"/>
      <c r="O358" s="184"/>
      <c r="P358" s="184"/>
      <c r="Q358" s="180" t="s">
        <v>1048</v>
      </c>
      <c r="R358" s="184"/>
      <c r="S358" s="184"/>
      <c r="T358" s="184"/>
    </row>
    <row r="359" spans="1:20" ht="15" x14ac:dyDescent="0.25">
      <c r="A359" s="224" t="s">
        <v>129</v>
      </c>
      <c r="B359">
        <v>74485</v>
      </c>
      <c r="C359" s="182" t="str">
        <f t="shared" si="45"/>
        <v>PSR_11435.99_UP_80 km/h</v>
      </c>
      <c r="D359" s="183" t="s">
        <v>1045</v>
      </c>
      <c r="E359" s="183" t="str">
        <f>E358</f>
        <v>MMRBEM_7_UP</v>
      </c>
      <c r="F359" s="184"/>
      <c r="G359" s="179">
        <f>G358</f>
        <v>11435.99</v>
      </c>
      <c r="H359" s="185">
        <f t="shared" si="43"/>
        <v>11435.99</v>
      </c>
      <c r="I359" s="230">
        <f>IF("generated"=1, "Path=MMRBEM_7_UP, Scaled Offset=11435.989999999999781721271574497223", 11776.7684108234)</f>
        <v>11776.768410823401</v>
      </c>
      <c r="J359" s="184"/>
      <c r="K359" s="184"/>
      <c r="L359" s="184">
        <v>1</v>
      </c>
      <c r="M359" s="184">
        <v>2.5</v>
      </c>
      <c r="N359" s="184"/>
      <c r="O359" s="184"/>
      <c r="P359" s="184"/>
      <c r="Q359" s="184" t="str">
        <f>Q356</f>
        <v>80 km/h</v>
      </c>
      <c r="R359" s="184"/>
      <c r="S359" s="184"/>
      <c r="T359" s="184"/>
    </row>
    <row r="360" spans="1:20" ht="15" x14ac:dyDescent="0.25">
      <c r="A360" s="224" t="s">
        <v>129</v>
      </c>
      <c r="B360" s="83">
        <v>74486</v>
      </c>
      <c r="C360" s="176" t="str">
        <f>"PSR_"&amp;G360&amp;IF(L360=0,"_DN_","_UP_")&amp;Q360</f>
        <v>PSR_11520.71_DN_80 km/h</v>
      </c>
      <c r="D360" s="177" t="s">
        <v>1045</v>
      </c>
      <c r="E360" s="177" t="s">
        <v>187</v>
      </c>
      <c r="F360" s="178"/>
      <c r="G360" s="179">
        <v>11520.71</v>
      </c>
      <c r="H360" s="179">
        <f t="shared" si="43"/>
        <v>11520.71</v>
      </c>
      <c r="I360" s="230">
        <f>IF("generated"=1, "Path=MMRBEM_7_UP, Scaled Offset=11520.709999999999126885086297988892", 11859.9260867837)</f>
        <v>11859.9260867837</v>
      </c>
      <c r="J360" s="178"/>
      <c r="K360" s="178"/>
      <c r="L360" s="178"/>
      <c r="M360" s="178">
        <v>-2.5</v>
      </c>
      <c r="N360" s="178"/>
      <c r="O360" s="178"/>
      <c r="P360" s="178"/>
      <c r="Q360" s="180" t="s">
        <v>1048</v>
      </c>
      <c r="R360" s="181"/>
      <c r="S360" s="178"/>
      <c r="T360" s="178"/>
    </row>
    <row r="361" spans="1:20" ht="15" x14ac:dyDescent="0.25">
      <c r="A361" s="224" t="s">
        <v>129</v>
      </c>
      <c r="B361">
        <v>74487</v>
      </c>
      <c r="C361" s="176" t="str">
        <f t="shared" ref="C361:C367" si="46">"PSR_"&amp;G361&amp;IF(L361=0,"_DN_","_UP_")&amp;Q361</f>
        <v>PSR_11520.71_UP_80 km/h</v>
      </c>
      <c r="D361" s="177" t="s">
        <v>1045</v>
      </c>
      <c r="E361" s="177" t="str">
        <f>E360</f>
        <v>MMRBEM_7_UP</v>
      </c>
      <c r="F361" s="178"/>
      <c r="G361" s="179">
        <f>G360</f>
        <v>11520.71</v>
      </c>
      <c r="H361" s="179">
        <f t="shared" si="43"/>
        <v>11520.71</v>
      </c>
      <c r="I361" s="230">
        <f>IF("generated"=1, "Path=MMRBEM_7_UP, Scaled Offset=11520.709999999999126885086297988892", 11859.9260867837)</f>
        <v>11859.9260867837</v>
      </c>
      <c r="J361" s="178"/>
      <c r="K361" s="178"/>
      <c r="L361" s="178">
        <v>1</v>
      </c>
      <c r="M361" s="178">
        <v>2.5</v>
      </c>
      <c r="N361" s="178"/>
      <c r="O361" s="178"/>
      <c r="P361" s="178"/>
      <c r="Q361" s="178" t="str">
        <f>Q358</f>
        <v>80 km/h</v>
      </c>
      <c r="R361" s="181"/>
      <c r="S361" s="178"/>
      <c r="T361" s="178"/>
    </row>
    <row r="362" spans="1:20" ht="15" x14ac:dyDescent="0.25">
      <c r="A362" s="224" t="s">
        <v>129</v>
      </c>
      <c r="B362" s="83">
        <v>74488</v>
      </c>
      <c r="C362" s="182" t="str">
        <f t="shared" si="46"/>
        <v>PSR_11547.6_DN_80 km/h</v>
      </c>
      <c r="D362" s="183" t="s">
        <v>1045</v>
      </c>
      <c r="E362" s="184" t="s">
        <v>187</v>
      </c>
      <c r="F362" s="184"/>
      <c r="G362" s="179">
        <v>11547.6</v>
      </c>
      <c r="H362" s="185">
        <f t="shared" si="43"/>
        <v>11547.6</v>
      </c>
      <c r="I362" s="230">
        <f>IF("generated"=1, "Path=MMRBEM_7_UP, Scaled Offset=11547.600000000000363797880709171295", 11886.3202074939)</f>
        <v>11886.3202074939</v>
      </c>
      <c r="J362" s="184"/>
      <c r="K362" s="184"/>
      <c r="L362" s="184"/>
      <c r="M362" s="184">
        <v>-2.5</v>
      </c>
      <c r="N362" s="184"/>
      <c r="O362" s="184"/>
      <c r="P362" s="184"/>
      <c r="Q362" s="180" t="s">
        <v>1048</v>
      </c>
      <c r="R362" s="184"/>
      <c r="S362" s="184"/>
      <c r="T362" s="184"/>
    </row>
    <row r="363" spans="1:20" ht="15" x14ac:dyDescent="0.25">
      <c r="A363" s="224" t="s">
        <v>129</v>
      </c>
      <c r="B363">
        <v>74489</v>
      </c>
      <c r="C363" s="182" t="str">
        <f t="shared" si="46"/>
        <v>PSR_11547.6_UP_80 km/h</v>
      </c>
      <c r="D363" s="183" t="s">
        <v>1045</v>
      </c>
      <c r="E363" s="183" t="str">
        <f>E362</f>
        <v>MMRBEM_7_UP</v>
      </c>
      <c r="F363" s="184"/>
      <c r="G363" s="179">
        <f>G362</f>
        <v>11547.6</v>
      </c>
      <c r="H363" s="185">
        <f t="shared" si="43"/>
        <v>11547.6</v>
      </c>
      <c r="I363" s="230">
        <f>IF("generated"=1, "Path=MMRBEM_7_UP, Scaled Offset=11547.600000000000363797880709171295", 11886.3202074939)</f>
        <v>11886.3202074939</v>
      </c>
      <c r="J363" s="184"/>
      <c r="K363" s="184"/>
      <c r="L363" s="184">
        <v>1</v>
      </c>
      <c r="M363" s="184">
        <v>2.5</v>
      </c>
      <c r="N363" s="184"/>
      <c r="O363" s="184"/>
      <c r="P363" s="184"/>
      <c r="Q363" s="184" t="str">
        <f>Q360</f>
        <v>80 km/h</v>
      </c>
      <c r="R363" s="184"/>
      <c r="S363" s="184"/>
      <c r="T363" s="184"/>
    </row>
    <row r="364" spans="1:20" ht="15" x14ac:dyDescent="0.25">
      <c r="A364" s="224" t="s">
        <v>129</v>
      </c>
      <c r="B364" s="83">
        <v>74490</v>
      </c>
      <c r="C364" s="176" t="str">
        <f t="shared" si="46"/>
        <v>PSR_11657.65_DN_80 km/h</v>
      </c>
      <c r="D364" s="177" t="s">
        <v>1045</v>
      </c>
      <c r="E364" s="177" t="s">
        <v>187</v>
      </c>
      <c r="F364" s="178"/>
      <c r="G364" s="179">
        <v>11657.65</v>
      </c>
      <c r="H364" s="179">
        <f t="shared" si="43"/>
        <v>11657.65</v>
      </c>
      <c r="I364" s="230">
        <f>IF("generated"=1, "Path=MMRBEM_7_UP, Scaled Offset=11657.649999999999636202119290828705", 11994.3407721708)</f>
        <v>11994.340772170801</v>
      </c>
      <c r="J364" s="178"/>
      <c r="K364" s="178"/>
      <c r="L364" s="178"/>
      <c r="M364" s="178">
        <v>-2.5</v>
      </c>
      <c r="N364" s="178"/>
      <c r="O364" s="178"/>
      <c r="P364" s="178"/>
      <c r="Q364" s="180" t="s">
        <v>1048</v>
      </c>
      <c r="R364" s="181"/>
      <c r="S364" s="178"/>
      <c r="T364" s="178"/>
    </row>
    <row r="365" spans="1:20" ht="15" x14ac:dyDescent="0.25">
      <c r="A365" s="224" t="s">
        <v>129</v>
      </c>
      <c r="B365">
        <v>74491</v>
      </c>
      <c r="C365" s="176" t="str">
        <f t="shared" si="46"/>
        <v>PSR_11657.65_UP_80 km/h</v>
      </c>
      <c r="D365" s="177" t="s">
        <v>1045</v>
      </c>
      <c r="E365" s="177" t="str">
        <f>E364</f>
        <v>MMRBEM_7_UP</v>
      </c>
      <c r="F365" s="178"/>
      <c r="G365" s="179">
        <f>G364</f>
        <v>11657.65</v>
      </c>
      <c r="H365" s="179">
        <f t="shared" si="43"/>
        <v>11657.65</v>
      </c>
      <c r="I365" s="230">
        <f>IF("generated"=1, "Path=MMRBEM_7_UP, Scaled Offset=11657.649999999999636202119290828705", 11994.3407721708)</f>
        <v>11994.340772170801</v>
      </c>
      <c r="J365" s="178"/>
      <c r="K365" s="178"/>
      <c r="L365" s="178">
        <v>1</v>
      </c>
      <c r="M365" s="178">
        <v>2.5</v>
      </c>
      <c r="N365" s="178"/>
      <c r="O365" s="178"/>
      <c r="P365" s="178"/>
      <c r="Q365" s="178" t="str">
        <f>Q362</f>
        <v>80 km/h</v>
      </c>
      <c r="R365" s="181"/>
      <c r="S365" s="178"/>
      <c r="T365" s="178"/>
    </row>
    <row r="366" spans="1:20" ht="15" x14ac:dyDescent="0.25">
      <c r="A366" s="224" t="s">
        <v>129</v>
      </c>
      <c r="B366" s="83">
        <v>74492</v>
      </c>
      <c r="C366" s="182" t="str">
        <f t="shared" si="46"/>
        <v>PSR_11854.83_DN_70 km/h</v>
      </c>
      <c r="D366" s="183" t="s">
        <v>1045</v>
      </c>
      <c r="E366" s="184" t="s">
        <v>187</v>
      </c>
      <c r="F366" s="184"/>
      <c r="G366" s="179">
        <v>11854.83</v>
      </c>
      <c r="H366" s="185">
        <f t="shared" si="43"/>
        <v>11854.83</v>
      </c>
      <c r="I366" s="230">
        <f>IF("generated"=1, "Path=MMRBEM_7_UP, Scaled Offset=11854.829999999999927240423858165741", 12187.8845699263)</f>
        <v>12187.8845699263</v>
      </c>
      <c r="J366" s="184"/>
      <c r="K366" s="184"/>
      <c r="L366" s="184"/>
      <c r="M366" s="184">
        <v>-2.5</v>
      </c>
      <c r="N366" s="184"/>
      <c r="O366" s="184"/>
      <c r="P366" s="184"/>
      <c r="Q366" s="180" t="s">
        <v>1047</v>
      </c>
      <c r="R366" s="184"/>
      <c r="S366" s="184"/>
      <c r="T366" s="184"/>
    </row>
    <row r="367" spans="1:20" ht="15" x14ac:dyDescent="0.25">
      <c r="A367" s="224" t="s">
        <v>129</v>
      </c>
      <c r="B367">
        <v>74493</v>
      </c>
      <c r="C367" s="182" t="str">
        <f t="shared" si="46"/>
        <v>PSR_11854.83_UP_80 km/h</v>
      </c>
      <c r="D367" s="183" t="s">
        <v>1045</v>
      </c>
      <c r="E367" s="183" t="str">
        <f>E366</f>
        <v>MMRBEM_7_UP</v>
      </c>
      <c r="F367" s="184"/>
      <c r="G367" s="179">
        <f>G366</f>
        <v>11854.83</v>
      </c>
      <c r="H367" s="185">
        <f t="shared" si="43"/>
        <v>11854.83</v>
      </c>
      <c r="I367" s="230">
        <f>IF("generated"=1, "Path=MMRBEM_7_UP, Scaled Offset=11854.829999999999927240423858165741", 12187.8845699263)</f>
        <v>12187.8845699263</v>
      </c>
      <c r="J367" s="184"/>
      <c r="K367" s="184"/>
      <c r="L367" s="184">
        <v>1</v>
      </c>
      <c r="M367" s="184">
        <v>2.5</v>
      </c>
      <c r="N367" s="184"/>
      <c r="O367" s="184"/>
      <c r="P367" s="184"/>
      <c r="Q367" s="184" t="str">
        <f>Q364</f>
        <v>80 km/h</v>
      </c>
      <c r="R367" s="184"/>
      <c r="S367" s="184"/>
      <c r="T367" s="184"/>
    </row>
    <row r="368" spans="1:20" ht="15" x14ac:dyDescent="0.25">
      <c r="A368" s="224" t="s">
        <v>129</v>
      </c>
      <c r="B368" s="83">
        <v>74494</v>
      </c>
      <c r="C368" s="176" t="str">
        <f>"PSR_"&amp;G368&amp;IF(L368=0,"_DN_","_UP_")&amp;Q368</f>
        <v>PSR_11931.56_DN_70 km/h</v>
      </c>
      <c r="D368" s="177" t="s">
        <v>1045</v>
      </c>
      <c r="E368" s="177" t="s">
        <v>187</v>
      </c>
      <c r="F368" s="178"/>
      <c r="G368" s="179">
        <v>11931.56</v>
      </c>
      <c r="H368" s="179">
        <f t="shared" si="43"/>
        <v>11931.56</v>
      </c>
      <c r="I368" s="230">
        <f>IF("generated"=1, "Path=MMRBEM_7_UP, Scaled Offset=11931.559999999999490682967007160187", 12263.1995897143)</f>
        <v>12263.199589714301</v>
      </c>
      <c r="J368" s="178"/>
      <c r="K368" s="178"/>
      <c r="L368" s="178"/>
      <c r="M368" s="178">
        <v>-2.5</v>
      </c>
      <c r="N368" s="178"/>
      <c r="O368" s="178"/>
      <c r="P368" s="178"/>
      <c r="Q368" s="180" t="s">
        <v>1047</v>
      </c>
      <c r="R368" s="181"/>
      <c r="S368" s="178"/>
      <c r="T368" s="178"/>
    </row>
    <row r="369" spans="1:20" ht="15" x14ac:dyDescent="0.25">
      <c r="A369" s="224" t="s">
        <v>129</v>
      </c>
      <c r="B369">
        <v>74495</v>
      </c>
      <c r="C369" s="176" t="str">
        <f t="shared" ref="C369:C377" si="47">"PSR_"&amp;G369&amp;IF(L369=0,"_DN_","_UP_")&amp;Q369</f>
        <v>PSR_11931.56_UP_70 km/h</v>
      </c>
      <c r="D369" s="177" t="s">
        <v>1045</v>
      </c>
      <c r="E369" s="177" t="str">
        <f>E368</f>
        <v>MMRBEM_7_UP</v>
      </c>
      <c r="F369" s="178"/>
      <c r="G369" s="179">
        <f>G368</f>
        <v>11931.56</v>
      </c>
      <c r="H369" s="179">
        <f t="shared" si="43"/>
        <v>11931.56</v>
      </c>
      <c r="I369" s="230">
        <f>IF("generated"=1, "Path=MMRBEM_7_UP, Scaled Offset=11931.559999999999490682967007160187", 12263.1995897143)</f>
        <v>12263.199589714301</v>
      </c>
      <c r="J369" s="178"/>
      <c r="K369" s="178"/>
      <c r="L369" s="178">
        <v>1</v>
      </c>
      <c r="M369" s="178">
        <v>2.5</v>
      </c>
      <c r="N369" s="178"/>
      <c r="O369" s="178"/>
      <c r="P369" s="178"/>
      <c r="Q369" s="178" t="str">
        <f>Q366</f>
        <v>70 km/h</v>
      </c>
      <c r="R369" s="181"/>
      <c r="S369" s="178"/>
      <c r="T369" s="178"/>
    </row>
    <row r="370" spans="1:20" ht="15" x14ac:dyDescent="0.25">
      <c r="A370" s="224" t="s">
        <v>129</v>
      </c>
      <c r="B370" s="83">
        <v>74496</v>
      </c>
      <c r="C370" s="182" t="str">
        <f t="shared" si="47"/>
        <v>PSR_12018.17_DN_80 km/h</v>
      </c>
      <c r="D370" s="183" t="s">
        <v>1045</v>
      </c>
      <c r="E370" s="184" t="s">
        <v>187</v>
      </c>
      <c r="F370" s="184"/>
      <c r="G370" s="179">
        <v>12018.17</v>
      </c>
      <c r="H370" s="185">
        <f t="shared" si="43"/>
        <v>12018.17</v>
      </c>
      <c r="I370" s="230">
        <f>IF("generated"=1, "Path=MMRBEM_7_UP, Scaled Offset=12018.170000000000072759576141834259", 12348.2124121283)</f>
        <v>12348.2124121283</v>
      </c>
      <c r="J370" s="184"/>
      <c r="K370" s="184"/>
      <c r="L370" s="184"/>
      <c r="M370" s="184">
        <v>-2.5</v>
      </c>
      <c r="N370" s="184"/>
      <c r="O370" s="184"/>
      <c r="P370" s="184"/>
      <c r="Q370" s="180" t="s">
        <v>1048</v>
      </c>
      <c r="R370" s="184"/>
      <c r="S370" s="184"/>
      <c r="T370" s="184"/>
    </row>
    <row r="371" spans="1:20" ht="15" x14ac:dyDescent="0.25">
      <c r="A371" s="224" t="s">
        <v>129</v>
      </c>
      <c r="B371">
        <v>74497</v>
      </c>
      <c r="C371" s="182" t="str">
        <f t="shared" si="47"/>
        <v>PSR_12018.17_UP_70 km/h</v>
      </c>
      <c r="D371" s="183" t="s">
        <v>1045</v>
      </c>
      <c r="E371" s="183" t="str">
        <f>E370</f>
        <v>MMRBEM_7_UP</v>
      </c>
      <c r="F371" s="184"/>
      <c r="G371" s="179">
        <f>G370</f>
        <v>12018.17</v>
      </c>
      <c r="H371" s="185">
        <f t="shared" si="43"/>
        <v>12018.17</v>
      </c>
      <c r="I371" s="230">
        <f>IF("generated"=1, "Path=MMRBEM_7_UP, Scaled Offset=12018.170000000000072759576141834259", 12348.2124121283)</f>
        <v>12348.2124121283</v>
      </c>
      <c r="J371" s="184"/>
      <c r="K371" s="184"/>
      <c r="L371" s="184">
        <v>1</v>
      </c>
      <c r="M371" s="184">
        <v>2.5</v>
      </c>
      <c r="N371" s="184"/>
      <c r="O371" s="184"/>
      <c r="P371" s="184"/>
      <c r="Q371" s="184" t="str">
        <f>Q368</f>
        <v>70 km/h</v>
      </c>
      <c r="R371" s="184"/>
      <c r="S371" s="184"/>
      <c r="T371" s="184"/>
    </row>
    <row r="372" spans="1:20" ht="15" x14ac:dyDescent="0.25">
      <c r="A372" s="224" t="s">
        <v>129</v>
      </c>
      <c r="B372" s="83">
        <v>74498</v>
      </c>
      <c r="C372" s="176" t="str">
        <f t="shared" si="47"/>
        <v>PSR_12204.89_DN_80 km/h</v>
      </c>
      <c r="D372" s="177" t="s">
        <v>1045</v>
      </c>
      <c r="E372" s="177" t="s">
        <v>187</v>
      </c>
      <c r="F372" s="178"/>
      <c r="G372" s="179">
        <v>12204.89</v>
      </c>
      <c r="H372" s="179">
        <f t="shared" si="43"/>
        <v>12204.89</v>
      </c>
      <c r="I372" s="230">
        <f>IF("generated"=1, "Path=MMRBEM_7_UP, Scaled Offset=12204.889999999999417923390865325928", 12531.4891030549)</f>
        <v>12531.489103054901</v>
      </c>
      <c r="J372" s="178"/>
      <c r="K372" s="178"/>
      <c r="L372" s="178"/>
      <c r="M372" s="178">
        <v>-2.5</v>
      </c>
      <c r="N372" s="178"/>
      <c r="O372" s="178"/>
      <c r="P372" s="178"/>
      <c r="Q372" s="180" t="s">
        <v>1048</v>
      </c>
      <c r="R372" s="181"/>
      <c r="S372" s="178"/>
      <c r="T372" s="178"/>
    </row>
    <row r="373" spans="1:20" ht="15" x14ac:dyDescent="0.25">
      <c r="A373" s="224" t="s">
        <v>129</v>
      </c>
      <c r="B373">
        <v>74499</v>
      </c>
      <c r="C373" s="176" t="str">
        <f t="shared" si="47"/>
        <v>PSR_12204.89_UP_80 km/h</v>
      </c>
      <c r="D373" s="177" t="s">
        <v>1045</v>
      </c>
      <c r="E373" s="177" t="str">
        <f>E372</f>
        <v>MMRBEM_7_UP</v>
      </c>
      <c r="F373" s="178"/>
      <c r="G373" s="179">
        <f>G372</f>
        <v>12204.89</v>
      </c>
      <c r="H373" s="179">
        <f t="shared" si="43"/>
        <v>12204.89</v>
      </c>
      <c r="I373" s="230">
        <f>IF("generated"=1, "Path=MMRBEM_7_UP, Scaled Offset=12204.889999999999417923390865325928", 12531.4891030549)</f>
        <v>12531.489103054901</v>
      </c>
      <c r="J373" s="178"/>
      <c r="K373" s="178"/>
      <c r="L373" s="178">
        <v>1</v>
      </c>
      <c r="M373" s="178">
        <v>2.5</v>
      </c>
      <c r="N373" s="178"/>
      <c r="O373" s="178"/>
      <c r="P373" s="178"/>
      <c r="Q373" s="178" t="str">
        <f>Q370</f>
        <v>80 km/h</v>
      </c>
      <c r="R373" s="181"/>
      <c r="S373" s="178"/>
      <c r="T373" s="178"/>
    </row>
    <row r="374" spans="1:20" ht="15" x14ac:dyDescent="0.25">
      <c r="A374" s="224" t="s">
        <v>129</v>
      </c>
      <c r="B374" s="83">
        <v>74500</v>
      </c>
      <c r="C374" s="182" t="str">
        <f t="shared" si="47"/>
        <v>PSR_12284.49_DN_80 km/h</v>
      </c>
      <c r="D374" s="183" t="s">
        <v>1045</v>
      </c>
      <c r="E374" s="184" t="s">
        <v>187</v>
      </c>
      <c r="F374" s="184"/>
      <c r="G374" s="179">
        <v>12284.49</v>
      </c>
      <c r="H374" s="185">
        <f t="shared" si="43"/>
        <v>12284.49</v>
      </c>
      <c r="I374" s="230">
        <f>IF("generated"=1, "Path=MMRBEM_7_UP, Scaled Offset=12284.489999999999781721271574497223", 12609.6211970875)</f>
        <v>12609.621197087499</v>
      </c>
      <c r="J374" s="184"/>
      <c r="K374" s="184"/>
      <c r="L374" s="184"/>
      <c r="M374" s="184">
        <v>-2.5</v>
      </c>
      <c r="N374" s="184"/>
      <c r="O374" s="184"/>
      <c r="P374" s="184"/>
      <c r="Q374" s="180" t="s">
        <v>1048</v>
      </c>
      <c r="R374" s="184"/>
      <c r="S374" s="184"/>
      <c r="T374" s="184"/>
    </row>
    <row r="375" spans="1:20" ht="15" x14ac:dyDescent="0.25">
      <c r="A375" s="224" t="s">
        <v>129</v>
      </c>
      <c r="B375">
        <v>74501</v>
      </c>
      <c r="C375" s="182" t="str">
        <f t="shared" si="47"/>
        <v>PSR_12284.49_UP_80 km/h</v>
      </c>
      <c r="D375" s="183" t="s">
        <v>1045</v>
      </c>
      <c r="E375" s="183" t="str">
        <f>E374</f>
        <v>MMRBEM_7_UP</v>
      </c>
      <c r="F375" s="184"/>
      <c r="G375" s="179">
        <f>G374</f>
        <v>12284.49</v>
      </c>
      <c r="H375" s="185">
        <f t="shared" si="43"/>
        <v>12284.49</v>
      </c>
      <c r="I375" s="230">
        <f>IF("generated"=1, "Path=MMRBEM_7_UP, Scaled Offset=12284.489999999999781721271574497223", 12609.6211970875)</f>
        <v>12609.621197087499</v>
      </c>
      <c r="J375" s="184"/>
      <c r="K375" s="184"/>
      <c r="L375" s="184">
        <v>1</v>
      </c>
      <c r="M375" s="184">
        <v>2.5</v>
      </c>
      <c r="N375" s="184"/>
      <c r="O375" s="184"/>
      <c r="P375" s="184"/>
      <c r="Q375" s="184" t="str">
        <f>Q372</f>
        <v>80 km/h</v>
      </c>
      <c r="R375" s="184"/>
      <c r="S375" s="184"/>
      <c r="T375" s="184"/>
    </row>
    <row r="376" spans="1:20" ht="15" x14ac:dyDescent="0.25">
      <c r="A376" s="224" t="s">
        <v>129</v>
      </c>
      <c r="B376" s="83">
        <v>74502</v>
      </c>
      <c r="C376" s="176" t="str">
        <f t="shared" si="47"/>
        <v>PSR_12349.29_DN_80 km/h</v>
      </c>
      <c r="D376" s="177" t="s">
        <v>1045</v>
      </c>
      <c r="E376" s="177" t="s">
        <v>187</v>
      </c>
      <c r="F376" s="178"/>
      <c r="G376" s="179">
        <v>12349.29</v>
      </c>
      <c r="H376" s="179">
        <f t="shared" si="43"/>
        <v>12349.29</v>
      </c>
      <c r="I376" s="230">
        <f>IF("generated"=1, "Path=MMRBEM_7_UP, Scaled Offset=12349.290000000000873114913702011108", 12673.2262183602)</f>
        <v>12673.2262183602</v>
      </c>
      <c r="J376" s="178"/>
      <c r="K376" s="178"/>
      <c r="L376" s="178"/>
      <c r="M376" s="178">
        <v>-2.5</v>
      </c>
      <c r="N376" s="178"/>
      <c r="O376" s="178"/>
      <c r="P376" s="178"/>
      <c r="Q376" s="180" t="s">
        <v>1048</v>
      </c>
      <c r="R376" s="181"/>
      <c r="S376" s="178"/>
      <c r="T376" s="178"/>
    </row>
    <row r="377" spans="1:20" ht="15" x14ac:dyDescent="0.25">
      <c r="A377" s="224" t="s">
        <v>129</v>
      </c>
      <c r="B377">
        <v>74503</v>
      </c>
      <c r="C377" s="176" t="str">
        <f t="shared" si="47"/>
        <v>PSR_12349.29_UP_80 km/h</v>
      </c>
      <c r="D377" s="177" t="s">
        <v>1045</v>
      </c>
      <c r="E377" s="177" t="str">
        <f>E376</f>
        <v>MMRBEM_7_UP</v>
      </c>
      <c r="F377" s="178"/>
      <c r="G377" s="179">
        <f>G376</f>
        <v>12349.29</v>
      </c>
      <c r="H377" s="179">
        <f t="shared" si="43"/>
        <v>12349.29</v>
      </c>
      <c r="I377" s="230">
        <f>IF("generated"=1, "Path=MMRBEM_7_UP, Scaled Offset=12349.290000000000873114913702011108", 12673.2262183602)</f>
        <v>12673.2262183602</v>
      </c>
      <c r="J377" s="178"/>
      <c r="K377" s="178"/>
      <c r="L377" s="178">
        <v>1</v>
      </c>
      <c r="M377" s="178">
        <v>2.5</v>
      </c>
      <c r="N377" s="178"/>
      <c r="O377" s="178"/>
      <c r="P377" s="178"/>
      <c r="Q377" s="178" t="str">
        <f>Q374</f>
        <v>80 km/h</v>
      </c>
      <c r="R377" s="181"/>
      <c r="S377" s="178"/>
      <c r="T377" s="178"/>
    </row>
    <row r="378" spans="1:20" ht="15" x14ac:dyDescent="0.25">
      <c r="A378" s="224" t="s">
        <v>129</v>
      </c>
      <c r="B378" s="83">
        <v>74504</v>
      </c>
      <c r="C378" s="182" t="str">
        <f>"PSR_"&amp;G378&amp;IF(L378=0,"_DN_","_UP_")&amp;Q378</f>
        <v>PSR_12428.31_DN_80 km/h</v>
      </c>
      <c r="D378" s="183" t="s">
        <v>1045</v>
      </c>
      <c r="E378" s="184" t="s">
        <v>187</v>
      </c>
      <c r="F378" s="184"/>
      <c r="G378" s="179">
        <v>12428.31</v>
      </c>
      <c r="H378" s="185">
        <f t="shared" si="43"/>
        <v>12428.31</v>
      </c>
      <c r="I378" s="230">
        <f>IF("generated"=1, "Path=MMRBEM_7_UP, Scaled Offset=12428.309999999999490682967007160187", 12750.78900819)</f>
        <v>12750.78900819</v>
      </c>
      <c r="J378" s="184"/>
      <c r="K378" s="184"/>
      <c r="L378" s="184"/>
      <c r="M378" s="184">
        <v>-2.5</v>
      </c>
      <c r="N378" s="184"/>
      <c r="O378" s="184"/>
      <c r="P378" s="184"/>
      <c r="Q378" s="180" t="s">
        <v>1048</v>
      </c>
      <c r="R378" s="184"/>
      <c r="S378" s="184"/>
      <c r="T378" s="184"/>
    </row>
    <row r="379" spans="1:20" ht="15" x14ac:dyDescent="0.25">
      <c r="A379" s="224" t="s">
        <v>129</v>
      </c>
      <c r="B379">
        <v>74505</v>
      </c>
      <c r="C379" s="182" t="str">
        <f t="shared" ref="C379:C389" si="48">"PSR_"&amp;G379&amp;IF(L379=0,"_DN_","_UP_")&amp;Q379</f>
        <v>PSR_12428.31_UP_80 km/h</v>
      </c>
      <c r="D379" s="183" t="s">
        <v>1045</v>
      </c>
      <c r="E379" s="183" t="str">
        <f>E378</f>
        <v>MMRBEM_7_UP</v>
      </c>
      <c r="F379" s="184"/>
      <c r="G379" s="179">
        <f>G378</f>
        <v>12428.31</v>
      </c>
      <c r="H379" s="185">
        <f t="shared" si="43"/>
        <v>12428.31</v>
      </c>
      <c r="I379" s="230">
        <f>IF("generated"=1, "Path=MMRBEM_7_UP, Scaled Offset=12428.309999999999490682967007160187", 12750.78900819)</f>
        <v>12750.78900819</v>
      </c>
      <c r="J379" s="184"/>
      <c r="K379" s="184"/>
      <c r="L379" s="184">
        <v>1</v>
      </c>
      <c r="M379" s="184">
        <v>2.5</v>
      </c>
      <c r="N379" s="184"/>
      <c r="O379" s="184"/>
      <c r="P379" s="184"/>
      <c r="Q379" s="184" t="str">
        <f>Q376</f>
        <v>80 km/h</v>
      </c>
      <c r="R379" s="184"/>
      <c r="S379" s="184"/>
      <c r="T379" s="184"/>
    </row>
    <row r="380" spans="1:20" ht="15" x14ac:dyDescent="0.25">
      <c r="A380" s="224" t="s">
        <v>129</v>
      </c>
      <c r="B380" s="83">
        <v>74506</v>
      </c>
      <c r="C380" s="176" t="str">
        <f t="shared" si="48"/>
        <v>PSR_12820.32_DN_55 km/h</v>
      </c>
      <c r="D380" s="177" t="s">
        <v>1045</v>
      </c>
      <c r="E380" s="177" t="s">
        <v>187</v>
      </c>
      <c r="F380" s="178"/>
      <c r="G380" s="179">
        <v>12820.32</v>
      </c>
      <c r="H380" s="179">
        <f t="shared" si="43"/>
        <v>12820.32</v>
      </c>
      <c r="I380" s="230">
        <f>IF("generated"=1, "Path=MMRBEM_7_UP, Scaled Offset=12820.319999999999708961695432662964", 13135.569940121)</f>
        <v>13135.569940121</v>
      </c>
      <c r="J380" s="178"/>
      <c r="K380" s="178"/>
      <c r="L380" s="178"/>
      <c r="M380" s="178">
        <v>-2.5</v>
      </c>
      <c r="N380" s="178"/>
      <c r="O380" s="178"/>
      <c r="P380" s="178"/>
      <c r="Q380" s="180" t="s">
        <v>1050</v>
      </c>
      <c r="R380" s="181"/>
      <c r="S380" s="178"/>
      <c r="T380" s="178"/>
    </row>
    <row r="381" spans="1:20" ht="15" x14ac:dyDescent="0.25">
      <c r="A381" s="224" t="s">
        <v>129</v>
      </c>
      <c r="B381">
        <v>74507</v>
      </c>
      <c r="C381" s="176" t="str">
        <f t="shared" si="48"/>
        <v>PSR_12820.32_UP_80 km/h</v>
      </c>
      <c r="D381" s="177" t="s">
        <v>1045</v>
      </c>
      <c r="E381" s="177" t="str">
        <f>E380</f>
        <v>MMRBEM_7_UP</v>
      </c>
      <c r="F381" s="178"/>
      <c r="G381" s="179">
        <f>G380</f>
        <v>12820.32</v>
      </c>
      <c r="H381" s="179">
        <f t="shared" si="43"/>
        <v>12820.32</v>
      </c>
      <c r="I381" s="230">
        <f>IF("generated"=1, "Path=MMRBEM_7_UP, Scaled Offset=12820.319999999999708961695432662964", 13135.569940121)</f>
        <v>13135.569940121</v>
      </c>
      <c r="J381" s="178"/>
      <c r="K381" s="178"/>
      <c r="L381" s="178">
        <v>1</v>
      </c>
      <c r="M381" s="178">
        <v>2.5</v>
      </c>
      <c r="N381" s="178"/>
      <c r="O381" s="178"/>
      <c r="P381" s="178"/>
      <c r="Q381" s="178" t="str">
        <f>Q378</f>
        <v>80 km/h</v>
      </c>
      <c r="R381" s="181"/>
      <c r="S381" s="178"/>
      <c r="T381" s="178"/>
    </row>
    <row r="382" spans="1:20" ht="15" x14ac:dyDescent="0.25">
      <c r="A382" s="224" t="s">
        <v>129</v>
      </c>
      <c r="B382" s="83">
        <v>74508</v>
      </c>
      <c r="C382" s="182" t="str">
        <f t="shared" si="48"/>
        <v>PSR_13054.76_DN_80 km/h</v>
      </c>
      <c r="D382" s="183" t="s">
        <v>1045</v>
      </c>
      <c r="E382" s="184" t="s">
        <v>187</v>
      </c>
      <c r="F382" s="184"/>
      <c r="G382" s="179">
        <v>13054.76</v>
      </c>
      <c r="H382" s="185">
        <f t="shared" si="43"/>
        <v>13054.76</v>
      </c>
      <c r="I382" s="230">
        <f>IF("generated"=1, "Path=MMRBEM_7_UP, Scaled Offset=13054.760000000000218278728425502777", 13365.6866251083)</f>
        <v>13365.686625108299</v>
      </c>
      <c r="J382" s="184"/>
      <c r="K382" s="184"/>
      <c r="L382" s="184"/>
      <c r="M382" s="184">
        <v>-2.5</v>
      </c>
      <c r="N382" s="184"/>
      <c r="O382" s="184"/>
      <c r="P382" s="184"/>
      <c r="Q382" s="180" t="s">
        <v>1048</v>
      </c>
      <c r="R382" s="184"/>
      <c r="S382" s="184"/>
      <c r="T382" s="184"/>
    </row>
    <row r="383" spans="1:20" ht="15" x14ac:dyDescent="0.25">
      <c r="A383" s="224" t="s">
        <v>129</v>
      </c>
      <c r="B383">
        <v>74509</v>
      </c>
      <c r="C383" s="182" t="str">
        <f t="shared" si="48"/>
        <v>PSR_13054.76_UP_55 km/h</v>
      </c>
      <c r="D383" s="183" t="s">
        <v>1045</v>
      </c>
      <c r="E383" s="183" t="str">
        <f>E382</f>
        <v>MMRBEM_7_UP</v>
      </c>
      <c r="F383" s="184"/>
      <c r="G383" s="179">
        <f>G382</f>
        <v>13054.76</v>
      </c>
      <c r="H383" s="185">
        <f t="shared" si="43"/>
        <v>13054.76</v>
      </c>
      <c r="I383" s="230">
        <f>IF("generated"=1, "Path=MMRBEM_7_UP, Scaled Offset=13054.760000000000218278728425502777", 13365.6866251083)</f>
        <v>13365.686625108299</v>
      </c>
      <c r="J383" s="184"/>
      <c r="K383" s="184"/>
      <c r="L383" s="184">
        <v>1</v>
      </c>
      <c r="M383" s="184">
        <v>2.5</v>
      </c>
      <c r="N383" s="184"/>
      <c r="O383" s="184"/>
      <c r="P383" s="184"/>
      <c r="Q383" s="184" t="str">
        <f>Q380</f>
        <v>55 km/h</v>
      </c>
      <c r="R383" s="184"/>
      <c r="S383" s="184"/>
      <c r="T383" s="184"/>
    </row>
    <row r="384" spans="1:20" ht="15" x14ac:dyDescent="0.25">
      <c r="A384" s="224" t="s">
        <v>129</v>
      </c>
      <c r="B384" s="83">
        <v>74510</v>
      </c>
      <c r="C384" s="176" t="str">
        <f t="shared" si="48"/>
        <v>PSR_13405.48_DN_80 km/h</v>
      </c>
      <c r="D384" s="177" t="s">
        <v>1045</v>
      </c>
      <c r="E384" s="177" t="s">
        <v>187</v>
      </c>
      <c r="F384" s="178"/>
      <c r="G384" s="179">
        <v>13405.48</v>
      </c>
      <c r="H384" s="179">
        <f t="shared" si="43"/>
        <v>13405.48</v>
      </c>
      <c r="I384" s="230">
        <f>IF("generated"=1, "Path=MMRBEM_7_UP, Scaled Offset=13405.479999999999563442543148994446", 13709.9389871573)</f>
        <v>13709.9389871573</v>
      </c>
      <c r="J384" s="178"/>
      <c r="K384" s="178"/>
      <c r="L384" s="178"/>
      <c r="M384" s="178">
        <v>-2.5</v>
      </c>
      <c r="N384" s="178"/>
      <c r="O384" s="178"/>
      <c r="P384" s="178"/>
      <c r="Q384" s="180" t="s">
        <v>1048</v>
      </c>
      <c r="R384" s="181"/>
      <c r="S384" s="178"/>
      <c r="T384" s="178"/>
    </row>
    <row r="385" spans="1:20" ht="15" x14ac:dyDescent="0.25">
      <c r="A385" s="224" t="s">
        <v>129</v>
      </c>
      <c r="B385">
        <v>74511</v>
      </c>
      <c r="C385" s="176" t="str">
        <f t="shared" si="48"/>
        <v>PSR_13405.48_UP_80 km/h</v>
      </c>
      <c r="D385" s="177" t="s">
        <v>1045</v>
      </c>
      <c r="E385" s="177" t="str">
        <f>E384</f>
        <v>MMRBEM_7_UP</v>
      </c>
      <c r="F385" s="178"/>
      <c r="G385" s="179">
        <f>G384</f>
        <v>13405.48</v>
      </c>
      <c r="H385" s="179">
        <f t="shared" si="43"/>
        <v>13405.48</v>
      </c>
      <c r="I385" s="230">
        <f>IF("generated"=1, "Path=MMRBEM_7_UP, Scaled Offset=13405.479999999999563442543148994446", 13709.9389871573)</f>
        <v>13709.9389871573</v>
      </c>
      <c r="J385" s="178"/>
      <c r="K385" s="178"/>
      <c r="L385" s="178">
        <v>1</v>
      </c>
      <c r="M385" s="178">
        <v>2.5</v>
      </c>
      <c r="N385" s="178"/>
      <c r="O385" s="178"/>
      <c r="P385" s="178"/>
      <c r="Q385" s="178" t="str">
        <f>Q382</f>
        <v>80 km/h</v>
      </c>
      <c r="R385" s="181"/>
      <c r="S385" s="178"/>
      <c r="T385" s="178"/>
    </row>
    <row r="386" spans="1:20" ht="15" x14ac:dyDescent="0.25">
      <c r="A386" s="224" t="s">
        <v>129</v>
      </c>
      <c r="B386" s="83">
        <v>74512</v>
      </c>
      <c r="C386" s="182" t="str">
        <f t="shared" si="48"/>
        <v>PSR_13483.99_DN_80 km/h</v>
      </c>
      <c r="D386" s="183" t="s">
        <v>1045</v>
      </c>
      <c r="E386" s="184" t="s">
        <v>187</v>
      </c>
      <c r="F386" s="184"/>
      <c r="G386" s="179">
        <v>13483.99</v>
      </c>
      <c r="H386" s="185">
        <f t="shared" si="43"/>
        <v>13483.99</v>
      </c>
      <c r="I386" s="230">
        <f>IF("generated"=1, "Path=MMRBEM_7_UP, Scaled Offset=13483.989999999999781721271574497223", 13787.0011819123)</f>
        <v>13787.001181912299</v>
      </c>
      <c r="J386" s="184"/>
      <c r="K386" s="184"/>
      <c r="L386" s="184"/>
      <c r="M386" s="184">
        <v>-2.5</v>
      </c>
      <c r="N386" s="184"/>
      <c r="O386" s="184"/>
      <c r="P386" s="184"/>
      <c r="Q386" s="180" t="s">
        <v>1048</v>
      </c>
      <c r="R386" s="184"/>
      <c r="S386" s="184"/>
      <c r="T386" s="184"/>
    </row>
    <row r="387" spans="1:20" ht="15" x14ac:dyDescent="0.25">
      <c r="A387" s="224" t="s">
        <v>129</v>
      </c>
      <c r="B387">
        <v>74513</v>
      </c>
      <c r="C387" s="182" t="str">
        <f t="shared" si="48"/>
        <v>PSR_13483.99_UP_80 km/h</v>
      </c>
      <c r="D387" s="183" t="s">
        <v>1045</v>
      </c>
      <c r="E387" s="183" t="str">
        <f>E386</f>
        <v>MMRBEM_7_UP</v>
      </c>
      <c r="F387" s="184"/>
      <c r="G387" s="179">
        <f>G386</f>
        <v>13483.99</v>
      </c>
      <c r="H387" s="185">
        <f t="shared" si="43"/>
        <v>13483.99</v>
      </c>
      <c r="I387" s="230">
        <f>IF("generated"=1, "Path=MMRBEM_7_UP, Scaled Offset=13483.989999999999781721271574497223", 13787.0011819123)</f>
        <v>13787.001181912299</v>
      </c>
      <c r="J387" s="184"/>
      <c r="K387" s="184"/>
      <c r="L387" s="184">
        <v>1</v>
      </c>
      <c r="M387" s="184">
        <v>2.5</v>
      </c>
      <c r="N387" s="184"/>
      <c r="O387" s="184"/>
      <c r="P387" s="184"/>
      <c r="Q387" s="184" t="str">
        <f>Q384</f>
        <v>80 km/h</v>
      </c>
      <c r="R387" s="184"/>
      <c r="S387" s="184"/>
      <c r="T387" s="184"/>
    </row>
    <row r="388" spans="1:20" ht="15" x14ac:dyDescent="0.25">
      <c r="A388" s="224" t="s">
        <v>129</v>
      </c>
      <c r="B388" s="83">
        <v>74514</v>
      </c>
      <c r="C388" s="176" t="str">
        <f t="shared" si="48"/>
        <v>PSR_13855.82_DN_55 km/h</v>
      </c>
      <c r="D388" s="177" t="s">
        <v>1045</v>
      </c>
      <c r="E388" s="177" t="s">
        <v>187</v>
      </c>
      <c r="F388" s="178"/>
      <c r="G388" s="179">
        <v>13855.82</v>
      </c>
      <c r="H388" s="179">
        <f t="shared" si="43"/>
        <v>13855.82</v>
      </c>
      <c r="I388" s="230">
        <f>IF("generated"=1, "Path=MMRBEM_7_UP, Scaled Offset=13855.819999999999708961695432662964", 14151.9742538234)</f>
        <v>14151.9742538234</v>
      </c>
      <c r="J388" s="178"/>
      <c r="K388" s="178"/>
      <c r="L388" s="178"/>
      <c r="M388" s="178">
        <v>-2.5</v>
      </c>
      <c r="N388" s="178"/>
      <c r="O388" s="178"/>
      <c r="P388" s="178"/>
      <c r="Q388" s="180" t="s">
        <v>1050</v>
      </c>
      <c r="R388" s="181"/>
      <c r="S388" s="178"/>
      <c r="T388" s="178"/>
    </row>
    <row r="389" spans="1:20" ht="15" x14ac:dyDescent="0.25">
      <c r="A389" s="224" t="s">
        <v>129</v>
      </c>
      <c r="B389">
        <v>74515</v>
      </c>
      <c r="C389" s="176" t="str">
        <f t="shared" si="48"/>
        <v>PSR_13855.82_UP_80 km/h</v>
      </c>
      <c r="D389" s="177" t="s">
        <v>1045</v>
      </c>
      <c r="E389" s="177" t="str">
        <f>E388</f>
        <v>MMRBEM_7_UP</v>
      </c>
      <c r="F389" s="178"/>
      <c r="G389" s="179">
        <f>G388</f>
        <v>13855.82</v>
      </c>
      <c r="H389" s="179">
        <f t="shared" si="43"/>
        <v>13855.82</v>
      </c>
      <c r="I389" s="230">
        <f>IF("generated"=1, "Path=MMRBEM_7_UP, Scaled Offset=13855.819999999999708961695432662964", 14151.9742538234)</f>
        <v>14151.9742538234</v>
      </c>
      <c r="J389" s="178"/>
      <c r="K389" s="178"/>
      <c r="L389" s="178">
        <v>1</v>
      </c>
      <c r="M389" s="178">
        <v>2.5</v>
      </c>
      <c r="N389" s="178"/>
      <c r="O389" s="178"/>
      <c r="P389" s="178"/>
      <c r="Q389" s="178" t="str">
        <f>Q386</f>
        <v>80 km/h</v>
      </c>
      <c r="R389" s="181"/>
      <c r="S389" s="178"/>
      <c r="T389" s="178"/>
    </row>
    <row r="390" spans="1:20" ht="15" x14ac:dyDescent="0.25">
      <c r="A390" s="224" t="s">
        <v>129</v>
      </c>
      <c r="B390" s="83">
        <v>74516</v>
      </c>
      <c r="C390" s="182" t="str">
        <f>"PSR_"&amp;G390&amp;IF(L390=0,"_DN_","_UP_")&amp;Q390</f>
        <v>PSR_14002.09_DN_80 km/h</v>
      </c>
      <c r="D390" s="183" t="s">
        <v>1045</v>
      </c>
      <c r="E390" s="184" t="s">
        <v>187</v>
      </c>
      <c r="F390" s="184"/>
      <c r="G390" s="179">
        <v>14002.09</v>
      </c>
      <c r="H390" s="185">
        <f t="shared" si="43"/>
        <v>14002.09</v>
      </c>
      <c r="I390" s="230">
        <f>IF("generated"=1, "Path=MMRBEM_7_UP, Scaled Offset=14002.090000000000145519152283668518", 14295.5468844031)</f>
        <v>14295.5468844031</v>
      </c>
      <c r="J390" s="184"/>
      <c r="K390" s="184"/>
      <c r="L390" s="184"/>
      <c r="M390" s="184">
        <v>-2.5</v>
      </c>
      <c r="N390" s="184"/>
      <c r="O390" s="184"/>
      <c r="P390" s="184"/>
      <c r="Q390" s="180" t="s">
        <v>1048</v>
      </c>
      <c r="R390" s="184"/>
      <c r="S390" s="184"/>
      <c r="T390" s="184"/>
    </row>
    <row r="391" spans="1:20" ht="15" x14ac:dyDescent="0.25">
      <c r="A391" s="224" t="s">
        <v>129</v>
      </c>
      <c r="B391">
        <v>74517</v>
      </c>
      <c r="C391" s="182" t="str">
        <f t="shared" ref="C391:C397" si="49">"PSR_"&amp;G391&amp;IF(L391=0,"_DN_","_UP_")&amp;Q391</f>
        <v>PSR_14002.09_UP_55 km/h</v>
      </c>
      <c r="D391" s="183" t="s">
        <v>1045</v>
      </c>
      <c r="E391" s="183" t="str">
        <f>E390</f>
        <v>MMRBEM_7_UP</v>
      </c>
      <c r="F391" s="184"/>
      <c r="G391" s="179">
        <f>G390</f>
        <v>14002.09</v>
      </c>
      <c r="H391" s="185">
        <f t="shared" si="43"/>
        <v>14002.09</v>
      </c>
      <c r="I391" s="230">
        <f>IF("generated"=1, "Path=MMRBEM_7_UP, Scaled Offset=14002.090000000000145519152283668518", 14295.5468844031)</f>
        <v>14295.5468844031</v>
      </c>
      <c r="J391" s="184"/>
      <c r="K391" s="184"/>
      <c r="L391" s="184">
        <v>1</v>
      </c>
      <c r="M391" s="184">
        <v>2.5</v>
      </c>
      <c r="N391" s="184"/>
      <c r="O391" s="184"/>
      <c r="P391" s="184"/>
      <c r="Q391" s="184" t="str">
        <f>Q388</f>
        <v>55 km/h</v>
      </c>
      <c r="R391" s="184"/>
      <c r="S391" s="184"/>
      <c r="T391" s="184"/>
    </row>
    <row r="392" spans="1:20" ht="15" x14ac:dyDescent="0.25">
      <c r="A392" s="224" t="s">
        <v>129</v>
      </c>
      <c r="B392" s="83">
        <v>74518</v>
      </c>
      <c r="C392" s="176" t="str">
        <f t="shared" si="49"/>
        <v>PSR_14046.53_DN_80 km/h</v>
      </c>
      <c r="D392" s="177" t="s">
        <v>1045</v>
      </c>
      <c r="E392" s="177" t="s">
        <v>187</v>
      </c>
      <c r="F392" s="178"/>
      <c r="G392" s="179">
        <v>14046.53</v>
      </c>
      <c r="H392" s="179">
        <f t="shared" si="43"/>
        <v>14046.53</v>
      </c>
      <c r="I392" s="230">
        <f>IF("generated"=1, "Path=MMRBEM_7_UP, Scaled Offset=14046.530000000000654836185276508331", 14339.1673650414)</f>
        <v>14339.1673650414</v>
      </c>
      <c r="J392" s="178"/>
      <c r="K392" s="178"/>
      <c r="L392" s="178"/>
      <c r="M392" s="178">
        <v>-2.5</v>
      </c>
      <c r="N392" s="178"/>
      <c r="O392" s="178"/>
      <c r="P392" s="178"/>
      <c r="Q392" s="180" t="s">
        <v>1048</v>
      </c>
      <c r="R392" s="181"/>
      <c r="S392" s="178"/>
      <c r="T392" s="178"/>
    </row>
    <row r="393" spans="1:20" ht="15" x14ac:dyDescent="0.25">
      <c r="A393" s="224" t="s">
        <v>129</v>
      </c>
      <c r="B393">
        <v>74519</v>
      </c>
      <c r="C393" s="176" t="str">
        <f t="shared" si="49"/>
        <v>PSR_14046.53_UP_80 km/h</v>
      </c>
      <c r="D393" s="177" t="s">
        <v>1045</v>
      </c>
      <c r="E393" s="177" t="str">
        <f>E392</f>
        <v>MMRBEM_7_UP</v>
      </c>
      <c r="F393" s="178"/>
      <c r="G393" s="179">
        <f>G392</f>
        <v>14046.53</v>
      </c>
      <c r="H393" s="179">
        <f t="shared" si="43"/>
        <v>14046.53</v>
      </c>
      <c r="I393" s="230">
        <f>IF("generated"=1, "Path=MMRBEM_7_UP, Scaled Offset=14046.530000000000654836185276508331", 14339.1673650414)</f>
        <v>14339.1673650414</v>
      </c>
      <c r="J393" s="178"/>
      <c r="K393" s="178"/>
      <c r="L393" s="178">
        <v>1</v>
      </c>
      <c r="M393" s="178">
        <v>2.5</v>
      </c>
      <c r="N393" s="178"/>
      <c r="O393" s="178"/>
      <c r="P393" s="178"/>
      <c r="Q393" s="178" t="str">
        <f>Q390</f>
        <v>80 km/h</v>
      </c>
      <c r="R393" s="181"/>
      <c r="S393" s="178"/>
      <c r="T393" s="178"/>
    </row>
    <row r="394" spans="1:20" ht="15" x14ac:dyDescent="0.25">
      <c r="A394" s="224" t="s">
        <v>129</v>
      </c>
      <c r="B394" s="83">
        <v>74520</v>
      </c>
      <c r="C394" s="182" t="str">
        <f t="shared" si="49"/>
        <v>PSR_14127.69_DN_80 km/h</v>
      </c>
      <c r="D394" s="183" t="s">
        <v>1045</v>
      </c>
      <c r="E394" s="184" t="s">
        <v>187</v>
      </c>
      <c r="F394" s="184"/>
      <c r="G394" s="179">
        <v>14127.69</v>
      </c>
      <c r="H394" s="185">
        <f t="shared" si="43"/>
        <v>14127.69</v>
      </c>
      <c r="I394" s="230">
        <f>IF("generated"=1, "Path=MMRBEM_7_UP, Scaled Offset=14127.690000000000509317032992839813", 14418.8306910675)</f>
        <v>14418.8306910675</v>
      </c>
      <c r="J394" s="184"/>
      <c r="K394" s="184"/>
      <c r="L394" s="184"/>
      <c r="M394" s="184">
        <v>-2.5</v>
      </c>
      <c r="N394" s="184"/>
      <c r="O394" s="184"/>
      <c r="P394" s="184"/>
      <c r="Q394" s="180" t="s">
        <v>1048</v>
      </c>
      <c r="R394" s="184"/>
      <c r="S394" s="184"/>
      <c r="T394" s="184"/>
    </row>
    <row r="395" spans="1:20" ht="15" x14ac:dyDescent="0.25">
      <c r="A395" s="224" t="s">
        <v>129</v>
      </c>
      <c r="B395">
        <v>74521</v>
      </c>
      <c r="C395" s="182" t="str">
        <f t="shared" si="49"/>
        <v>PSR_14127.69_UP_80 km/h</v>
      </c>
      <c r="D395" s="183" t="s">
        <v>1045</v>
      </c>
      <c r="E395" s="183" t="str">
        <f>E394</f>
        <v>MMRBEM_7_UP</v>
      </c>
      <c r="F395" s="184"/>
      <c r="G395" s="179">
        <f>G394</f>
        <v>14127.69</v>
      </c>
      <c r="H395" s="185">
        <f t="shared" si="43"/>
        <v>14127.69</v>
      </c>
      <c r="I395" s="230">
        <f>IF("generated"=1, "Path=MMRBEM_7_UP, Scaled Offset=14127.690000000000509317032992839813", 14418.8306910675)</f>
        <v>14418.8306910675</v>
      </c>
      <c r="J395" s="184"/>
      <c r="K395" s="184"/>
      <c r="L395" s="184">
        <v>1</v>
      </c>
      <c r="M395" s="184">
        <v>2.5</v>
      </c>
      <c r="N395" s="184"/>
      <c r="O395" s="184"/>
      <c r="P395" s="184"/>
      <c r="Q395" s="184" t="str">
        <f>Q392</f>
        <v>80 km/h</v>
      </c>
      <c r="R395" s="184"/>
      <c r="S395" s="184"/>
      <c r="T395" s="184"/>
    </row>
    <row r="396" spans="1:20" ht="15" x14ac:dyDescent="0.25">
      <c r="A396" s="224" t="s">
        <v>129</v>
      </c>
      <c r="B396" s="83">
        <v>74522</v>
      </c>
      <c r="C396" s="176" t="str">
        <f t="shared" si="49"/>
        <v>PSR_14352.12_DN_80 km/h</v>
      </c>
      <c r="D396" s="177" t="s">
        <v>1045</v>
      </c>
      <c r="E396" s="177" t="s">
        <v>187</v>
      </c>
      <c r="F396" s="178"/>
      <c r="G396" s="179">
        <v>14352.12</v>
      </c>
      <c r="H396" s="179">
        <f t="shared" si="43"/>
        <v>14352.12</v>
      </c>
      <c r="I396" s="230">
        <f>IF("generated"=1, "Path=MMRBEM_7_UP, Scaled Offset=14352.120000000000800355337560176849", 14639.1219707626)</f>
        <v>14639.121970762601</v>
      </c>
      <c r="J396" s="178"/>
      <c r="K396" s="178"/>
      <c r="L396" s="178"/>
      <c r="M396" s="178">
        <v>-2.5</v>
      </c>
      <c r="N396" s="178"/>
      <c r="O396" s="178"/>
      <c r="P396" s="178"/>
      <c r="Q396" s="180" t="s">
        <v>1048</v>
      </c>
      <c r="R396" s="181"/>
      <c r="S396" s="178"/>
      <c r="T396" s="178"/>
    </row>
    <row r="397" spans="1:20" ht="15" x14ac:dyDescent="0.25">
      <c r="A397" s="224" t="s">
        <v>129</v>
      </c>
      <c r="B397">
        <v>74523</v>
      </c>
      <c r="C397" s="176" t="str">
        <f t="shared" si="49"/>
        <v>PSR_14352.12_UP_80 km/h</v>
      </c>
      <c r="D397" s="177" t="s">
        <v>1045</v>
      </c>
      <c r="E397" s="177" t="str">
        <f>E396</f>
        <v>MMRBEM_7_UP</v>
      </c>
      <c r="F397" s="178"/>
      <c r="G397" s="179">
        <f>G396</f>
        <v>14352.12</v>
      </c>
      <c r="H397" s="179">
        <f t="shared" si="43"/>
        <v>14352.12</v>
      </c>
      <c r="I397" s="230">
        <f>IF("generated"=1, "Path=MMRBEM_7_UP, Scaled Offset=14352.120000000000800355337560176849", 14639.1219707626)</f>
        <v>14639.121970762601</v>
      </c>
      <c r="J397" s="178"/>
      <c r="K397" s="178"/>
      <c r="L397" s="178">
        <v>1</v>
      </c>
      <c r="M397" s="178">
        <v>2.5</v>
      </c>
      <c r="N397" s="178"/>
      <c r="O397" s="178"/>
      <c r="P397" s="178"/>
      <c r="Q397" s="178" t="str">
        <f>Q394</f>
        <v>80 km/h</v>
      </c>
      <c r="R397" s="181"/>
      <c r="S397" s="178"/>
      <c r="T397" s="178"/>
    </row>
    <row r="398" spans="1:20" ht="15" x14ac:dyDescent="0.25">
      <c r="A398" s="224" t="s">
        <v>129</v>
      </c>
      <c r="B398" s="83">
        <v>74524</v>
      </c>
      <c r="C398" s="182" t="str">
        <f>"PSR_"&amp;G398&amp;IF(L398=0,"_DN_","_UP_")&amp;Q398</f>
        <v>PSR_14428.67_DN_65 km/h</v>
      </c>
      <c r="D398" s="183" t="s">
        <v>1045</v>
      </c>
      <c r="E398" s="184" t="s">
        <v>187</v>
      </c>
      <c r="F398" s="184"/>
      <c r="G398" s="179">
        <v>14428.67</v>
      </c>
      <c r="H398" s="185">
        <f t="shared" si="43"/>
        <v>14428.67</v>
      </c>
      <c r="I398" s="230">
        <f>IF("generated"=1, "Path=MMRBEM_7_UP, Scaled Offset=14428.670000000000072759576141834259", 14714.2603099358)</f>
        <v>14714.2603099358</v>
      </c>
      <c r="J398" s="184"/>
      <c r="K398" s="184"/>
      <c r="L398" s="184"/>
      <c r="M398" s="184">
        <v>-2.5</v>
      </c>
      <c r="N398" s="184"/>
      <c r="O398" s="184"/>
      <c r="P398" s="184"/>
      <c r="Q398" s="180" t="s">
        <v>1051</v>
      </c>
      <c r="R398" s="184"/>
      <c r="S398" s="184"/>
      <c r="T398" s="184"/>
    </row>
    <row r="399" spans="1:20" ht="15" x14ac:dyDescent="0.25">
      <c r="A399" s="224" t="s">
        <v>129</v>
      </c>
      <c r="B399">
        <v>74525</v>
      </c>
      <c r="C399" s="182" t="str">
        <f t="shared" ref="C399:C409" si="50">"PSR_"&amp;G399&amp;IF(L399=0,"_DN_","_UP_")&amp;Q399</f>
        <v>PSR_14428.67_UP_80 km/h</v>
      </c>
      <c r="D399" s="183" t="s">
        <v>1045</v>
      </c>
      <c r="E399" s="183" t="str">
        <f>E398</f>
        <v>MMRBEM_7_UP</v>
      </c>
      <c r="F399" s="184"/>
      <c r="G399" s="179">
        <f>G398</f>
        <v>14428.67</v>
      </c>
      <c r="H399" s="185">
        <f t="shared" si="43"/>
        <v>14428.67</v>
      </c>
      <c r="I399" s="230">
        <f>IF("generated"=1, "Path=MMRBEM_7_UP, Scaled Offset=14428.670000000000072759576141834259", 14714.2603099358)</f>
        <v>14714.2603099358</v>
      </c>
      <c r="J399" s="184"/>
      <c r="K399" s="184"/>
      <c r="L399" s="184">
        <v>1</v>
      </c>
      <c r="M399" s="184">
        <v>2.5</v>
      </c>
      <c r="N399" s="184"/>
      <c r="O399" s="184"/>
      <c r="P399" s="184"/>
      <c r="Q399" s="184" t="str">
        <f>Q396</f>
        <v>80 km/h</v>
      </c>
      <c r="R399" s="184"/>
      <c r="S399" s="184"/>
      <c r="T399" s="184"/>
    </row>
    <row r="400" spans="1:20" ht="15" x14ac:dyDescent="0.25">
      <c r="A400" s="224" t="s">
        <v>129</v>
      </c>
      <c r="B400" s="83">
        <v>74526</v>
      </c>
      <c r="C400" s="176" t="str">
        <f t="shared" si="50"/>
        <v>PSR_14540.35_DN_70 km/h</v>
      </c>
      <c r="D400" s="177" t="s">
        <v>1045</v>
      </c>
      <c r="E400" s="177" t="s">
        <v>187</v>
      </c>
      <c r="F400" s="178"/>
      <c r="G400" s="179">
        <v>14540.35</v>
      </c>
      <c r="H400" s="179">
        <f t="shared" si="43"/>
        <v>14540.35</v>
      </c>
      <c r="I400" s="230">
        <f>IF("generated"=1, "Path=MMRBEM_7_UP, Scaled Offset=14540.350000000000363797880709171295", 14823.8808157343)</f>
        <v>14823.880815734299</v>
      </c>
      <c r="J400" s="178"/>
      <c r="K400" s="178"/>
      <c r="L400" s="178"/>
      <c r="M400" s="178">
        <v>-2.5</v>
      </c>
      <c r="N400" s="178"/>
      <c r="O400" s="178"/>
      <c r="P400" s="178"/>
      <c r="Q400" s="180" t="s">
        <v>1047</v>
      </c>
      <c r="R400" s="181"/>
      <c r="S400" s="178"/>
      <c r="T400" s="178"/>
    </row>
    <row r="401" spans="1:20" ht="15" x14ac:dyDescent="0.25">
      <c r="A401" s="224" t="s">
        <v>129</v>
      </c>
      <c r="B401">
        <v>74527</v>
      </c>
      <c r="C401" s="176" t="str">
        <f t="shared" si="50"/>
        <v>PSR_14540.35_UP_65 km/h</v>
      </c>
      <c r="D401" s="177" t="s">
        <v>1045</v>
      </c>
      <c r="E401" s="177" t="str">
        <f>E400</f>
        <v>MMRBEM_7_UP</v>
      </c>
      <c r="F401" s="178"/>
      <c r="G401" s="179">
        <f>G400</f>
        <v>14540.35</v>
      </c>
      <c r="H401" s="179">
        <f t="shared" si="43"/>
        <v>14540.35</v>
      </c>
      <c r="I401" s="230">
        <f>IF("generated"=1, "Path=MMRBEM_7_UP, Scaled Offset=14540.350000000000363797880709171295", 14823.8808157343)</f>
        <v>14823.880815734299</v>
      </c>
      <c r="J401" s="178"/>
      <c r="K401" s="178"/>
      <c r="L401" s="178">
        <v>1</v>
      </c>
      <c r="M401" s="178">
        <v>2.5</v>
      </c>
      <c r="N401" s="178"/>
      <c r="O401" s="178"/>
      <c r="P401" s="178"/>
      <c r="Q401" s="178" t="str">
        <f>Q398</f>
        <v>65 km/h</v>
      </c>
      <c r="R401" s="181"/>
      <c r="S401" s="178"/>
      <c r="T401" s="178"/>
    </row>
    <row r="402" spans="1:20" ht="15" x14ac:dyDescent="0.25">
      <c r="A402" s="224" t="s">
        <v>129</v>
      </c>
      <c r="B402" s="83">
        <v>74528</v>
      </c>
      <c r="C402" s="182" t="str">
        <f t="shared" si="50"/>
        <v>PSR_14626.79_DN_80 km/h</v>
      </c>
      <c r="D402" s="183" t="s">
        <v>1045</v>
      </c>
      <c r="E402" s="184" t="s">
        <v>187</v>
      </c>
      <c r="F402" s="184"/>
      <c r="G402" s="179">
        <v>14626.79</v>
      </c>
      <c r="H402" s="185">
        <f t="shared" si="43"/>
        <v>14626.79</v>
      </c>
      <c r="I402" s="230">
        <f>IF("generated"=1, "Path=MMRBEM_7_UP, Scaled Offset=14626.790000000000873114913702011108", 14908.7267731234)</f>
        <v>14908.726773123401</v>
      </c>
      <c r="J402" s="184"/>
      <c r="K402" s="184"/>
      <c r="L402" s="184"/>
      <c r="M402" s="184">
        <v>-2.5</v>
      </c>
      <c r="N402" s="184"/>
      <c r="O402" s="184"/>
      <c r="P402" s="184"/>
      <c r="Q402" s="180" t="s">
        <v>1048</v>
      </c>
      <c r="R402" s="184"/>
      <c r="S402" s="184"/>
      <c r="T402" s="184"/>
    </row>
    <row r="403" spans="1:20" ht="15" x14ac:dyDescent="0.25">
      <c r="A403" s="224" t="s">
        <v>129</v>
      </c>
      <c r="B403">
        <v>74529</v>
      </c>
      <c r="C403" s="182" t="str">
        <f t="shared" si="50"/>
        <v>PSR_14626.79_UP_70 km/h</v>
      </c>
      <c r="D403" s="183" t="s">
        <v>1045</v>
      </c>
      <c r="E403" s="183" t="str">
        <f>E402</f>
        <v>MMRBEM_7_UP</v>
      </c>
      <c r="F403" s="184"/>
      <c r="G403" s="179">
        <f>G402</f>
        <v>14626.79</v>
      </c>
      <c r="H403" s="185">
        <f t="shared" si="43"/>
        <v>14626.79</v>
      </c>
      <c r="I403" s="230">
        <f>IF("generated"=1, "Path=MMRBEM_7_UP, Scaled Offset=14626.790000000000873114913702011108", 14908.7267731234)</f>
        <v>14908.726773123401</v>
      </c>
      <c r="J403" s="184"/>
      <c r="K403" s="184"/>
      <c r="L403" s="184">
        <v>1</v>
      </c>
      <c r="M403" s="184">
        <v>2.5</v>
      </c>
      <c r="N403" s="184"/>
      <c r="O403" s="184"/>
      <c r="P403" s="184"/>
      <c r="Q403" s="184" t="str">
        <f>Q400</f>
        <v>70 km/h</v>
      </c>
      <c r="R403" s="184"/>
      <c r="S403" s="184"/>
      <c r="T403" s="184"/>
    </row>
    <row r="404" spans="1:20" ht="15" x14ac:dyDescent="0.25">
      <c r="A404" s="224" t="s">
        <v>129</v>
      </c>
      <c r="B404" s="83">
        <v>74530</v>
      </c>
      <c r="C404" s="176" t="str">
        <f t="shared" si="50"/>
        <v>PSR_14814.17_DN_80 km/h</v>
      </c>
      <c r="D404" s="177" t="s">
        <v>1045</v>
      </c>
      <c r="E404" s="177" t="s">
        <v>187</v>
      </c>
      <c r="F404" s="178"/>
      <c r="G404" s="179">
        <v>14814.17</v>
      </c>
      <c r="H404" s="179">
        <f t="shared" ref="H404:H415" si="51">G404+F404</f>
        <v>14814.17</v>
      </c>
      <c r="I404" s="230">
        <f>IF("generated"=1, "Path=MMRBEM_7_UP, Scaled Offset=14814.170000000000072759576141834259", 15092.6512929704)</f>
        <v>15092.6512929704</v>
      </c>
      <c r="J404" s="178"/>
      <c r="K404" s="178"/>
      <c r="L404" s="178"/>
      <c r="M404" s="178">
        <v>-2.5</v>
      </c>
      <c r="N404" s="178"/>
      <c r="O404" s="178"/>
      <c r="P404" s="178"/>
      <c r="Q404" s="180" t="s">
        <v>1048</v>
      </c>
      <c r="R404" s="181"/>
      <c r="S404" s="178"/>
      <c r="T404" s="178"/>
    </row>
    <row r="405" spans="1:20" ht="15" x14ac:dyDescent="0.25">
      <c r="A405" s="224" t="s">
        <v>129</v>
      </c>
      <c r="B405">
        <v>74531</v>
      </c>
      <c r="C405" s="176" t="str">
        <f t="shared" si="50"/>
        <v>PSR_14814.17_UP_80 km/h</v>
      </c>
      <c r="D405" s="177" t="s">
        <v>1045</v>
      </c>
      <c r="E405" s="177" t="str">
        <f>E404</f>
        <v>MMRBEM_7_UP</v>
      </c>
      <c r="F405" s="178"/>
      <c r="G405" s="179">
        <f>G404</f>
        <v>14814.17</v>
      </c>
      <c r="H405" s="179">
        <f t="shared" si="51"/>
        <v>14814.17</v>
      </c>
      <c r="I405" s="230">
        <f>IF("generated"=1, "Path=MMRBEM_7_UP, Scaled Offset=14814.170000000000072759576141834259", 15092.6512929704)</f>
        <v>15092.6512929704</v>
      </c>
      <c r="J405" s="178"/>
      <c r="K405" s="178"/>
      <c r="L405" s="178">
        <v>1</v>
      </c>
      <c r="M405" s="178">
        <v>2.5</v>
      </c>
      <c r="N405" s="178"/>
      <c r="O405" s="178"/>
      <c r="P405" s="178"/>
      <c r="Q405" s="178" t="str">
        <f>Q402</f>
        <v>80 km/h</v>
      </c>
      <c r="R405" s="181"/>
      <c r="S405" s="178"/>
      <c r="T405" s="178"/>
    </row>
    <row r="406" spans="1:20" ht="15" x14ac:dyDescent="0.25">
      <c r="A406" s="224" t="s">
        <v>129</v>
      </c>
      <c r="B406" s="83">
        <v>74532</v>
      </c>
      <c r="C406" s="182" t="str">
        <f t="shared" si="50"/>
        <v>PSR_14889.59_DN_80 km/h</v>
      </c>
      <c r="D406" s="183" t="s">
        <v>1045</v>
      </c>
      <c r="E406" s="184" t="s">
        <v>187</v>
      </c>
      <c r="F406" s="184"/>
      <c r="G406" s="179">
        <v>14889.59</v>
      </c>
      <c r="H406" s="185">
        <f t="shared" si="51"/>
        <v>14889.59</v>
      </c>
      <c r="I406" s="230">
        <f>IF("generated"=1, "Path=MMRBEM_7_UP, Scaled Offset=14889.590000000000145519152283668518", 15166.6804705073)</f>
        <v>15166.680470507299</v>
      </c>
      <c r="J406" s="184"/>
      <c r="K406" s="184"/>
      <c r="L406" s="184"/>
      <c r="M406" s="184">
        <v>-2.5</v>
      </c>
      <c r="N406" s="184"/>
      <c r="O406" s="184"/>
      <c r="P406" s="184"/>
      <c r="Q406" s="180" t="s">
        <v>1048</v>
      </c>
      <c r="R406" s="184"/>
      <c r="S406" s="184"/>
      <c r="T406" s="184"/>
    </row>
    <row r="407" spans="1:20" ht="15" x14ac:dyDescent="0.25">
      <c r="A407" s="224" t="s">
        <v>129</v>
      </c>
      <c r="B407">
        <v>74533</v>
      </c>
      <c r="C407" s="182" t="str">
        <f t="shared" si="50"/>
        <v>PSR_14889.59_UP_80 km/h</v>
      </c>
      <c r="D407" s="183" t="s">
        <v>1045</v>
      </c>
      <c r="E407" s="183" t="str">
        <f>E406</f>
        <v>MMRBEM_7_UP</v>
      </c>
      <c r="F407" s="184"/>
      <c r="G407" s="179">
        <f>G406</f>
        <v>14889.59</v>
      </c>
      <c r="H407" s="185">
        <f t="shared" si="51"/>
        <v>14889.59</v>
      </c>
      <c r="I407" s="230">
        <f>IF("generated"=1, "Path=MMRBEM_7_UP, Scaled Offset=14889.590000000000145519152283668518", 15166.6804705073)</f>
        <v>15166.680470507299</v>
      </c>
      <c r="J407" s="184"/>
      <c r="K407" s="184"/>
      <c r="L407" s="184">
        <v>1</v>
      </c>
      <c r="M407" s="184">
        <v>2.5</v>
      </c>
      <c r="N407" s="184"/>
      <c r="O407" s="184"/>
      <c r="P407" s="184"/>
      <c r="Q407" s="184" t="str">
        <f>Q404</f>
        <v>80 km/h</v>
      </c>
      <c r="R407" s="184"/>
      <c r="S407" s="184"/>
      <c r="T407" s="184"/>
    </row>
    <row r="408" spans="1:20" ht="15" x14ac:dyDescent="0.25">
      <c r="A408" s="224" t="s">
        <v>129</v>
      </c>
      <c r="B408" s="83">
        <v>74534</v>
      </c>
      <c r="C408" s="176" t="str">
        <f t="shared" si="50"/>
        <v>PSR_15101.15_DN_75 km/h</v>
      </c>
      <c r="D408" s="177" t="s">
        <v>1045</v>
      </c>
      <c r="E408" s="177" t="s">
        <v>187</v>
      </c>
      <c r="F408" s="178"/>
      <c r="G408" s="179">
        <v>15101.15</v>
      </c>
      <c r="H408" s="179">
        <f t="shared" si="51"/>
        <v>15101.15</v>
      </c>
      <c r="I408" s="230">
        <f>IF("generated"=1, "Path=MMRBEM_7_UP, Scaled Offset=15101.149999999999636202119290828705", 15371.3273403985)</f>
        <v>15371.3273403985</v>
      </c>
      <c r="J408" s="178"/>
      <c r="K408" s="178"/>
      <c r="L408" s="178"/>
      <c r="M408" s="178">
        <v>-2.5</v>
      </c>
      <c r="N408" s="178"/>
      <c r="O408" s="178"/>
      <c r="P408" s="178"/>
      <c r="Q408" s="180" t="s">
        <v>1049</v>
      </c>
      <c r="R408" s="181"/>
      <c r="S408" s="178"/>
      <c r="T408" s="178"/>
    </row>
    <row r="409" spans="1:20" ht="15" x14ac:dyDescent="0.25">
      <c r="A409" s="224" t="s">
        <v>129</v>
      </c>
      <c r="B409">
        <v>74535</v>
      </c>
      <c r="C409" s="176" t="str">
        <f t="shared" si="50"/>
        <v>PSR_15101.15_UP_80 km/h</v>
      </c>
      <c r="D409" s="177" t="s">
        <v>1045</v>
      </c>
      <c r="E409" s="177" t="str">
        <f>E408</f>
        <v>MMRBEM_7_UP</v>
      </c>
      <c r="F409" s="178"/>
      <c r="G409" s="179">
        <f>G408</f>
        <v>15101.15</v>
      </c>
      <c r="H409" s="179">
        <f t="shared" si="51"/>
        <v>15101.15</v>
      </c>
      <c r="I409" s="230">
        <f>IF("generated"=1, "Path=MMRBEM_7_UP, Scaled Offset=15101.149999999999636202119290828705", 15371.3273403985)</f>
        <v>15371.3273403985</v>
      </c>
      <c r="J409" s="178"/>
      <c r="K409" s="178"/>
      <c r="L409" s="178">
        <v>1</v>
      </c>
      <c r="M409" s="178">
        <v>2.5</v>
      </c>
      <c r="N409" s="178"/>
      <c r="O409" s="178"/>
      <c r="P409" s="178"/>
      <c r="Q409" s="178" t="str">
        <f>Q406</f>
        <v>80 km/h</v>
      </c>
      <c r="R409" s="181"/>
      <c r="S409" s="178"/>
      <c r="T409" s="178"/>
    </row>
    <row r="410" spans="1:20" ht="15" x14ac:dyDescent="0.25">
      <c r="A410" s="224" t="s">
        <v>129</v>
      </c>
      <c r="B410" s="83">
        <v>74536</v>
      </c>
      <c r="C410" s="182" t="str">
        <f>"PSR_"&amp;G410&amp;IF(L410=0,"_DN_","_UP_")&amp;Q410</f>
        <v>PSR_15424.83_DN_80 km/h</v>
      </c>
      <c r="D410" s="183" t="s">
        <v>1045</v>
      </c>
      <c r="E410" s="184" t="s">
        <v>187</v>
      </c>
      <c r="F410" s="184"/>
      <c r="G410" s="179">
        <v>15424.83</v>
      </c>
      <c r="H410" s="185">
        <f t="shared" si="51"/>
        <v>15424.83</v>
      </c>
      <c r="I410" s="230">
        <f>IF("generated"=1, "Path=MMRBEM_7_UP, Scaled Offset=15424.829999999999927240423858165741", 15661.9618034498)</f>
        <v>15661.9618034498</v>
      </c>
      <c r="J410" s="184"/>
      <c r="K410" s="184"/>
      <c r="L410" s="184"/>
      <c r="M410" s="184">
        <v>-2.5</v>
      </c>
      <c r="N410" s="184"/>
      <c r="O410" s="184"/>
      <c r="P410" s="184"/>
      <c r="Q410" s="180" t="s">
        <v>1048</v>
      </c>
      <c r="R410" s="184"/>
      <c r="S410" s="184"/>
      <c r="T410" s="184"/>
    </row>
    <row r="411" spans="1:20" ht="15" x14ac:dyDescent="0.25">
      <c r="A411" s="224" t="s">
        <v>129</v>
      </c>
      <c r="B411">
        <v>74537</v>
      </c>
      <c r="C411" s="182" t="str">
        <f t="shared" ref="C411:C415" si="52">"PSR_"&amp;G411&amp;IF(L411=0,"_DN_","_UP_")&amp;Q411</f>
        <v>PSR_15424.83_UP_75 km/h</v>
      </c>
      <c r="D411" s="183" t="s">
        <v>1045</v>
      </c>
      <c r="E411" s="183" t="str">
        <f>E410</f>
        <v>MMRBEM_7_UP</v>
      </c>
      <c r="F411" s="184"/>
      <c r="G411" s="179">
        <f>G410</f>
        <v>15424.83</v>
      </c>
      <c r="H411" s="185">
        <f t="shared" si="51"/>
        <v>15424.83</v>
      </c>
      <c r="I411" s="230">
        <f>IF("generated"=1, "Path=MMRBEM_7_UP, Scaled Offset=15424.829999999999927240423858165741", 15661.9618034498)</f>
        <v>15661.9618034498</v>
      </c>
      <c r="J411" s="184"/>
      <c r="K411" s="184"/>
      <c r="L411" s="184">
        <v>1</v>
      </c>
      <c r="M411" s="184">
        <v>2.5</v>
      </c>
      <c r="N411" s="184"/>
      <c r="O411" s="184"/>
      <c r="P411" s="184"/>
      <c r="Q411" s="184" t="str">
        <f>Q408</f>
        <v>75 km/h</v>
      </c>
      <c r="R411" s="184"/>
      <c r="S411" s="184"/>
      <c r="T411" s="184"/>
    </row>
    <row r="412" spans="1:20" ht="15" x14ac:dyDescent="0.25">
      <c r="A412" s="224" t="s">
        <v>129</v>
      </c>
      <c r="B412" s="83">
        <v>74538</v>
      </c>
      <c r="C412" s="176" t="str">
        <f t="shared" si="52"/>
        <v>PSR_15445.59_DN_80 km/h</v>
      </c>
      <c r="D412" s="177" t="s">
        <v>1045</v>
      </c>
      <c r="E412" s="177" t="s">
        <v>187</v>
      </c>
      <c r="F412" s="178"/>
      <c r="G412" s="179">
        <v>15445.59</v>
      </c>
      <c r="H412" s="179">
        <f t="shared" si="51"/>
        <v>15445.59</v>
      </c>
      <c r="I412" s="230">
        <f>IF("generated"=1, "Path=MMRBEM_7_UP, Scaled Offset=15445.590000000000145519152283668518", 15680.6023479782)</f>
        <v>15680.6023479782</v>
      </c>
      <c r="J412" s="178"/>
      <c r="K412" s="178"/>
      <c r="L412" s="178"/>
      <c r="M412" s="178">
        <v>-2.5</v>
      </c>
      <c r="N412" s="178"/>
      <c r="O412" s="178"/>
      <c r="P412" s="178"/>
      <c r="Q412" s="180" t="s">
        <v>1048</v>
      </c>
      <c r="R412" s="181"/>
      <c r="S412" s="178"/>
      <c r="T412" s="178"/>
    </row>
    <row r="413" spans="1:20" ht="15" x14ac:dyDescent="0.25">
      <c r="A413" s="224" t="s">
        <v>129</v>
      </c>
      <c r="B413">
        <v>74539</v>
      </c>
      <c r="C413" s="176" t="str">
        <f t="shared" si="52"/>
        <v>PSR_15445.59_UP_80 km/h</v>
      </c>
      <c r="D413" s="177" t="s">
        <v>1045</v>
      </c>
      <c r="E413" s="177" t="str">
        <f>E412</f>
        <v>MMRBEM_7_UP</v>
      </c>
      <c r="F413" s="178"/>
      <c r="G413" s="179">
        <f>G412</f>
        <v>15445.59</v>
      </c>
      <c r="H413" s="179">
        <f t="shared" si="51"/>
        <v>15445.59</v>
      </c>
      <c r="I413" s="230">
        <f>IF("generated"=1, "Path=MMRBEM_7_UP, Scaled Offset=15445.590000000000145519152283668518", 15680.6023479782)</f>
        <v>15680.6023479782</v>
      </c>
      <c r="J413" s="178"/>
      <c r="K413" s="178"/>
      <c r="L413" s="178">
        <v>1</v>
      </c>
      <c r="M413" s="178">
        <v>2.5</v>
      </c>
      <c r="N413" s="178"/>
      <c r="O413" s="178"/>
      <c r="P413" s="178"/>
      <c r="Q413" s="178" t="str">
        <f>Q410</f>
        <v>80 km/h</v>
      </c>
      <c r="R413" s="181"/>
      <c r="S413" s="178"/>
      <c r="T413" s="178"/>
    </row>
    <row r="414" spans="1:20" ht="15" x14ac:dyDescent="0.25">
      <c r="A414" s="224" t="s">
        <v>129</v>
      </c>
      <c r="B414" s="83">
        <v>74540</v>
      </c>
      <c r="C414" s="182" t="str">
        <f t="shared" si="52"/>
        <v>PSR_15456.48_DN_80 km/h</v>
      </c>
      <c r="D414" s="183" t="s">
        <v>1045</v>
      </c>
      <c r="E414" s="184" t="s">
        <v>187</v>
      </c>
      <c r="F414" s="184"/>
      <c r="G414" s="179">
        <v>15456.48</v>
      </c>
      <c r="H414" s="185">
        <f t="shared" si="51"/>
        <v>15456.48</v>
      </c>
      <c r="I414" s="230">
        <f>IF("generated"=1, "Path=MMRBEM_7_UP, Scaled Offset=15456.479999999999563442543148994446", 15722.2833971083)</f>
        <v>15722.2833971083</v>
      </c>
      <c r="J414" s="184"/>
      <c r="K414" s="184"/>
      <c r="L414" s="184"/>
      <c r="M414" s="184">
        <v>-2.5</v>
      </c>
      <c r="N414" s="184"/>
      <c r="O414" s="184"/>
      <c r="P414" s="184"/>
      <c r="Q414" s="180" t="s">
        <v>1048</v>
      </c>
      <c r="R414" s="184"/>
      <c r="S414" s="184"/>
      <c r="T414" s="184"/>
    </row>
    <row r="415" spans="1:20" ht="15" x14ac:dyDescent="0.25">
      <c r="A415" s="224" t="s">
        <v>129</v>
      </c>
      <c r="B415">
        <v>74541</v>
      </c>
      <c r="C415" s="182" t="str">
        <f t="shared" si="52"/>
        <v>PSR_15456.48_UP_80 km/h</v>
      </c>
      <c r="D415" s="183" t="s">
        <v>1045</v>
      </c>
      <c r="E415" s="183" t="str">
        <f>E414</f>
        <v>MMRBEM_7_UP</v>
      </c>
      <c r="F415" s="184"/>
      <c r="G415" s="179">
        <f>G414</f>
        <v>15456.48</v>
      </c>
      <c r="H415" s="185">
        <f t="shared" si="51"/>
        <v>15456.48</v>
      </c>
      <c r="I415" s="230">
        <f>IF("generated"=1, "Path=MMRBEM_7_UP, Scaled Offset=15456.479999999999563442543148994446", 15722.2833971083)</f>
        <v>15722.2833971083</v>
      </c>
      <c r="J415" s="184"/>
      <c r="K415" s="184"/>
      <c r="L415" s="184">
        <v>1</v>
      </c>
      <c r="M415" s="184">
        <v>2.5</v>
      </c>
      <c r="N415" s="184"/>
      <c r="O415" s="184"/>
      <c r="P415" s="184"/>
      <c r="Q415" s="184" t="str">
        <f>Q412</f>
        <v>80 km/h</v>
      </c>
      <c r="R415" s="184"/>
      <c r="S415" s="184"/>
      <c r="T415" s="184"/>
    </row>
  </sheetData>
  <conditionalFormatting sqref="C1:C6">
    <cfRule type="duplicateValues" dxfId="15" priority="6"/>
  </conditionalFormatting>
  <conditionalFormatting sqref="E2:E6">
    <cfRule type="cellIs" dxfId="14" priority="4" operator="equal">
      <formula>$E$7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4B51-FE2A-41D6-B1D4-D38D0852084F}">
  <dimension ref="A1:AC557"/>
  <sheetViews>
    <sheetView topLeftCell="A2" workbookViewId="0">
      <selection activeCell="I7" sqref="I7:I555"/>
    </sheetView>
  </sheetViews>
  <sheetFormatPr defaultRowHeight="12.75" x14ac:dyDescent="0.2"/>
  <cols>
    <col min="1" max="1" width="9.5703125" style="218" bestFit="1" customWidth="1"/>
    <col min="2" max="2" width="6" bestFit="1" customWidth="1"/>
    <col min="3" max="3" width="16.140625" bestFit="1" customWidth="1"/>
    <col min="4" max="4" width="14.7109375" bestFit="1" customWidth="1"/>
    <col min="5" max="5" width="18.7109375" bestFit="1" customWidth="1"/>
    <col min="6" max="6" width="14.85546875" bestFit="1" customWidth="1"/>
    <col min="7" max="7" width="9.7109375" style="116" bestFit="1" customWidth="1"/>
    <col min="8" max="8" width="13.140625" bestFit="1" customWidth="1"/>
    <col min="9" max="9" width="12" bestFit="1" customWidth="1"/>
    <col min="10" max="10" width="11.140625" customWidth="1"/>
    <col min="27" max="27" width="13.140625" bestFit="1" customWidth="1"/>
  </cols>
  <sheetData>
    <row r="1" spans="1:29" ht="14.25" x14ac:dyDescent="0.2">
      <c r="A1" s="103"/>
      <c r="B1" s="22"/>
      <c r="C1" s="80"/>
      <c r="D1" s="24" t="s">
        <v>48</v>
      </c>
      <c r="E1" s="24">
        <v>1</v>
      </c>
      <c r="F1" s="22"/>
      <c r="G1" s="136"/>
      <c r="H1" s="22"/>
      <c r="I1" s="22"/>
      <c r="J1" s="22"/>
      <c r="K1" s="22"/>
      <c r="L1" s="22"/>
      <c r="M1" s="23"/>
      <c r="N1" s="22"/>
      <c r="O1" s="22"/>
      <c r="P1" s="22"/>
      <c r="Q1" s="22"/>
      <c r="R1" s="8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x14ac:dyDescent="0.2">
      <c r="C2" s="80"/>
      <c r="M2" s="6"/>
      <c r="R2" s="83"/>
    </row>
    <row r="3" spans="1:29" x14ac:dyDescent="0.2">
      <c r="A3" s="226" t="s">
        <v>1</v>
      </c>
      <c r="B3" s="7" t="s">
        <v>18</v>
      </c>
      <c r="C3" s="7" t="s">
        <v>2</v>
      </c>
      <c r="D3" s="15"/>
      <c r="E3" s="30"/>
      <c r="F3" s="8"/>
      <c r="G3" s="137"/>
      <c r="H3" s="9"/>
      <c r="I3" s="10"/>
      <c r="J3" s="11"/>
      <c r="K3" s="11"/>
      <c r="L3" s="12"/>
      <c r="M3" s="25"/>
      <c r="N3" s="13"/>
      <c r="O3" s="12"/>
      <c r="P3" s="12"/>
      <c r="Q3" s="12"/>
      <c r="R3" s="8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x14ac:dyDescent="0.2">
      <c r="A4" s="227" t="s">
        <v>19</v>
      </c>
      <c r="B4" s="171">
        <v>75549</v>
      </c>
      <c r="C4" t="s">
        <v>296</v>
      </c>
      <c r="D4" s="15"/>
      <c r="F4" s="8"/>
      <c r="G4" s="137"/>
      <c r="H4" s="9"/>
      <c r="I4" s="10"/>
      <c r="J4" s="11"/>
      <c r="K4" s="11"/>
      <c r="L4" s="12"/>
      <c r="M4" s="25"/>
      <c r="N4" s="13"/>
      <c r="O4" s="12"/>
      <c r="P4" s="12"/>
      <c r="Q4" s="12"/>
      <c r="R4" s="8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x14ac:dyDescent="0.2">
      <c r="A5" s="227"/>
      <c r="C5" s="80"/>
      <c r="M5" s="6"/>
      <c r="R5" s="83"/>
    </row>
    <row r="6" spans="1:29" s="135" customFormat="1" x14ac:dyDescent="0.2">
      <c r="A6" s="213" t="s">
        <v>1</v>
      </c>
      <c r="B6" s="129" t="s">
        <v>18</v>
      </c>
      <c r="C6" s="129" t="s">
        <v>2</v>
      </c>
      <c r="D6" s="129" t="s">
        <v>14</v>
      </c>
      <c r="E6" s="129" t="s">
        <v>9</v>
      </c>
      <c r="F6" s="130" t="s">
        <v>30</v>
      </c>
      <c r="G6" s="138" t="s">
        <v>13</v>
      </c>
      <c r="H6" s="131" t="s">
        <v>10</v>
      </c>
      <c r="I6" s="132" t="s">
        <v>7</v>
      </c>
      <c r="J6" s="133" t="s">
        <v>15</v>
      </c>
      <c r="K6" s="133" t="s">
        <v>28</v>
      </c>
      <c r="L6" s="129" t="s">
        <v>20</v>
      </c>
      <c r="M6" s="134" t="s">
        <v>21</v>
      </c>
      <c r="N6" s="119" t="s">
        <v>22</v>
      </c>
      <c r="O6" s="129" t="s">
        <v>23</v>
      </c>
      <c r="P6" s="129" t="s">
        <v>24</v>
      </c>
      <c r="Q6" s="129" t="s">
        <v>25</v>
      </c>
      <c r="R6" s="129" t="s">
        <v>132</v>
      </c>
      <c r="S6" s="129" t="s">
        <v>143</v>
      </c>
      <c r="T6" s="129" t="s">
        <v>49</v>
      </c>
      <c r="U6" s="129" t="s">
        <v>50</v>
      </c>
      <c r="V6" s="129" t="s">
        <v>70</v>
      </c>
      <c r="W6" s="129" t="s">
        <v>71</v>
      </c>
      <c r="X6" s="129" t="s">
        <v>72</v>
      </c>
      <c r="Y6" s="129" t="s">
        <v>73</v>
      </c>
      <c r="Z6" s="129" t="s">
        <v>66</v>
      </c>
    </row>
    <row r="7" spans="1:29" ht="15" x14ac:dyDescent="0.25">
      <c r="A7" s="224" t="s">
        <v>129</v>
      </c>
      <c r="B7" s="83">
        <v>75000</v>
      </c>
      <c r="C7" s="21" t="s">
        <v>371</v>
      </c>
      <c r="D7" s="93" t="s">
        <v>920</v>
      </c>
      <c r="E7" s="115" t="s">
        <v>188</v>
      </c>
      <c r="G7" s="116">
        <v>-488.7</v>
      </c>
      <c r="H7" s="116">
        <f t="shared" ref="H7:H70" si="0">G7+F7</f>
        <v>-488.7</v>
      </c>
      <c r="I7" s="230">
        <f>IF("generated"=1, "Path=MMRBEM_7_DOWN, Scaled Offset=-488.69999999999998863131622783839703", 36.672534186495)</f>
        <v>36.672534186495</v>
      </c>
      <c r="J7" t="s">
        <v>248</v>
      </c>
      <c r="R7" s="83"/>
      <c r="AC7" s="21"/>
    </row>
    <row r="8" spans="1:29" ht="15" x14ac:dyDescent="0.25">
      <c r="A8" s="224" t="s">
        <v>129</v>
      </c>
      <c r="B8" s="83">
        <v>75001</v>
      </c>
      <c r="C8" s="21" t="s">
        <v>372</v>
      </c>
      <c r="D8" s="93" t="s">
        <v>920</v>
      </c>
      <c r="E8" s="115" t="s">
        <v>188</v>
      </c>
      <c r="G8" s="116">
        <v>-458.77</v>
      </c>
      <c r="H8" s="116">
        <f t="shared" si="0"/>
        <v>-458.77</v>
      </c>
      <c r="I8" s="230">
        <f>IF("generated"=1, "Path=MMRBEM_7_DOWN, Scaled Offset=-458.76999999999998181010596454143524", 66.1781510736401)</f>
        <v>66.178151073640095</v>
      </c>
      <c r="J8" t="s">
        <v>248</v>
      </c>
      <c r="R8" s="83"/>
    </row>
    <row r="9" spans="1:29" ht="15" x14ac:dyDescent="0.25">
      <c r="A9" s="224" t="s">
        <v>129</v>
      </c>
      <c r="B9" s="83">
        <v>75002</v>
      </c>
      <c r="C9" s="21" t="s">
        <v>373</v>
      </c>
      <c r="D9" s="93" t="s">
        <v>920</v>
      </c>
      <c r="E9" s="115" t="s">
        <v>188</v>
      </c>
      <c r="G9" s="116">
        <v>-412.93</v>
      </c>
      <c r="H9" s="116">
        <f t="shared" si="0"/>
        <v>-412.93</v>
      </c>
      <c r="I9" s="230">
        <f>IF("generated"=1, "Path=MMRBEM_7_DOWN, Scaled Offset=-412.93000000000000682121026329696178", 111.368177071192)</f>
        <v>111.36817707119199</v>
      </c>
      <c r="J9" t="s">
        <v>248</v>
      </c>
      <c r="R9" s="83"/>
      <c r="S9" s="83"/>
    </row>
    <row r="10" spans="1:29" ht="15" x14ac:dyDescent="0.25">
      <c r="A10" s="224" t="s">
        <v>129</v>
      </c>
      <c r="B10" s="83">
        <v>75003</v>
      </c>
      <c r="C10" s="21" t="s">
        <v>375</v>
      </c>
      <c r="D10" s="93" t="s">
        <v>920</v>
      </c>
      <c r="E10" s="115" t="s">
        <v>188</v>
      </c>
      <c r="G10" s="116">
        <v>-371.98</v>
      </c>
      <c r="H10" s="116">
        <f t="shared" si="0"/>
        <v>-371.98</v>
      </c>
      <c r="I10" s="230">
        <f>IF("generated"=1, "Path=MMRBEM_7_DOWN, Scaled Offset=-371.98000000000001818989403545856476", 151.73753930068)</f>
        <v>151.73753930068</v>
      </c>
      <c r="J10" t="s">
        <v>248</v>
      </c>
      <c r="R10" s="83"/>
    </row>
    <row r="11" spans="1:29" ht="15" x14ac:dyDescent="0.25">
      <c r="A11" s="224" t="s">
        <v>129</v>
      </c>
      <c r="B11" s="83">
        <v>75004</v>
      </c>
      <c r="C11" s="21" t="s">
        <v>374</v>
      </c>
      <c r="D11" s="93" t="s">
        <v>920</v>
      </c>
      <c r="E11" s="115" t="s">
        <v>188</v>
      </c>
      <c r="G11" s="116">
        <v>-316.81</v>
      </c>
      <c r="H11" s="116">
        <f t="shared" si="0"/>
        <v>-316.81</v>
      </c>
      <c r="I11" s="230">
        <f>IF("generated"=1, "Path=MMRBEM_7_DOWN, Scaled Offset=-316.81000000000000227373675443232059", 206.1252734692)</f>
        <v>206.12527346920001</v>
      </c>
      <c r="J11" t="s">
        <v>248</v>
      </c>
      <c r="R11" s="83"/>
    </row>
    <row r="12" spans="1:29" ht="15" x14ac:dyDescent="0.25">
      <c r="A12" s="224" t="s">
        <v>129</v>
      </c>
      <c r="B12">
        <v>75005</v>
      </c>
      <c r="C12" t="s">
        <v>376</v>
      </c>
      <c r="D12" s="93" t="s">
        <v>920</v>
      </c>
      <c r="E12" s="115" t="s">
        <v>188</v>
      </c>
      <c r="G12" s="116">
        <v>-280.93</v>
      </c>
      <c r="H12" s="116">
        <f t="shared" si="0"/>
        <v>-280.93</v>
      </c>
      <c r="I12" s="230">
        <f>IF("generated"=1, "Path=MMRBEM_7_DOWN, Scaled Offset=-280.93000000000000682121026329696178", 241.496524184561)</f>
        <v>241.496524184561</v>
      </c>
      <c r="J12" t="s">
        <v>248</v>
      </c>
    </row>
    <row r="13" spans="1:29" ht="15" x14ac:dyDescent="0.25">
      <c r="A13" s="224" t="s">
        <v>129</v>
      </c>
      <c r="B13">
        <v>75006</v>
      </c>
      <c r="C13" t="s">
        <v>377</v>
      </c>
      <c r="D13" s="93" t="s">
        <v>920</v>
      </c>
      <c r="E13" s="115" t="s">
        <v>188</v>
      </c>
      <c r="G13" s="116">
        <v>-192</v>
      </c>
      <c r="H13" s="116">
        <f t="shared" si="0"/>
        <v>-192</v>
      </c>
      <c r="I13" s="230">
        <f>IF("generated"=1, "Path=MMRBEM_7_DOWN, Scaled Offset=-192", 327.987530584654)</f>
        <v>327.987530584654</v>
      </c>
      <c r="J13" t="s">
        <v>248</v>
      </c>
    </row>
    <row r="14" spans="1:29" ht="15" x14ac:dyDescent="0.25">
      <c r="A14" s="224" t="s">
        <v>129</v>
      </c>
      <c r="B14">
        <v>75007</v>
      </c>
      <c r="C14" t="s">
        <v>378</v>
      </c>
      <c r="D14" s="93" t="s">
        <v>920</v>
      </c>
      <c r="E14" s="115" t="s">
        <v>188</v>
      </c>
      <c r="G14" s="116">
        <v>-171</v>
      </c>
      <c r="H14" s="116">
        <f t="shared" si="0"/>
        <v>-171</v>
      </c>
      <c r="I14" s="230">
        <f>IF("generated"=1, "Path=MMRBEM_7_DOWN, Scaled Offset=-171", 348.694987493951)</f>
        <v>348.69498749395098</v>
      </c>
      <c r="J14" t="s">
        <v>248</v>
      </c>
    </row>
    <row r="15" spans="1:29" ht="15" x14ac:dyDescent="0.25">
      <c r="A15" s="224" t="s">
        <v>129</v>
      </c>
      <c r="B15">
        <v>75008</v>
      </c>
      <c r="C15" t="s">
        <v>379</v>
      </c>
      <c r="D15" s="93" t="s">
        <v>920</v>
      </c>
      <c r="E15" s="115" t="s">
        <v>188</v>
      </c>
      <c r="G15" s="116">
        <v>-150</v>
      </c>
      <c r="H15" s="116">
        <f t="shared" si="0"/>
        <v>-150</v>
      </c>
      <c r="I15" s="230">
        <f>IF("generated"=1, "Path=MMRBEM_7_DOWN, Scaled Offset=-150", 369.402444403249)</f>
        <v>369.40244440324898</v>
      </c>
      <c r="J15" t="s">
        <v>248</v>
      </c>
    </row>
    <row r="16" spans="1:29" ht="15" x14ac:dyDescent="0.25">
      <c r="A16" s="224" t="s">
        <v>129</v>
      </c>
      <c r="B16">
        <v>75009</v>
      </c>
      <c r="C16" t="s">
        <v>380</v>
      </c>
      <c r="D16" s="93" t="s">
        <v>920</v>
      </c>
      <c r="E16" s="115" t="s">
        <v>188</v>
      </c>
      <c r="G16" s="116">
        <v>-124.79</v>
      </c>
      <c r="H16" s="116">
        <f t="shared" si="0"/>
        <v>-124.79</v>
      </c>
      <c r="I16" s="230">
        <f>IF("generated"=1, "Path=MMRBEM_7_DOWN, Scaled Offset=-124.79000000000000625277607468888164", 394.261253388172)</f>
        <v>394.26125338817201</v>
      </c>
      <c r="J16" t="s">
        <v>248</v>
      </c>
    </row>
    <row r="17" spans="1:10" ht="15" x14ac:dyDescent="0.25">
      <c r="A17" s="224" t="s">
        <v>129</v>
      </c>
      <c r="B17">
        <v>75010</v>
      </c>
      <c r="C17" t="s">
        <v>381</v>
      </c>
      <c r="D17" s="93" t="s">
        <v>920</v>
      </c>
      <c r="E17" s="115" t="s">
        <v>188</v>
      </c>
      <c r="G17" s="116">
        <v>-109.93</v>
      </c>
      <c r="H17" s="116">
        <f t="shared" si="0"/>
        <v>-109.93</v>
      </c>
      <c r="I17" s="230">
        <f>IF("generated"=1, "Path=MMRBEM_7_DOWN, Scaled Offset=-109.93000000000000682121026329696178", 408.914244324941)</f>
        <v>408.91424432494102</v>
      </c>
      <c r="J17" t="s">
        <v>248</v>
      </c>
    </row>
    <row r="18" spans="1:10" ht="15" x14ac:dyDescent="0.25">
      <c r="A18" s="224" t="s">
        <v>129</v>
      </c>
      <c r="B18">
        <v>75011</v>
      </c>
      <c r="C18" t="s">
        <v>382</v>
      </c>
      <c r="D18" s="93" t="s">
        <v>920</v>
      </c>
      <c r="E18" s="115" t="s">
        <v>188</v>
      </c>
      <c r="G18" s="116">
        <v>-106.93</v>
      </c>
      <c r="H18" s="116">
        <f t="shared" si="0"/>
        <v>-106.93</v>
      </c>
      <c r="I18" s="230">
        <f>IF("generated"=1, "Path=MMRBEM_7_DOWN, Scaled Offset=-106.93000000000000682121026329696178", 411.872452454841)</f>
        <v>411.87245245484098</v>
      </c>
      <c r="J18" t="s">
        <v>248</v>
      </c>
    </row>
    <row r="19" spans="1:10" ht="15" x14ac:dyDescent="0.25">
      <c r="A19" s="224" t="s">
        <v>129</v>
      </c>
      <c r="B19">
        <v>75012</v>
      </c>
      <c r="C19" t="s">
        <v>383</v>
      </c>
      <c r="D19" s="93" t="s">
        <v>920</v>
      </c>
      <c r="E19" s="115" t="s">
        <v>188</v>
      </c>
      <c r="G19" s="116">
        <v>-87.01</v>
      </c>
      <c r="H19" s="116">
        <f t="shared" si="0"/>
        <v>-87.01</v>
      </c>
      <c r="I19" s="230">
        <f>IF("generated"=1, "Path=MMRBEM_7_DOWN, Scaled Offset=-87.010000000000005115907697472721338", 431.514954437374)</f>
        <v>431.514954437374</v>
      </c>
      <c r="J19" t="s">
        <v>248</v>
      </c>
    </row>
    <row r="20" spans="1:10" ht="15" x14ac:dyDescent="0.25">
      <c r="A20" s="224" t="s">
        <v>129</v>
      </c>
      <c r="B20">
        <v>75013</v>
      </c>
      <c r="C20" t="s">
        <v>384</v>
      </c>
      <c r="D20" s="93" t="s">
        <v>920</v>
      </c>
      <c r="E20" s="115" t="s">
        <v>188</v>
      </c>
      <c r="G20" s="116">
        <v>-84.01</v>
      </c>
      <c r="H20" s="116">
        <f t="shared" si="0"/>
        <v>-84.01</v>
      </c>
      <c r="I20" s="230">
        <f>IF("generated"=1, "Path=MMRBEM_7_DOWN, Scaled Offset=-84.010000000000005115907697472721338", 434.473162567274)</f>
        <v>434.47316256727402</v>
      </c>
      <c r="J20" t="s">
        <v>248</v>
      </c>
    </row>
    <row r="21" spans="1:10" ht="15" x14ac:dyDescent="0.25">
      <c r="A21" s="224" t="s">
        <v>129</v>
      </c>
      <c r="B21">
        <v>75014</v>
      </c>
      <c r="C21" t="s">
        <v>398</v>
      </c>
      <c r="D21" s="93" t="s">
        <v>920</v>
      </c>
      <c r="E21" s="115" t="s">
        <v>188</v>
      </c>
      <c r="G21" s="116">
        <v>-25.99</v>
      </c>
      <c r="H21" s="116">
        <f t="shared" si="0"/>
        <v>-25.99</v>
      </c>
      <c r="I21" s="230">
        <f>IF("generated"=1, "Path=MMRBEM_7_DOWN, Scaled Offset=-25.989999999999998436805981327779591", 491.684907799533)</f>
        <v>491.68490779953299</v>
      </c>
      <c r="J21" t="s">
        <v>248</v>
      </c>
    </row>
    <row r="22" spans="1:10" ht="15" x14ac:dyDescent="0.25">
      <c r="A22" s="224" t="s">
        <v>129</v>
      </c>
      <c r="B22">
        <v>75015</v>
      </c>
      <c r="C22" t="s">
        <v>385</v>
      </c>
      <c r="D22" s="93" t="s">
        <v>920</v>
      </c>
      <c r="E22" s="115" t="s">
        <v>188</v>
      </c>
      <c r="G22" s="116">
        <v>9.1</v>
      </c>
      <c r="H22" s="116">
        <f t="shared" si="0"/>
        <v>9.1</v>
      </c>
      <c r="I22" s="230">
        <f>IF("generated"=1, "Path=MMRBEM_7_DOWN, Scaled Offset=9.0999999999999996447286321199499071", 526.286082225592)</f>
        <v>526.28608222559205</v>
      </c>
      <c r="J22" t="s">
        <v>248</v>
      </c>
    </row>
    <row r="23" spans="1:10" ht="15" x14ac:dyDescent="0.25">
      <c r="A23" s="224" t="s">
        <v>129</v>
      </c>
      <c r="B23">
        <v>75016</v>
      </c>
      <c r="C23" t="s">
        <v>388</v>
      </c>
      <c r="D23" s="93" t="s">
        <v>920</v>
      </c>
      <c r="E23" s="115" t="s">
        <v>188</v>
      </c>
      <c r="G23" s="116">
        <v>12.1</v>
      </c>
      <c r="H23" s="116">
        <f t="shared" si="0"/>
        <v>12.1</v>
      </c>
      <c r="I23" s="230">
        <f>IF("generated"=1, "Path=MMRBEM_7_DOWN, Scaled Offset=12.099999999999999644728632119949907", 529.244290355492)</f>
        <v>529.24429035549201</v>
      </c>
      <c r="J23" t="s">
        <v>248</v>
      </c>
    </row>
    <row r="24" spans="1:10" ht="15" x14ac:dyDescent="0.25">
      <c r="A24" s="224" t="s">
        <v>129</v>
      </c>
      <c r="B24">
        <v>75017</v>
      </c>
      <c r="C24" t="s">
        <v>386</v>
      </c>
      <c r="D24" s="93" t="s">
        <v>920</v>
      </c>
      <c r="E24" s="115" t="s">
        <v>188</v>
      </c>
      <c r="G24" s="116">
        <v>32.020000000000003</v>
      </c>
      <c r="H24" s="116">
        <f t="shared" si="0"/>
        <v>32.020000000000003</v>
      </c>
      <c r="I24" s="230">
        <f>IF("generated"=1, "Path=MMRBEM_7_DOWN, Scaled Offset=32.020000000000003126388037344440818", 548.886792338025)</f>
        <v>548.88679233802497</v>
      </c>
      <c r="J24" t="s">
        <v>248</v>
      </c>
    </row>
    <row r="25" spans="1:10" ht="15" x14ac:dyDescent="0.25">
      <c r="A25" s="224" t="s">
        <v>129</v>
      </c>
      <c r="B25">
        <v>75018</v>
      </c>
      <c r="C25" t="s">
        <v>387</v>
      </c>
      <c r="D25" s="93" t="s">
        <v>920</v>
      </c>
      <c r="E25" s="115" t="s">
        <v>188</v>
      </c>
      <c r="G25" s="116">
        <v>35.020000000000003</v>
      </c>
      <c r="H25" s="116">
        <f t="shared" si="0"/>
        <v>35.020000000000003</v>
      </c>
      <c r="I25" s="230">
        <f>IF("generated"=1, "Path=MMRBEM_7_DOWN, Scaled Offset=35.020000000000003126388037344440818", 551.845000467925)</f>
        <v>551.84500046792505</v>
      </c>
      <c r="J25" t="s">
        <v>248</v>
      </c>
    </row>
    <row r="26" spans="1:10" ht="15" x14ac:dyDescent="0.25">
      <c r="A26" s="224" t="s">
        <v>129</v>
      </c>
      <c r="B26">
        <v>75019</v>
      </c>
      <c r="C26" t="s">
        <v>389</v>
      </c>
      <c r="D26" s="93" t="s">
        <v>920</v>
      </c>
      <c r="E26" s="115" t="s">
        <v>188</v>
      </c>
      <c r="G26" s="116">
        <v>87.44</v>
      </c>
      <c r="H26" s="116">
        <f t="shared" si="0"/>
        <v>87.44</v>
      </c>
      <c r="I26" s="230">
        <f>IF("generated"=1, "Path=MMRBEM_7_DOWN, Scaled Offset=87.439999999999997726263245567679405", 603.534757191038)</f>
        <v>603.53475719103801</v>
      </c>
      <c r="J26" t="s">
        <v>248</v>
      </c>
    </row>
    <row r="27" spans="1:10" ht="15" x14ac:dyDescent="0.25">
      <c r="A27" s="224" t="s">
        <v>129</v>
      </c>
      <c r="B27">
        <v>75020</v>
      </c>
      <c r="C27" t="s">
        <v>390</v>
      </c>
      <c r="D27" s="93" t="s">
        <v>920</v>
      </c>
      <c r="E27" s="115" t="s">
        <v>188</v>
      </c>
      <c r="G27" s="116">
        <v>159</v>
      </c>
      <c r="H27" s="116">
        <f t="shared" si="0"/>
        <v>159</v>
      </c>
      <c r="I27" s="230">
        <f>IF("generated"=1, "Path=MMRBEM_7_DOWN, Scaled Offset=159", 674.09788178291)</f>
        <v>674.09788178291001</v>
      </c>
      <c r="J27" t="s">
        <v>248</v>
      </c>
    </row>
    <row r="28" spans="1:10" ht="15" x14ac:dyDescent="0.25">
      <c r="A28" s="224" t="s">
        <v>129</v>
      </c>
      <c r="B28">
        <v>75021</v>
      </c>
      <c r="C28" t="s">
        <v>391</v>
      </c>
      <c r="D28" s="93" t="s">
        <v>920</v>
      </c>
      <c r="E28" s="115" t="s">
        <v>188</v>
      </c>
      <c r="G28" s="116">
        <v>180</v>
      </c>
      <c r="H28" s="116">
        <f t="shared" si="0"/>
        <v>180</v>
      </c>
      <c r="I28" s="230">
        <f>IF("generated"=1, "Path=MMRBEM_7_DOWN, Scaled Offset=180", 694.805338692207)</f>
        <v>694.80533869220699</v>
      </c>
      <c r="J28" t="s">
        <v>248</v>
      </c>
    </row>
    <row r="29" spans="1:10" ht="15" x14ac:dyDescent="0.25">
      <c r="A29" s="224" t="s">
        <v>129</v>
      </c>
      <c r="B29">
        <v>75022</v>
      </c>
      <c r="C29" t="s">
        <v>392</v>
      </c>
      <c r="D29" s="93" t="s">
        <v>920</v>
      </c>
      <c r="E29" s="115" t="s">
        <v>188</v>
      </c>
      <c r="G29" s="116">
        <v>300</v>
      </c>
      <c r="H29" s="116">
        <f t="shared" si="0"/>
        <v>300</v>
      </c>
      <c r="I29" s="230">
        <f>IF("generated"=1, "Path=MMRBEM_7_DOWN, Scaled Offset=300", 812.85994566036)</f>
        <v>812.85994566036004</v>
      </c>
      <c r="J29" t="s">
        <v>248</v>
      </c>
    </row>
    <row r="30" spans="1:10" ht="15" x14ac:dyDescent="0.25">
      <c r="A30" s="224" t="s">
        <v>129</v>
      </c>
      <c r="B30">
        <v>75023</v>
      </c>
      <c r="C30" t="s">
        <v>393</v>
      </c>
      <c r="D30" s="93" t="s">
        <v>920</v>
      </c>
      <c r="E30" s="115" t="s">
        <v>188</v>
      </c>
      <c r="G30" s="116">
        <v>373.4</v>
      </c>
      <c r="H30" s="116">
        <f t="shared" si="0"/>
        <v>373.4</v>
      </c>
      <c r="I30" s="230">
        <f>IF("generated"=1, "Path=MMRBEM_7_DOWN, Scaled Offset=373.39999999999997726263245567679405", 885.061108978409)</f>
        <v>885.06110897840904</v>
      </c>
      <c r="J30" t="s">
        <v>248</v>
      </c>
    </row>
    <row r="31" spans="1:10" ht="15" x14ac:dyDescent="0.25">
      <c r="A31" s="224" t="s">
        <v>129</v>
      </c>
      <c r="B31">
        <v>75024</v>
      </c>
      <c r="C31" t="s">
        <v>394</v>
      </c>
      <c r="D31" s="93" t="s">
        <v>920</v>
      </c>
      <c r="E31" s="115" t="s">
        <v>188</v>
      </c>
      <c r="G31" s="116">
        <v>459.96</v>
      </c>
      <c r="H31" s="116">
        <f t="shared" si="0"/>
        <v>459.96</v>
      </c>
      <c r="I31" s="230">
        <f>IF("generated"=1, "Path=MMRBEM_7_DOWN, Scaled Offset=459.95999999999997953636921010911465", 970.207331005797)</f>
        <v>970.20733100579696</v>
      </c>
      <c r="J31" t="s">
        <v>248</v>
      </c>
    </row>
    <row r="32" spans="1:10" ht="15" x14ac:dyDescent="0.25">
      <c r="A32" s="224" t="s">
        <v>129</v>
      </c>
      <c r="B32">
        <v>75025</v>
      </c>
      <c r="C32" t="s">
        <v>399</v>
      </c>
      <c r="D32" s="93" t="s">
        <v>920</v>
      </c>
      <c r="E32" s="115" t="s">
        <v>188</v>
      </c>
      <c r="G32" s="116">
        <v>520.44000000000005</v>
      </c>
      <c r="H32" s="116">
        <f t="shared" si="0"/>
        <v>520.44000000000005</v>
      </c>
      <c r="I32" s="230">
        <f>IF("generated"=1, "Path=MMRBEM_7_DOWN, Scaled Offset=520.44000000000005456968210637569427", 1029.69951571255)</f>
        <v>1029.69951571255</v>
      </c>
      <c r="J32" t="s">
        <v>248</v>
      </c>
    </row>
    <row r="33" spans="1:10" ht="15" x14ac:dyDescent="0.25">
      <c r="A33" s="224" t="s">
        <v>129</v>
      </c>
      <c r="B33">
        <v>75026</v>
      </c>
      <c r="C33" t="s">
        <v>395</v>
      </c>
      <c r="D33" s="93" t="s">
        <v>920</v>
      </c>
      <c r="E33" s="115" t="s">
        <v>188</v>
      </c>
      <c r="G33" s="116">
        <v>581.86</v>
      </c>
      <c r="H33" s="116">
        <f t="shared" si="0"/>
        <v>581.86</v>
      </c>
      <c r="I33" s="230">
        <f>IF("generated"=1, "Path=MMRBEM_7_DOWN, Scaled Offset=581.86000000000001364242052659392357", 1090.11634746996)</f>
        <v>1090.1163474699599</v>
      </c>
      <c r="J33" t="s">
        <v>248</v>
      </c>
    </row>
    <row r="34" spans="1:10" ht="15" x14ac:dyDescent="0.25">
      <c r="A34" s="224" t="s">
        <v>129</v>
      </c>
      <c r="B34">
        <v>75027</v>
      </c>
      <c r="C34" t="s">
        <v>396</v>
      </c>
      <c r="D34" s="93" t="s">
        <v>920</v>
      </c>
      <c r="E34" s="115" t="s">
        <v>188</v>
      </c>
      <c r="G34" s="116">
        <v>640</v>
      </c>
      <c r="H34" s="116">
        <f t="shared" si="0"/>
        <v>640</v>
      </c>
      <c r="I34" s="230">
        <f>IF("generated"=1, "Path=MMRBEM_7_DOWN, Scaled Offset=640", 1147.3067512208)</f>
        <v>1147.3067512207999</v>
      </c>
      <c r="J34" t="s">
        <v>248</v>
      </c>
    </row>
    <row r="35" spans="1:10" ht="15" x14ac:dyDescent="0.25">
      <c r="A35" s="224" t="s">
        <v>129</v>
      </c>
      <c r="B35">
        <v>75028</v>
      </c>
      <c r="C35" t="s">
        <v>397</v>
      </c>
      <c r="D35" s="93" t="s">
        <v>920</v>
      </c>
      <c r="E35" s="115" t="s">
        <v>188</v>
      </c>
      <c r="G35" s="116">
        <v>840</v>
      </c>
      <c r="H35" s="116">
        <f t="shared" si="0"/>
        <v>840</v>
      </c>
      <c r="I35" s="230">
        <f>IF("generated"=1, "Path=MMRBEM_7_DOWN, Scaled Offset=840", 1344.04016625636)</f>
        <v>1344.04016625636</v>
      </c>
      <c r="J35" t="s">
        <v>248</v>
      </c>
    </row>
    <row r="36" spans="1:10" ht="15" x14ac:dyDescent="0.25">
      <c r="A36" s="224" t="s">
        <v>129</v>
      </c>
      <c r="B36">
        <v>75029</v>
      </c>
      <c r="C36" t="s">
        <v>400</v>
      </c>
      <c r="D36" s="93" t="s">
        <v>920</v>
      </c>
      <c r="E36" s="115" t="s">
        <v>188</v>
      </c>
      <c r="G36" s="116">
        <v>1040</v>
      </c>
      <c r="H36" s="116">
        <f t="shared" si="0"/>
        <v>1040</v>
      </c>
      <c r="I36" s="230">
        <f>IF("generated"=1, "Path=MMRBEM_7_DOWN, Scaled Offset=1040", 1540.77358129191)</f>
        <v>1540.77358129191</v>
      </c>
      <c r="J36" t="s">
        <v>248</v>
      </c>
    </row>
    <row r="37" spans="1:10" ht="15" x14ac:dyDescent="0.25">
      <c r="A37" s="224" t="s">
        <v>129</v>
      </c>
      <c r="B37">
        <v>75030</v>
      </c>
      <c r="C37" t="s">
        <v>401</v>
      </c>
      <c r="D37" s="93" t="s">
        <v>920</v>
      </c>
      <c r="E37" s="115" t="s">
        <v>188</v>
      </c>
      <c r="G37" s="116">
        <v>1240</v>
      </c>
      <c r="H37" s="116">
        <f t="shared" si="0"/>
        <v>1240</v>
      </c>
      <c r="I37" s="230">
        <f>IF("generated"=1, "Path=MMRBEM_7_DOWN, Scaled Offset=1240", 1737.50699632747)</f>
        <v>1737.50699632747</v>
      </c>
      <c r="J37" t="s">
        <v>248</v>
      </c>
    </row>
    <row r="38" spans="1:10" ht="15" x14ac:dyDescent="0.25">
      <c r="A38" s="224" t="s">
        <v>129</v>
      </c>
      <c r="B38">
        <v>75031</v>
      </c>
      <c r="C38" t="s">
        <v>402</v>
      </c>
      <c r="D38" s="93" t="s">
        <v>920</v>
      </c>
      <c r="E38" s="115" t="s">
        <v>188</v>
      </c>
      <c r="G38" s="116">
        <v>1360</v>
      </c>
      <c r="H38" s="116">
        <f t="shared" si="0"/>
        <v>1360</v>
      </c>
      <c r="I38" s="230">
        <f>IF("generated"=1, "Path=MMRBEM_7_DOWN, Scaled Offset=1360", 1855.5470453488)</f>
        <v>1855.5470453488001</v>
      </c>
      <c r="J38" t="s">
        <v>248</v>
      </c>
    </row>
    <row r="39" spans="1:10" ht="15" x14ac:dyDescent="0.25">
      <c r="A39" s="224" t="s">
        <v>129</v>
      </c>
      <c r="B39">
        <v>75032</v>
      </c>
      <c r="C39" t="s">
        <v>413</v>
      </c>
      <c r="D39" s="93" t="s">
        <v>920</v>
      </c>
      <c r="E39" s="115" t="s">
        <v>188</v>
      </c>
      <c r="G39" s="116">
        <v>1381</v>
      </c>
      <c r="H39" s="116">
        <f t="shared" si="0"/>
        <v>1381</v>
      </c>
      <c r="I39" s="230">
        <f>IF("generated"=1, "Path=MMRBEM_7_DOWN, Scaled Offset=1381", 1876.20405392753)</f>
        <v>1876.2040539275299</v>
      </c>
      <c r="J39" t="s">
        <v>248</v>
      </c>
    </row>
    <row r="40" spans="1:10" ht="15" x14ac:dyDescent="0.25">
      <c r="A40" s="224" t="s">
        <v>129</v>
      </c>
      <c r="B40">
        <v>75033</v>
      </c>
      <c r="C40" t="s">
        <v>403</v>
      </c>
      <c r="D40" s="93" t="s">
        <v>920</v>
      </c>
      <c r="E40" s="115" t="s">
        <v>188</v>
      </c>
      <c r="G40" s="116">
        <v>1477.32</v>
      </c>
      <c r="H40" s="116">
        <f t="shared" si="0"/>
        <v>1477.32</v>
      </c>
      <c r="I40" s="230">
        <f>IF("generated"=1, "Path=MMRBEM_7_DOWN, Scaled Offset=1477.3199999999999363353708758950233", 1970.95086660866)</f>
        <v>1970.9508666086599</v>
      </c>
      <c r="J40" t="s">
        <v>248</v>
      </c>
    </row>
    <row r="41" spans="1:10" ht="15" x14ac:dyDescent="0.25">
      <c r="A41" s="224" t="s">
        <v>129</v>
      </c>
      <c r="B41">
        <v>75034</v>
      </c>
      <c r="C41" t="s">
        <v>404</v>
      </c>
      <c r="D41" s="93" t="s">
        <v>920</v>
      </c>
      <c r="E41" s="115" t="s">
        <v>188</v>
      </c>
      <c r="G41" s="116">
        <v>1492.18</v>
      </c>
      <c r="H41" s="116">
        <f t="shared" si="0"/>
        <v>1492.18</v>
      </c>
      <c r="I41" s="230">
        <f>IF("generated"=1, "Path=MMRBEM_7_DOWN, Scaled Offset=1492.1800000000000636646291241049767", 1985.5681593458)</f>
        <v>1985.5681593458</v>
      </c>
      <c r="J41" t="s">
        <v>248</v>
      </c>
    </row>
    <row r="42" spans="1:10" ht="15" x14ac:dyDescent="0.25">
      <c r="A42" s="224" t="s">
        <v>129</v>
      </c>
      <c r="B42">
        <v>75035</v>
      </c>
      <c r="C42" t="s">
        <v>405</v>
      </c>
      <c r="D42" s="93" t="s">
        <v>920</v>
      </c>
      <c r="E42" s="115" t="s">
        <v>188</v>
      </c>
      <c r="G42" s="116">
        <v>1495.18</v>
      </c>
      <c r="H42" s="116">
        <f t="shared" si="0"/>
        <v>1495.18</v>
      </c>
      <c r="I42" s="230">
        <f>IF("generated"=1, "Path=MMRBEM_7_DOWN, Scaled Offset=1495.1800000000000636646291241049767", 1988.51916057133)</f>
        <v>1988.5191605713301</v>
      </c>
      <c r="J42" t="s">
        <v>248</v>
      </c>
    </row>
    <row r="43" spans="1:10" ht="15" x14ac:dyDescent="0.25">
      <c r="A43" s="224" t="s">
        <v>129</v>
      </c>
      <c r="B43">
        <v>75036</v>
      </c>
      <c r="C43" t="s">
        <v>406</v>
      </c>
      <c r="D43" s="93" t="s">
        <v>920</v>
      </c>
      <c r="E43" s="115" t="s">
        <v>188</v>
      </c>
      <c r="G43" s="116">
        <v>1515.1</v>
      </c>
      <c r="H43" s="116">
        <f t="shared" si="0"/>
        <v>1515.1</v>
      </c>
      <c r="I43" s="230">
        <f>IF("generated"=1, "Path=MMRBEM_7_DOWN, Scaled Offset=1515.0999999999999090505298227071762", 2008.11380870887)</f>
        <v>2008.11380870887</v>
      </c>
      <c r="J43" t="s">
        <v>248</v>
      </c>
    </row>
    <row r="44" spans="1:10" ht="15" x14ac:dyDescent="0.25">
      <c r="A44" s="224" t="s">
        <v>129</v>
      </c>
      <c r="B44">
        <v>75037</v>
      </c>
      <c r="C44" t="s">
        <v>407</v>
      </c>
      <c r="D44" s="93" t="s">
        <v>920</v>
      </c>
      <c r="E44" s="115" t="s">
        <v>188</v>
      </c>
      <c r="G44" s="116">
        <v>1518.1</v>
      </c>
      <c r="H44" s="116">
        <f t="shared" si="0"/>
        <v>1518.1</v>
      </c>
      <c r="I44" s="230">
        <f>IF("generated"=1, "Path=MMRBEM_7_DOWN, Scaled Offset=1518.0999999999999090505298227071762", 2011.06480993441)</f>
        <v>2011.0648099344101</v>
      </c>
      <c r="J44" t="s">
        <v>248</v>
      </c>
    </row>
    <row r="45" spans="1:10" ht="15" x14ac:dyDescent="0.25">
      <c r="A45" s="224" t="s">
        <v>129</v>
      </c>
      <c r="B45">
        <v>75038</v>
      </c>
      <c r="C45" t="s">
        <v>408</v>
      </c>
      <c r="D45" s="93" t="s">
        <v>920</v>
      </c>
      <c r="E45" s="115" t="s">
        <v>188</v>
      </c>
      <c r="G45" s="116">
        <v>1576.12</v>
      </c>
      <c r="H45" s="116">
        <f t="shared" si="0"/>
        <v>1576.12</v>
      </c>
      <c r="I45" s="230">
        <f>IF("generated"=1, "Path=MMRBEM_7_DOWN, Scaled Offset=1576.1199999999998908606357872486115", 2068.13717363622)</f>
        <v>2068.1371736362198</v>
      </c>
      <c r="J45" t="s">
        <v>248</v>
      </c>
    </row>
    <row r="46" spans="1:10" ht="15" x14ac:dyDescent="0.25">
      <c r="A46" s="224" t="s">
        <v>129</v>
      </c>
      <c r="B46">
        <v>75039</v>
      </c>
      <c r="C46" t="s">
        <v>409</v>
      </c>
      <c r="D46" s="93" t="s">
        <v>920</v>
      </c>
      <c r="E46" s="115" t="s">
        <v>188</v>
      </c>
      <c r="G46" s="116">
        <v>1611.22</v>
      </c>
      <c r="H46" s="116">
        <f t="shared" si="0"/>
        <v>1611.22</v>
      </c>
      <c r="I46" s="230">
        <f>IF("generated"=1, "Path=MMRBEM_7_DOWN, Scaled Offset=1611.2200000000000272848410531878471", 2102.66388797496)</f>
        <v>2102.6638879749598</v>
      </c>
      <c r="J46" t="s">
        <v>248</v>
      </c>
    </row>
    <row r="47" spans="1:10" ht="15" x14ac:dyDescent="0.25">
      <c r="A47" s="224" t="s">
        <v>129</v>
      </c>
      <c r="B47">
        <v>75040</v>
      </c>
      <c r="C47" t="s">
        <v>410</v>
      </c>
      <c r="D47" s="93" t="s">
        <v>920</v>
      </c>
      <c r="E47" s="115" t="s">
        <v>188</v>
      </c>
      <c r="G47" s="116">
        <v>1614.22</v>
      </c>
      <c r="H47" s="116">
        <f t="shared" si="0"/>
        <v>1614.22</v>
      </c>
      <c r="I47" s="230">
        <f>IF("generated"=1, "Path=MMRBEM_7_DOWN, Scaled Offset=1614.2200000000000272848410531878471", 2105.61488920049)</f>
        <v>2105.6148892004899</v>
      </c>
      <c r="J47" t="s">
        <v>248</v>
      </c>
    </row>
    <row r="48" spans="1:10" ht="15" x14ac:dyDescent="0.25">
      <c r="A48" s="224" t="s">
        <v>129</v>
      </c>
      <c r="B48">
        <v>75041</v>
      </c>
      <c r="C48" t="s">
        <v>411</v>
      </c>
      <c r="D48" s="93" t="s">
        <v>920</v>
      </c>
      <c r="E48" s="115" t="s">
        <v>188</v>
      </c>
      <c r="G48" s="116">
        <v>1634.14</v>
      </c>
      <c r="H48" s="116">
        <f t="shared" si="0"/>
        <v>1634.14</v>
      </c>
      <c r="I48" s="230">
        <f>IF("generated"=1, "Path=MMRBEM_7_DOWN, Scaled Offset=1634.1400000000001000444171950221062", 2125.20953733803)</f>
        <v>2125.2095373380298</v>
      </c>
      <c r="J48" t="s">
        <v>248</v>
      </c>
    </row>
    <row r="49" spans="1:10" ht="15" x14ac:dyDescent="0.25">
      <c r="A49" s="224" t="s">
        <v>129</v>
      </c>
      <c r="B49">
        <v>75042</v>
      </c>
      <c r="C49" t="s">
        <v>412</v>
      </c>
      <c r="D49" s="93" t="s">
        <v>920</v>
      </c>
      <c r="E49" s="115" t="s">
        <v>188</v>
      </c>
      <c r="G49" s="116">
        <v>1637.14</v>
      </c>
      <c r="H49" s="116">
        <f t="shared" si="0"/>
        <v>1637.14</v>
      </c>
      <c r="I49" s="230">
        <f>IF("generated"=1, "Path=MMRBEM_7_DOWN, Scaled Offset=1637.1400000000001000444171950221062", 2128.16053856357)</f>
        <v>2128.1605385635698</v>
      </c>
      <c r="J49" t="s">
        <v>248</v>
      </c>
    </row>
    <row r="50" spans="1:10" ht="15" x14ac:dyDescent="0.25">
      <c r="A50" s="224" t="s">
        <v>129</v>
      </c>
      <c r="B50">
        <v>75043</v>
      </c>
      <c r="C50" t="s">
        <v>414</v>
      </c>
      <c r="D50" s="93" t="s">
        <v>920</v>
      </c>
      <c r="E50" s="115" t="s">
        <v>188</v>
      </c>
      <c r="G50" s="116">
        <v>1689.56</v>
      </c>
      <c r="H50" s="116">
        <f t="shared" si="0"/>
        <v>1689.56</v>
      </c>
      <c r="I50" s="230">
        <f>IF("generated"=1, "Path=MMRBEM_7_DOWN, Scaled Offset=1689.5599999999999454303178936243057", 2179.72436664439)</f>
        <v>2179.7243666443901</v>
      </c>
      <c r="J50" t="s">
        <v>248</v>
      </c>
    </row>
    <row r="51" spans="1:10" ht="15" x14ac:dyDescent="0.25">
      <c r="A51" s="224" t="s">
        <v>129</v>
      </c>
      <c r="B51">
        <v>75044</v>
      </c>
      <c r="C51" t="s">
        <v>415</v>
      </c>
      <c r="D51" s="93" t="s">
        <v>920</v>
      </c>
      <c r="E51" s="115" t="s">
        <v>188</v>
      </c>
      <c r="G51" s="116">
        <v>1770</v>
      </c>
      <c r="H51" s="116">
        <f t="shared" si="0"/>
        <v>1770</v>
      </c>
      <c r="I51" s="230">
        <f>IF("generated"=1, "Path=MMRBEM_7_DOWN, Scaled Offset=1770", 2258.85054617169)</f>
        <v>2258.85054617169</v>
      </c>
      <c r="J51" t="s">
        <v>248</v>
      </c>
    </row>
    <row r="52" spans="1:10" ht="15" x14ac:dyDescent="0.25">
      <c r="A52" s="224" t="s">
        <v>129</v>
      </c>
      <c r="B52">
        <v>75045</v>
      </c>
      <c r="C52" t="s">
        <v>416</v>
      </c>
      <c r="D52" s="93" t="s">
        <v>920</v>
      </c>
      <c r="E52" s="115" t="s">
        <v>188</v>
      </c>
      <c r="G52" s="116">
        <v>1791</v>
      </c>
      <c r="H52" s="116">
        <f t="shared" si="0"/>
        <v>1791</v>
      </c>
      <c r="I52" s="230">
        <f>IF("generated"=1, "Path=MMRBEM_7_DOWN, Scaled Offset=1791", 2279.50755475042)</f>
        <v>2279.5075547504198</v>
      </c>
      <c r="J52" t="s">
        <v>248</v>
      </c>
    </row>
    <row r="53" spans="1:10" ht="15" x14ac:dyDescent="0.25">
      <c r="A53" s="224" t="s">
        <v>129</v>
      </c>
      <c r="B53">
        <v>75046</v>
      </c>
      <c r="C53" t="s">
        <v>417</v>
      </c>
      <c r="D53" s="93" t="s">
        <v>920</v>
      </c>
      <c r="E53" s="115" t="s">
        <v>188</v>
      </c>
      <c r="G53" s="116">
        <v>1921</v>
      </c>
      <c r="H53" s="116">
        <f t="shared" si="0"/>
        <v>1921</v>
      </c>
      <c r="I53" s="230">
        <f>IF("generated"=1, "Path=MMRBEM_7_DOWN, Scaled Offset=1921", 2407.38427452353)</f>
        <v>2407.3842745235302</v>
      </c>
      <c r="J53" t="s">
        <v>248</v>
      </c>
    </row>
    <row r="54" spans="1:10" ht="15" x14ac:dyDescent="0.25">
      <c r="A54" s="224" t="s">
        <v>129</v>
      </c>
      <c r="B54">
        <v>75047</v>
      </c>
      <c r="C54" t="s">
        <v>418</v>
      </c>
      <c r="D54" s="93" t="s">
        <v>920</v>
      </c>
      <c r="E54" s="115" t="s">
        <v>188</v>
      </c>
      <c r="G54" s="116">
        <v>2101</v>
      </c>
      <c r="H54" s="116">
        <f t="shared" si="0"/>
        <v>2101</v>
      </c>
      <c r="I54" s="230">
        <f>IF("generated"=1, "Path=MMRBEM_7_DOWN, Scaled Offset=2101", 2584.44434805553)</f>
        <v>2584.4443480555301</v>
      </c>
      <c r="J54" t="s">
        <v>248</v>
      </c>
    </row>
    <row r="55" spans="1:10" ht="15" x14ac:dyDescent="0.25">
      <c r="A55" s="224" t="s">
        <v>129</v>
      </c>
      <c r="B55">
        <v>75048</v>
      </c>
      <c r="C55" t="s">
        <v>419</v>
      </c>
      <c r="D55" s="93" t="s">
        <v>920</v>
      </c>
      <c r="E55" s="115" t="s">
        <v>188</v>
      </c>
      <c r="G55" s="116">
        <v>2281</v>
      </c>
      <c r="H55" s="116">
        <f t="shared" si="0"/>
        <v>2281</v>
      </c>
      <c r="I55" s="230">
        <f>IF("generated"=1, "Path=MMRBEM_7_DOWN, Scaled Offset=2281", 2761.50442158753)</f>
        <v>2761.50442158753</v>
      </c>
      <c r="J55" t="s">
        <v>248</v>
      </c>
    </row>
    <row r="56" spans="1:10" ht="15" x14ac:dyDescent="0.25">
      <c r="A56" s="224" t="s">
        <v>129</v>
      </c>
      <c r="B56">
        <v>75049</v>
      </c>
      <c r="C56" t="s">
        <v>420</v>
      </c>
      <c r="D56" s="93" t="s">
        <v>920</v>
      </c>
      <c r="E56" s="115" t="s">
        <v>188</v>
      </c>
      <c r="G56" s="116">
        <v>2461</v>
      </c>
      <c r="H56" s="116">
        <f t="shared" si="0"/>
        <v>2461</v>
      </c>
      <c r="I56" s="230">
        <f>IF("generated"=1, "Path=MMRBEM_7_DOWN, Scaled Offset=2461", 2938.56449511953)</f>
        <v>2938.56449511953</v>
      </c>
      <c r="J56" t="s">
        <v>248</v>
      </c>
    </row>
    <row r="57" spans="1:10" ht="15" x14ac:dyDescent="0.25">
      <c r="A57" s="224" t="s">
        <v>129</v>
      </c>
      <c r="B57">
        <v>75050</v>
      </c>
      <c r="C57" t="s">
        <v>421</v>
      </c>
      <c r="D57" s="93" t="s">
        <v>920</v>
      </c>
      <c r="E57" s="115" t="s">
        <v>188</v>
      </c>
      <c r="G57" s="116">
        <v>2661</v>
      </c>
      <c r="H57" s="116">
        <f t="shared" si="0"/>
        <v>2661</v>
      </c>
      <c r="I57" s="230">
        <f>IF("generated"=1, "Path=MMRBEM_7_DOWN, Scaled Offset=2661", 3135.29791015509)</f>
        <v>3135.29791015509</v>
      </c>
      <c r="J57" t="s">
        <v>248</v>
      </c>
    </row>
    <row r="58" spans="1:10" ht="15" x14ac:dyDescent="0.25">
      <c r="A58" s="224" t="s">
        <v>129</v>
      </c>
      <c r="B58">
        <v>75051</v>
      </c>
      <c r="C58" t="s">
        <v>422</v>
      </c>
      <c r="D58" s="93" t="s">
        <v>920</v>
      </c>
      <c r="E58" s="115" t="s">
        <v>188</v>
      </c>
      <c r="G58" s="116">
        <v>2828</v>
      </c>
      <c r="H58" s="116">
        <f t="shared" si="0"/>
        <v>2828</v>
      </c>
      <c r="I58" s="230">
        <f>IF("generated"=1, "Path=MMRBEM_7_DOWN, Scaled Offset=2828", 3299.57031170977)</f>
        <v>3299.5703117097701</v>
      </c>
      <c r="J58" t="s">
        <v>248</v>
      </c>
    </row>
    <row r="59" spans="1:10" ht="15" x14ac:dyDescent="0.25">
      <c r="A59" s="224" t="s">
        <v>129</v>
      </c>
      <c r="B59">
        <v>75052</v>
      </c>
      <c r="C59" t="s">
        <v>423</v>
      </c>
      <c r="D59" s="93" t="s">
        <v>920</v>
      </c>
      <c r="E59" s="115" t="s">
        <v>188</v>
      </c>
      <c r="G59" s="116">
        <v>2953</v>
      </c>
      <c r="H59" s="116">
        <f t="shared" si="0"/>
        <v>2953</v>
      </c>
      <c r="I59" s="230">
        <f>IF("generated"=1, "Path=MMRBEM_7_DOWN, Scaled Offset=2953", 3422.528696107)</f>
        <v>3422.5286961070001</v>
      </c>
      <c r="J59" t="s">
        <v>248</v>
      </c>
    </row>
    <row r="60" spans="1:10" ht="15" x14ac:dyDescent="0.25">
      <c r="A60" s="224" t="s">
        <v>129</v>
      </c>
      <c r="B60">
        <v>75053</v>
      </c>
      <c r="C60" t="s">
        <v>424</v>
      </c>
      <c r="D60" s="93" t="s">
        <v>920</v>
      </c>
      <c r="E60" s="115" t="s">
        <v>188</v>
      </c>
      <c r="G60" s="116">
        <v>2974</v>
      </c>
      <c r="H60" s="116">
        <f t="shared" si="0"/>
        <v>2974</v>
      </c>
      <c r="I60" s="230">
        <f>IF("generated"=1, "Path=MMRBEM_7_DOWN, Scaled Offset=2974", 3443.18570468573)</f>
        <v>3443.1857046857299</v>
      </c>
      <c r="J60" t="s">
        <v>248</v>
      </c>
    </row>
    <row r="61" spans="1:10" ht="15" x14ac:dyDescent="0.25">
      <c r="A61" s="224" t="s">
        <v>129</v>
      </c>
      <c r="B61">
        <v>75054</v>
      </c>
      <c r="C61" t="s">
        <v>425</v>
      </c>
      <c r="D61" s="93" t="s">
        <v>920</v>
      </c>
      <c r="E61" s="115" t="s">
        <v>188</v>
      </c>
      <c r="G61" s="116">
        <v>3069.92</v>
      </c>
      <c r="H61" s="116">
        <f t="shared" si="0"/>
        <v>3069.92</v>
      </c>
      <c r="I61" s="230">
        <f>IF("generated"=1, "Path=MMRBEM_7_DOWN, Scaled Offset=3069.920000000000072759576141834259", 3537.53905053678)</f>
        <v>3537.53905053678</v>
      </c>
      <c r="J61" t="s">
        <v>248</v>
      </c>
    </row>
    <row r="62" spans="1:10" ht="15" x14ac:dyDescent="0.25">
      <c r="A62" s="224" t="s">
        <v>129</v>
      </c>
      <c r="B62">
        <v>75055</v>
      </c>
      <c r="C62" t="s">
        <v>426</v>
      </c>
      <c r="D62" s="93" t="s">
        <v>920</v>
      </c>
      <c r="E62" s="115" t="s">
        <v>188</v>
      </c>
      <c r="G62" s="116">
        <v>3084.78</v>
      </c>
      <c r="H62" s="116">
        <f t="shared" si="0"/>
        <v>3084.78</v>
      </c>
      <c r="I62" s="230">
        <f>IF("generated"=1, "Path=MMRBEM_7_DOWN, Scaled Offset=3084.7800000000002000888343900442123", 3552.15634327392)</f>
        <v>3552.1563432739199</v>
      </c>
      <c r="J62" t="s">
        <v>248</v>
      </c>
    </row>
    <row r="63" spans="1:10" ht="15" x14ac:dyDescent="0.25">
      <c r="A63" s="224" t="s">
        <v>129</v>
      </c>
      <c r="B63">
        <v>75056</v>
      </c>
      <c r="C63" t="s">
        <v>427</v>
      </c>
      <c r="D63" s="93" t="s">
        <v>920</v>
      </c>
      <c r="E63" s="115" t="s">
        <v>188</v>
      </c>
      <c r="G63" s="116">
        <v>3087.78</v>
      </c>
      <c r="H63" s="116">
        <f t="shared" si="0"/>
        <v>3087.78</v>
      </c>
      <c r="I63" s="230">
        <f>IF("generated"=1, "Path=MMRBEM_7_DOWN, Scaled Offset=3087.7800000000002000888343900442123", 3555.10734449946)</f>
        <v>3555.1073444994599</v>
      </c>
      <c r="J63" t="s">
        <v>248</v>
      </c>
    </row>
    <row r="64" spans="1:10" ht="15" x14ac:dyDescent="0.25">
      <c r="A64" s="224" t="s">
        <v>129</v>
      </c>
      <c r="B64">
        <v>75057</v>
      </c>
      <c r="C64" t="s">
        <v>428</v>
      </c>
      <c r="D64" s="93" t="s">
        <v>920</v>
      </c>
      <c r="E64" s="115" t="s">
        <v>188</v>
      </c>
      <c r="G64" s="116">
        <v>3107.7</v>
      </c>
      <c r="H64" s="116">
        <f t="shared" si="0"/>
        <v>3107.7</v>
      </c>
      <c r="I64" s="230">
        <f>IF("generated"=1, "Path=MMRBEM_7_DOWN, Scaled Offset=3107.6999999999998181010596454143524", 3574.701992637)</f>
        <v>3574.7019926369999</v>
      </c>
      <c r="J64" t="s">
        <v>248</v>
      </c>
    </row>
    <row r="65" spans="1:10" ht="15" x14ac:dyDescent="0.25">
      <c r="A65" s="224" t="s">
        <v>129</v>
      </c>
      <c r="B65">
        <v>75058</v>
      </c>
      <c r="C65" t="s">
        <v>429</v>
      </c>
      <c r="D65" s="93" t="s">
        <v>920</v>
      </c>
      <c r="E65" s="115" t="s">
        <v>188</v>
      </c>
      <c r="G65" s="116">
        <v>3110.7</v>
      </c>
      <c r="H65" s="116">
        <f t="shared" si="0"/>
        <v>3110.7</v>
      </c>
      <c r="I65" s="230">
        <f>IF("generated"=1, "Path=MMRBEM_7_DOWN, Scaled Offset=3110.6999999999998181010596454143524", 3577.65299386253)</f>
        <v>3577.6529938625299</v>
      </c>
      <c r="J65" t="s">
        <v>248</v>
      </c>
    </row>
    <row r="66" spans="1:10" ht="15" x14ac:dyDescent="0.25">
      <c r="A66" s="224" t="s">
        <v>129</v>
      </c>
      <c r="B66">
        <v>75059</v>
      </c>
      <c r="C66" t="s">
        <v>430</v>
      </c>
      <c r="D66" s="93" t="s">
        <v>920</v>
      </c>
      <c r="E66" s="115" t="s">
        <v>188</v>
      </c>
      <c r="G66" s="116">
        <v>3168.72</v>
      </c>
      <c r="H66" s="116">
        <f t="shared" si="0"/>
        <v>3168.72</v>
      </c>
      <c r="I66" s="230">
        <f>IF("generated"=1, "Path=MMRBEM_7_DOWN, Scaled Offset=3168.7199999999997999111656099557877", 3634.72535756435)</f>
        <v>3634.7253575643499</v>
      </c>
      <c r="J66" t="s">
        <v>248</v>
      </c>
    </row>
    <row r="67" spans="1:10" ht="15" x14ac:dyDescent="0.25">
      <c r="A67" s="224" t="s">
        <v>129</v>
      </c>
      <c r="B67">
        <v>75060</v>
      </c>
      <c r="C67" t="s">
        <v>431</v>
      </c>
      <c r="D67" s="93" t="s">
        <v>920</v>
      </c>
      <c r="E67" s="115" t="s">
        <v>188</v>
      </c>
      <c r="G67" s="116">
        <v>3203.82</v>
      </c>
      <c r="H67" s="116">
        <f t="shared" si="0"/>
        <v>3203.82</v>
      </c>
      <c r="I67" s="230">
        <f>IF("generated"=1, "Path=MMRBEM_7_DOWN, Scaled Offset=3203.8200000000001637090463191270828", 3669.25207190309)</f>
        <v>3669.2520719030899</v>
      </c>
      <c r="J67" t="s">
        <v>248</v>
      </c>
    </row>
    <row r="68" spans="1:10" ht="15" x14ac:dyDescent="0.25">
      <c r="A68" s="224" t="s">
        <v>129</v>
      </c>
      <c r="B68">
        <v>75061</v>
      </c>
      <c r="C68" t="s">
        <v>432</v>
      </c>
      <c r="D68" s="93" t="s">
        <v>920</v>
      </c>
      <c r="E68" s="115" t="s">
        <v>188</v>
      </c>
      <c r="G68" s="116">
        <v>3206.82</v>
      </c>
      <c r="H68" s="116">
        <f t="shared" si="0"/>
        <v>3206.82</v>
      </c>
      <c r="I68" s="230">
        <f>IF("generated"=1, "Path=MMRBEM_7_DOWN, Scaled Offset=3206.8200000000001637090463191270828", 3672.20307312862)</f>
        <v>3672.20307312862</v>
      </c>
      <c r="J68" t="s">
        <v>248</v>
      </c>
    </row>
    <row r="69" spans="1:10" ht="15" x14ac:dyDescent="0.25">
      <c r="A69" s="224" t="s">
        <v>129</v>
      </c>
      <c r="B69">
        <v>75062</v>
      </c>
      <c r="C69" t="s">
        <v>433</v>
      </c>
      <c r="D69" s="93" t="s">
        <v>920</v>
      </c>
      <c r="E69" s="115" t="s">
        <v>188</v>
      </c>
      <c r="G69" s="116">
        <v>3226.74</v>
      </c>
      <c r="H69" s="116">
        <f t="shared" si="0"/>
        <v>3226.74</v>
      </c>
      <c r="I69" s="230">
        <f>IF("generated"=1, "Path=MMRBEM_7_DOWN, Scaled Offset=3226.7399999999997817212715744972229", 3691.79772126616)</f>
        <v>3691.7977212661599</v>
      </c>
      <c r="J69" t="s">
        <v>248</v>
      </c>
    </row>
    <row r="70" spans="1:10" ht="15" x14ac:dyDescent="0.25">
      <c r="A70" s="224" t="s">
        <v>129</v>
      </c>
      <c r="B70">
        <v>75063</v>
      </c>
      <c r="C70" t="s">
        <v>434</v>
      </c>
      <c r="D70" s="93" t="s">
        <v>920</v>
      </c>
      <c r="E70" s="115" t="s">
        <v>188</v>
      </c>
      <c r="G70" s="116">
        <v>3229.74</v>
      </c>
      <c r="H70" s="116">
        <f t="shared" si="0"/>
        <v>3229.74</v>
      </c>
      <c r="I70" s="230">
        <f>IF("generated"=1, "Path=MMRBEM_7_DOWN, Scaled Offset=3229.7399999999997817212715744972229", 3694.74872249169)</f>
        <v>3694.7487224916899</v>
      </c>
      <c r="J70" t="s">
        <v>248</v>
      </c>
    </row>
    <row r="71" spans="1:10" ht="15" x14ac:dyDescent="0.25">
      <c r="A71" s="224" t="s">
        <v>129</v>
      </c>
      <c r="B71">
        <v>75064</v>
      </c>
      <c r="C71" t="s">
        <v>435</v>
      </c>
      <c r="D71" s="93" t="s">
        <v>920</v>
      </c>
      <c r="E71" s="115" t="s">
        <v>188</v>
      </c>
      <c r="G71" s="116">
        <v>3282.16</v>
      </c>
      <c r="H71" s="116">
        <f t="shared" ref="H71:H92" si="1">G71+F71</f>
        <v>3282.16</v>
      </c>
      <c r="I71" s="230">
        <f>IF("generated"=1, "Path=MMRBEM_7_DOWN, Scaled Offset=3282.1599999999998544808477163314819", 3746.31255057251)</f>
        <v>3746.3125505725102</v>
      </c>
      <c r="J71" t="s">
        <v>248</v>
      </c>
    </row>
    <row r="72" spans="1:10" ht="15" x14ac:dyDescent="0.25">
      <c r="A72" s="224" t="s">
        <v>129</v>
      </c>
      <c r="B72">
        <v>75065</v>
      </c>
      <c r="C72" t="s">
        <v>436</v>
      </c>
      <c r="D72" s="93" t="s">
        <v>920</v>
      </c>
      <c r="E72" s="115" t="s">
        <v>188</v>
      </c>
      <c r="G72" s="116">
        <v>3362</v>
      </c>
      <c r="H72" s="116">
        <f t="shared" si="1"/>
        <v>3362</v>
      </c>
      <c r="I72" s="230">
        <f>IF("generated"=1, "Path=MMRBEM_7_DOWN, Scaled Offset=3362", 3824.84852985471)</f>
        <v>3824.8485298547098</v>
      </c>
      <c r="J72" t="s">
        <v>248</v>
      </c>
    </row>
    <row r="73" spans="1:10" ht="15" x14ac:dyDescent="0.25">
      <c r="A73" s="224" t="s">
        <v>129</v>
      </c>
      <c r="B73">
        <v>75066</v>
      </c>
      <c r="C73" t="s">
        <v>437</v>
      </c>
      <c r="D73" s="93" t="s">
        <v>920</v>
      </c>
      <c r="E73" s="115" t="s">
        <v>188</v>
      </c>
      <c r="G73" s="116">
        <v>3383</v>
      </c>
      <c r="H73" s="116">
        <f t="shared" si="1"/>
        <v>3383</v>
      </c>
      <c r="I73" s="230">
        <f>IF("generated"=1, "Path=MMRBEM_7_DOWN, Scaled Offset=3383", 3845.50553843344)</f>
        <v>3845.5055384334401</v>
      </c>
      <c r="J73" t="s">
        <v>248</v>
      </c>
    </row>
    <row r="74" spans="1:10" ht="15" x14ac:dyDescent="0.25">
      <c r="A74" s="224" t="s">
        <v>129</v>
      </c>
      <c r="B74">
        <v>75067</v>
      </c>
      <c r="C74" t="s">
        <v>438</v>
      </c>
      <c r="D74" s="93" t="s">
        <v>920</v>
      </c>
      <c r="E74" s="115" t="s">
        <v>188</v>
      </c>
      <c r="G74" s="116">
        <v>3503</v>
      </c>
      <c r="H74" s="116">
        <f t="shared" si="1"/>
        <v>3503</v>
      </c>
      <c r="I74" s="230">
        <f>IF("generated"=1, "Path=MMRBEM_7_DOWN, Scaled Offset=3503", 3963.54558745477)</f>
        <v>3963.5455874547702</v>
      </c>
      <c r="J74" t="s">
        <v>248</v>
      </c>
    </row>
    <row r="75" spans="1:10" ht="15" x14ac:dyDescent="0.25">
      <c r="A75" s="224" t="s">
        <v>129</v>
      </c>
      <c r="B75">
        <v>75068</v>
      </c>
      <c r="C75" t="s">
        <v>439</v>
      </c>
      <c r="D75" s="93" t="s">
        <v>920</v>
      </c>
      <c r="E75" s="115" t="s">
        <v>188</v>
      </c>
      <c r="G75" s="116">
        <v>3703</v>
      </c>
      <c r="H75" s="116">
        <f t="shared" si="1"/>
        <v>3703</v>
      </c>
      <c r="I75" s="230">
        <f>IF("generated"=1, "Path=MMRBEM_7_DOWN, Scaled Offset=3703", 4160.27900249033)</f>
        <v>4160.2790024903297</v>
      </c>
      <c r="J75" t="s">
        <v>248</v>
      </c>
    </row>
    <row r="76" spans="1:10" ht="15" x14ac:dyDescent="0.25">
      <c r="A76" s="224" t="s">
        <v>129</v>
      </c>
      <c r="B76">
        <v>75069</v>
      </c>
      <c r="C76" t="s">
        <v>440</v>
      </c>
      <c r="D76" s="93" t="s">
        <v>920</v>
      </c>
      <c r="E76" s="115" t="s">
        <v>188</v>
      </c>
      <c r="G76" s="116">
        <v>3894</v>
      </c>
      <c r="H76" s="116">
        <f t="shared" si="1"/>
        <v>3894</v>
      </c>
      <c r="I76" s="230">
        <f>IF("generated"=1, "Path=MMRBEM_7_DOWN, Scaled Offset=3894", 4348.15941384928)</f>
        <v>4348.1594138492801</v>
      </c>
      <c r="J76" t="s">
        <v>248</v>
      </c>
    </row>
    <row r="77" spans="1:10" ht="15" x14ac:dyDescent="0.25">
      <c r="A77" s="224" t="s">
        <v>129</v>
      </c>
      <c r="B77">
        <v>75070</v>
      </c>
      <c r="C77" t="s">
        <v>441</v>
      </c>
      <c r="D77" s="93" t="s">
        <v>920</v>
      </c>
      <c r="E77" s="115" t="s">
        <v>188</v>
      </c>
      <c r="G77" s="116">
        <v>4014</v>
      </c>
      <c r="H77" s="116">
        <f t="shared" si="1"/>
        <v>4014</v>
      </c>
      <c r="I77" s="230">
        <f>IF("generated"=1, "Path=MMRBEM_7_DOWN, Scaled Offset=4014", 4466.19946287062)</f>
        <v>4466.1994628706198</v>
      </c>
      <c r="J77" t="s">
        <v>248</v>
      </c>
    </row>
    <row r="78" spans="1:10" ht="15" x14ac:dyDescent="0.25">
      <c r="A78" s="224" t="s">
        <v>129</v>
      </c>
      <c r="B78">
        <v>75071</v>
      </c>
      <c r="C78" t="s">
        <v>442</v>
      </c>
      <c r="D78" s="93" t="s">
        <v>920</v>
      </c>
      <c r="E78" s="115" t="s">
        <v>188</v>
      </c>
      <c r="G78" s="116">
        <v>4035</v>
      </c>
      <c r="H78" s="116">
        <f t="shared" si="1"/>
        <v>4035</v>
      </c>
      <c r="I78" s="230">
        <f>IF("generated"=1, "Path=MMRBEM_7_DOWN, Scaled Offset=4035", 4486.85647144935)</f>
        <v>4486.8564714493496</v>
      </c>
      <c r="J78" t="s">
        <v>248</v>
      </c>
    </row>
    <row r="79" spans="1:10" ht="15" x14ac:dyDescent="0.25">
      <c r="A79" s="224" t="s">
        <v>129</v>
      </c>
      <c r="B79">
        <v>75072</v>
      </c>
      <c r="C79" t="s">
        <v>443</v>
      </c>
      <c r="D79" s="93" t="s">
        <v>920</v>
      </c>
      <c r="E79" s="115" t="s">
        <v>188</v>
      </c>
      <c r="G79" s="116">
        <v>4130.99</v>
      </c>
      <c r="H79" s="116">
        <f t="shared" si="1"/>
        <v>4130.99</v>
      </c>
      <c r="I79" s="230">
        <f>IF("generated"=1, "Path=MMRBEM_7_DOWN, Scaled Offset=4130.9899999999997817212715744972229", 4581.27867399567)</f>
        <v>4581.27867399567</v>
      </c>
      <c r="J79" t="s">
        <v>248</v>
      </c>
    </row>
    <row r="80" spans="1:10" ht="15" x14ac:dyDescent="0.25">
      <c r="A80" s="224" t="s">
        <v>129</v>
      </c>
      <c r="B80">
        <v>75073</v>
      </c>
      <c r="C80" t="s">
        <v>444</v>
      </c>
      <c r="D80" s="93" t="s">
        <v>920</v>
      </c>
      <c r="E80" s="115" t="s">
        <v>188</v>
      </c>
      <c r="G80" s="116">
        <v>4145.8500000000004</v>
      </c>
      <c r="H80" s="116">
        <f t="shared" si="1"/>
        <v>4145.8500000000004</v>
      </c>
      <c r="I80" s="230">
        <f>IF("generated"=1, "Path=MMRBEM_7_DOWN, Scaled Offset=4145.8500000000003637978807091712952", 4595.89596673281)</f>
        <v>4595.8959667328099</v>
      </c>
      <c r="J80" t="s">
        <v>248</v>
      </c>
    </row>
    <row r="81" spans="1:10" ht="15" x14ac:dyDescent="0.25">
      <c r="A81" s="224" t="s">
        <v>129</v>
      </c>
      <c r="B81">
        <v>75074</v>
      </c>
      <c r="C81" t="s">
        <v>445</v>
      </c>
      <c r="D81" s="93" t="s">
        <v>920</v>
      </c>
      <c r="E81" s="115" t="s">
        <v>188</v>
      </c>
      <c r="G81" s="116">
        <v>4148.8500000000004</v>
      </c>
      <c r="H81" s="116">
        <f t="shared" si="1"/>
        <v>4148.8500000000004</v>
      </c>
      <c r="I81" s="230">
        <f>IF("generated"=1, "Path=MMRBEM_7_DOWN, Scaled Offset=4148.8500000000003637978807091712952", 4598.84696795834)</f>
        <v>4598.8469679583404</v>
      </c>
      <c r="J81" t="s">
        <v>248</v>
      </c>
    </row>
    <row r="82" spans="1:10" ht="15" x14ac:dyDescent="0.25">
      <c r="A82" s="224" t="s">
        <v>129</v>
      </c>
      <c r="B82">
        <v>75075</v>
      </c>
      <c r="C82" t="s">
        <v>446</v>
      </c>
      <c r="D82" s="93" t="s">
        <v>920</v>
      </c>
      <c r="E82" s="115" t="s">
        <v>188</v>
      </c>
      <c r="G82" s="116">
        <v>4168.7700000000004</v>
      </c>
      <c r="H82" s="116">
        <f t="shared" si="1"/>
        <v>4168.7700000000004</v>
      </c>
      <c r="I82" s="230">
        <f>IF("generated"=1, "Path=MMRBEM_7_DOWN, Scaled Offset=4168.7700000000004365574568510055542", 4618.44161609588)</f>
        <v>4618.4416160958799</v>
      </c>
      <c r="J82" t="s">
        <v>248</v>
      </c>
    </row>
    <row r="83" spans="1:10" ht="15" x14ac:dyDescent="0.25">
      <c r="A83" s="224" t="s">
        <v>129</v>
      </c>
      <c r="B83">
        <v>75076</v>
      </c>
      <c r="C83" t="s">
        <v>447</v>
      </c>
      <c r="D83" s="93" t="s">
        <v>920</v>
      </c>
      <c r="E83" s="115" t="s">
        <v>188</v>
      </c>
      <c r="G83" s="116">
        <v>4171.7700000000004</v>
      </c>
      <c r="H83" s="116">
        <f t="shared" si="1"/>
        <v>4171.7700000000004</v>
      </c>
      <c r="I83" s="230">
        <f>IF("generated"=1, "Path=MMRBEM_7_DOWN, Scaled Offset=4171.7700000000004365574568510055542", 4621.39261732142)</f>
        <v>4621.3926173214204</v>
      </c>
      <c r="J83" t="s">
        <v>248</v>
      </c>
    </row>
    <row r="84" spans="1:10" ht="15" x14ac:dyDescent="0.25">
      <c r="A84" s="224" t="s">
        <v>129</v>
      </c>
      <c r="B84">
        <v>75077</v>
      </c>
      <c r="C84" t="s">
        <v>448</v>
      </c>
      <c r="D84" s="93" t="s">
        <v>920</v>
      </c>
      <c r="E84" s="115" t="s">
        <v>188</v>
      </c>
      <c r="G84" s="116">
        <v>4229.79</v>
      </c>
      <c r="H84" s="116">
        <f t="shared" si="1"/>
        <v>4229.79</v>
      </c>
      <c r="I84" s="230">
        <f>IF("generated"=1, "Path=MMRBEM_7_DOWN, Scaled Offset=4229.7899999999999636202119290828705", 4678.46498102323)</f>
        <v>4678.4649810232304</v>
      </c>
      <c r="J84" t="s">
        <v>248</v>
      </c>
    </row>
    <row r="85" spans="1:10" ht="15" x14ac:dyDescent="0.25">
      <c r="A85" s="224" t="s">
        <v>129</v>
      </c>
      <c r="B85">
        <v>75078</v>
      </c>
      <c r="C85" t="s">
        <v>449</v>
      </c>
      <c r="D85" s="93" t="s">
        <v>920</v>
      </c>
      <c r="E85" s="115" t="s">
        <v>188</v>
      </c>
      <c r="G85" s="116">
        <v>4264.8900000000003</v>
      </c>
      <c r="H85" s="116">
        <f t="shared" si="1"/>
        <v>4264.8900000000003</v>
      </c>
      <c r="I85" s="230">
        <f>IF("generated"=1, "Path=MMRBEM_7_DOWN, Scaled Offset=4264.8900000000003274180926382541656", 4712.99169536197)</f>
        <v>4712.9916953619704</v>
      </c>
      <c r="J85" t="s">
        <v>248</v>
      </c>
    </row>
    <row r="86" spans="1:10" ht="15" x14ac:dyDescent="0.25">
      <c r="A86" s="224" t="s">
        <v>129</v>
      </c>
      <c r="B86">
        <v>75079</v>
      </c>
      <c r="C86" t="s">
        <v>450</v>
      </c>
      <c r="D86" s="93" t="s">
        <v>920</v>
      </c>
      <c r="E86" s="115" t="s">
        <v>188</v>
      </c>
      <c r="G86" s="116">
        <v>4267.8900000000003</v>
      </c>
      <c r="H86" s="116">
        <f t="shared" si="1"/>
        <v>4267.8900000000003</v>
      </c>
      <c r="I86" s="230">
        <f>IF("generated"=1, "Path=MMRBEM_7_DOWN, Scaled Offset=4267.8900000000003274180926382541656", 4715.9426965875)</f>
        <v>4715.9426965875</v>
      </c>
      <c r="J86" t="s">
        <v>248</v>
      </c>
    </row>
    <row r="87" spans="1:10" ht="15" x14ac:dyDescent="0.25">
      <c r="A87" s="224" t="s">
        <v>129</v>
      </c>
      <c r="B87">
        <v>75080</v>
      </c>
      <c r="C87" t="s">
        <v>451</v>
      </c>
      <c r="D87" s="93" t="s">
        <v>920</v>
      </c>
      <c r="E87" s="115" t="s">
        <v>188</v>
      </c>
      <c r="G87" s="116">
        <v>4287.8100000000004</v>
      </c>
      <c r="H87" s="116">
        <f t="shared" si="1"/>
        <v>4287.8100000000004</v>
      </c>
      <c r="I87" s="230">
        <f>IF("generated"=1, "Path=MMRBEM_7_DOWN, Scaled Offset=4287.8100000000004001776687800884247", 4735.53734472504)</f>
        <v>4735.5373447250404</v>
      </c>
      <c r="J87" t="s">
        <v>248</v>
      </c>
    </row>
    <row r="88" spans="1:10" ht="15" x14ac:dyDescent="0.25">
      <c r="A88" s="224" t="s">
        <v>129</v>
      </c>
      <c r="B88">
        <v>75081</v>
      </c>
      <c r="C88" t="s">
        <v>452</v>
      </c>
      <c r="D88" s="93" t="s">
        <v>920</v>
      </c>
      <c r="E88" s="115" t="s">
        <v>188</v>
      </c>
      <c r="G88" s="116">
        <v>4290.8100000000004</v>
      </c>
      <c r="H88" s="116">
        <f t="shared" si="1"/>
        <v>4290.8100000000004</v>
      </c>
      <c r="I88" s="230">
        <f>IF("generated"=1, "Path=MMRBEM_7_DOWN, Scaled Offset=4290.8100000000004001776687800884247", 4738.48834595058)</f>
        <v>4738.48834595058</v>
      </c>
      <c r="J88" t="s">
        <v>248</v>
      </c>
    </row>
    <row r="89" spans="1:10" ht="15" x14ac:dyDescent="0.25">
      <c r="A89" s="224" t="s">
        <v>129</v>
      </c>
      <c r="B89">
        <v>75082</v>
      </c>
      <c r="C89" t="s">
        <v>453</v>
      </c>
      <c r="D89" s="93" t="s">
        <v>920</v>
      </c>
      <c r="E89" s="115" t="s">
        <v>188</v>
      </c>
      <c r="G89" s="116">
        <v>4343.2299999999996</v>
      </c>
      <c r="H89" s="116">
        <f t="shared" si="1"/>
        <v>4343.2299999999996</v>
      </c>
      <c r="I89" s="230">
        <f>IF("generated"=1, "Path=MMRBEM_7_DOWN, Scaled Offset=4343.2299999999995634425431489944458", 4790.0521740314)</f>
        <v>4790.0521740313998</v>
      </c>
      <c r="J89" t="s">
        <v>248</v>
      </c>
    </row>
    <row r="90" spans="1:10" ht="15" x14ac:dyDescent="0.25">
      <c r="A90" s="224" t="s">
        <v>129</v>
      </c>
      <c r="B90">
        <v>75083</v>
      </c>
      <c r="C90" t="s">
        <v>454</v>
      </c>
      <c r="D90" s="93" t="s">
        <v>920</v>
      </c>
      <c r="E90" s="115" t="s">
        <v>188</v>
      </c>
      <c r="G90" s="116">
        <v>4423</v>
      </c>
      <c r="H90" s="116">
        <f t="shared" si="1"/>
        <v>4423</v>
      </c>
      <c r="I90" s="230">
        <f>IF("generated"=1, "Path=MMRBEM_7_DOWN, Scaled Offset=4423", 4868.51929661833)</f>
        <v>4868.5192966183304</v>
      </c>
      <c r="J90" t="s">
        <v>248</v>
      </c>
    </row>
    <row r="91" spans="1:10" ht="15" x14ac:dyDescent="0.25">
      <c r="A91" s="224" t="s">
        <v>129</v>
      </c>
      <c r="B91">
        <v>75084</v>
      </c>
      <c r="C91" t="s">
        <v>455</v>
      </c>
      <c r="D91" s="93" t="s">
        <v>920</v>
      </c>
      <c r="E91" s="115" t="s">
        <v>188</v>
      </c>
      <c r="G91" s="116">
        <v>4444</v>
      </c>
      <c r="H91" s="116">
        <f t="shared" si="1"/>
        <v>4444</v>
      </c>
      <c r="I91" s="230">
        <f>IF("generated"=1, "Path=MMRBEM_7_DOWN, Scaled Offset=4444", 4889.17630519706)</f>
        <v>4889.1763051970602</v>
      </c>
      <c r="J91" t="s">
        <v>248</v>
      </c>
    </row>
    <row r="92" spans="1:10" ht="15" x14ac:dyDescent="0.25">
      <c r="A92" s="224" t="s">
        <v>129</v>
      </c>
      <c r="B92">
        <v>75085</v>
      </c>
      <c r="C92" t="s">
        <v>456</v>
      </c>
      <c r="D92" s="93" t="s">
        <v>920</v>
      </c>
      <c r="E92" s="115" t="s">
        <v>188</v>
      </c>
      <c r="G92" s="116">
        <v>4564</v>
      </c>
      <c r="H92" s="116">
        <f t="shared" si="1"/>
        <v>4564</v>
      </c>
      <c r="I92" s="230">
        <f>IF("generated"=1, "Path=MMRBEM_7_DOWN, Scaled Offset=4564", 5007.21635421839)</f>
        <v>5007.2163542183898</v>
      </c>
      <c r="J92" t="s">
        <v>248</v>
      </c>
    </row>
    <row r="93" spans="1:10" ht="15" x14ac:dyDescent="0.25">
      <c r="A93" s="224" t="s">
        <v>129</v>
      </c>
      <c r="B93">
        <v>75086</v>
      </c>
      <c r="C93" t="s">
        <v>457</v>
      </c>
      <c r="D93" s="93" t="s">
        <v>920</v>
      </c>
      <c r="E93" s="115" t="s">
        <v>188</v>
      </c>
      <c r="G93" s="116">
        <v>4764</v>
      </c>
      <c r="H93" s="116">
        <f t="shared" ref="H93:H156" si="2">G93+F93</f>
        <v>4764</v>
      </c>
      <c r="I93" s="230">
        <f>IF("generated"=1, "Path=MMRBEM_7_DOWN, Scaled Offset=4764", 5203.94976925395)</f>
        <v>5203.9497692539499</v>
      </c>
      <c r="J93" t="s">
        <v>248</v>
      </c>
    </row>
    <row r="94" spans="1:10" ht="15" x14ac:dyDescent="0.25">
      <c r="A94" s="224" t="s">
        <v>129</v>
      </c>
      <c r="B94">
        <v>75087</v>
      </c>
      <c r="C94" t="s">
        <v>458</v>
      </c>
      <c r="D94" s="93" t="s">
        <v>920</v>
      </c>
      <c r="E94" s="115" t="s">
        <v>188</v>
      </c>
      <c r="G94" s="116">
        <v>4964</v>
      </c>
      <c r="H94" s="116">
        <f t="shared" si="2"/>
        <v>4964</v>
      </c>
      <c r="I94" s="230">
        <f>IF("generated"=1, "Path=MMRBEM_7_DOWN, Scaled Offset=4964", 5400.6831842895)</f>
        <v>5400.6831842894999</v>
      </c>
      <c r="J94" t="s">
        <v>248</v>
      </c>
    </row>
    <row r="95" spans="1:10" ht="15" x14ac:dyDescent="0.25">
      <c r="A95" s="224" t="s">
        <v>129</v>
      </c>
      <c r="B95">
        <v>75088</v>
      </c>
      <c r="C95" t="s">
        <v>459</v>
      </c>
      <c r="D95" s="93" t="s">
        <v>920</v>
      </c>
      <c r="E95" s="115" t="s">
        <v>188</v>
      </c>
      <c r="G95" s="116">
        <v>5164</v>
      </c>
      <c r="H95" s="116">
        <f t="shared" si="2"/>
        <v>5164</v>
      </c>
      <c r="I95" s="230">
        <f>IF("generated"=1, "Path=MMRBEM_7_DOWN, Scaled Offset=5164", 5597.41659932506)</f>
        <v>5597.4165993250599</v>
      </c>
      <c r="J95" t="s">
        <v>248</v>
      </c>
    </row>
    <row r="96" spans="1:10" ht="15" x14ac:dyDescent="0.25">
      <c r="A96" s="224" t="s">
        <v>129</v>
      </c>
      <c r="B96">
        <v>75089</v>
      </c>
      <c r="C96" t="s">
        <v>460</v>
      </c>
      <c r="D96" s="93" t="s">
        <v>920</v>
      </c>
      <c r="E96" s="115" t="s">
        <v>188</v>
      </c>
      <c r="G96" s="116">
        <v>5364</v>
      </c>
      <c r="H96" s="116">
        <f t="shared" si="2"/>
        <v>5364</v>
      </c>
      <c r="I96" s="230">
        <f>IF("generated"=1, "Path=MMRBEM_7_DOWN, Scaled Offset=5364", 5794.15001436062)</f>
        <v>5794.1500143606199</v>
      </c>
      <c r="J96" t="s">
        <v>248</v>
      </c>
    </row>
    <row r="97" spans="1:10" ht="15" x14ac:dyDescent="0.25">
      <c r="A97" s="224" t="s">
        <v>129</v>
      </c>
      <c r="B97">
        <v>75090</v>
      </c>
      <c r="C97" t="s">
        <v>461</v>
      </c>
      <c r="D97" s="93" t="s">
        <v>920</v>
      </c>
      <c r="E97" s="115" t="s">
        <v>188</v>
      </c>
      <c r="G97" s="116">
        <v>5552.59</v>
      </c>
      <c r="H97" s="116">
        <f t="shared" si="2"/>
        <v>5552.59</v>
      </c>
      <c r="I97" s="230">
        <f>IF("generated"=1, "Path=MMRBEM_7_DOWN, Scaled Offset=5552.5900000000001455191522836685181", 5979.65978806839)</f>
        <v>5979.6597880683903</v>
      </c>
      <c r="J97" t="s">
        <v>248</v>
      </c>
    </row>
    <row r="98" spans="1:10" ht="15" x14ac:dyDescent="0.25">
      <c r="A98" s="224" t="s">
        <v>129</v>
      </c>
      <c r="B98">
        <v>75091</v>
      </c>
      <c r="C98" t="s">
        <v>462</v>
      </c>
      <c r="D98" s="93" t="s">
        <v>920</v>
      </c>
      <c r="E98" s="115" t="s">
        <v>188</v>
      </c>
      <c r="G98" s="116">
        <v>5596.17</v>
      </c>
      <c r="H98" s="116">
        <f t="shared" si="2"/>
        <v>5596.17</v>
      </c>
      <c r="I98" s="230">
        <f>IF("generated"=1, "Path=MMRBEM_7_DOWN, Scaled Offset=5596.170000000000072759576141834259", 6022.52799920464)</f>
        <v>6022.5279992046399</v>
      </c>
      <c r="J98" t="s">
        <v>248</v>
      </c>
    </row>
    <row r="99" spans="1:10" ht="15" x14ac:dyDescent="0.25">
      <c r="A99" s="224" t="s">
        <v>129</v>
      </c>
      <c r="B99">
        <v>75092</v>
      </c>
      <c r="C99" t="s">
        <v>463</v>
      </c>
      <c r="D99" s="93" t="s">
        <v>920</v>
      </c>
      <c r="E99" s="115" t="s">
        <v>188</v>
      </c>
      <c r="G99" s="116">
        <v>5651.57</v>
      </c>
      <c r="H99" s="116">
        <f t="shared" si="2"/>
        <v>5651.57</v>
      </c>
      <c r="I99" s="230">
        <f>IF("generated"=1, "Path=MMRBEM_7_DOWN, Scaled Offset=5651.5699999999997089616954326629639", 6077.02315516949)</f>
        <v>6077.0231551694897</v>
      </c>
      <c r="J99" t="s">
        <v>248</v>
      </c>
    </row>
    <row r="100" spans="1:10" ht="15" x14ac:dyDescent="0.25">
      <c r="A100" s="224" t="s">
        <v>129</v>
      </c>
      <c r="B100">
        <v>75093</v>
      </c>
      <c r="C100" t="s">
        <v>464</v>
      </c>
      <c r="D100" s="93" t="s">
        <v>920</v>
      </c>
      <c r="E100" s="115" t="s">
        <v>188</v>
      </c>
      <c r="G100" s="116">
        <v>5738.14</v>
      </c>
      <c r="H100" s="116">
        <f t="shared" si="2"/>
        <v>5738.14</v>
      </c>
      <c r="I100" s="230">
        <f>IF("generated"=1, "Path=MMRBEM_7_DOWN, Scaled Offset=5738.1400000000003274180926382541656", 6162.17921386763)</f>
        <v>6162.1792138676301</v>
      </c>
      <c r="J100" t="s">
        <v>248</v>
      </c>
    </row>
    <row r="101" spans="1:10" ht="15" x14ac:dyDescent="0.25">
      <c r="A101" s="224" t="s">
        <v>129</v>
      </c>
      <c r="B101">
        <v>75094</v>
      </c>
      <c r="C101" t="s">
        <v>465</v>
      </c>
      <c r="D101" s="93" t="s">
        <v>920</v>
      </c>
      <c r="E101" s="115" t="s">
        <v>188</v>
      </c>
      <c r="G101" s="116">
        <v>5794</v>
      </c>
      <c r="H101" s="116">
        <f t="shared" si="2"/>
        <v>5794</v>
      </c>
      <c r="I101" s="230">
        <f>IF("generated"=1, "Path=MMRBEM_7_DOWN, Scaled Offset=5794", 6217.12685668706)</f>
        <v>6217.1268566870604</v>
      </c>
      <c r="J101" t="s">
        <v>248</v>
      </c>
    </row>
    <row r="102" spans="1:10" ht="15" x14ac:dyDescent="0.25">
      <c r="A102" s="224" t="s">
        <v>129</v>
      </c>
      <c r="B102">
        <v>75095</v>
      </c>
      <c r="C102" t="s">
        <v>466</v>
      </c>
      <c r="D102" s="93" t="s">
        <v>920</v>
      </c>
      <c r="E102" s="115" t="s">
        <v>188</v>
      </c>
      <c r="G102" s="116">
        <v>5914</v>
      </c>
      <c r="H102" s="116">
        <f t="shared" si="2"/>
        <v>5914</v>
      </c>
      <c r="I102" s="230">
        <f>IF("generated"=1, "Path=MMRBEM_7_DOWN, Scaled Offset=5914", 6335.16690570839)</f>
        <v>6335.16690570839</v>
      </c>
      <c r="J102" t="s">
        <v>248</v>
      </c>
    </row>
    <row r="103" spans="1:10" ht="15" x14ac:dyDescent="0.25">
      <c r="A103" s="224" t="s">
        <v>129</v>
      </c>
      <c r="B103">
        <v>75096</v>
      </c>
      <c r="C103" t="s">
        <v>467</v>
      </c>
      <c r="D103" s="93" t="s">
        <v>920</v>
      </c>
      <c r="E103" s="115" t="s">
        <v>188</v>
      </c>
      <c r="G103" s="116">
        <v>5935</v>
      </c>
      <c r="H103" s="116">
        <f t="shared" si="2"/>
        <v>5935</v>
      </c>
      <c r="I103" s="230">
        <f>IF("generated"=1, "Path=MMRBEM_7_DOWN, Scaled Offset=5935", 6355.82391428713)</f>
        <v>6355.8239142871298</v>
      </c>
      <c r="J103" t="s">
        <v>248</v>
      </c>
    </row>
    <row r="104" spans="1:10" ht="15" x14ac:dyDescent="0.25">
      <c r="A104" s="224" t="s">
        <v>129</v>
      </c>
      <c r="B104">
        <v>75097</v>
      </c>
      <c r="C104" t="s">
        <v>468</v>
      </c>
      <c r="D104" s="93" t="s">
        <v>920</v>
      </c>
      <c r="E104" s="115" t="s">
        <v>188</v>
      </c>
      <c r="G104" s="116">
        <v>6031.37</v>
      </c>
      <c r="H104" s="116">
        <f t="shared" si="2"/>
        <v>6031.37</v>
      </c>
      <c r="I104" s="230">
        <f>IF("generated"=1, "Path=MMRBEM_7_DOWN, Scaled Offset=6031.3699999999998908606357872486115", 6450.79549057227)</f>
        <v>6450.79549057227</v>
      </c>
      <c r="J104" t="s">
        <v>248</v>
      </c>
    </row>
    <row r="105" spans="1:10" ht="15" x14ac:dyDescent="0.25">
      <c r="A105" s="224" t="s">
        <v>129</v>
      </c>
      <c r="B105">
        <v>75098</v>
      </c>
      <c r="C105" t="s">
        <v>469</v>
      </c>
      <c r="D105" s="93" t="s">
        <v>920</v>
      </c>
      <c r="E105" s="115" t="s">
        <v>188</v>
      </c>
      <c r="G105" s="116">
        <v>6046.23</v>
      </c>
      <c r="H105" s="116">
        <f t="shared" si="2"/>
        <v>6046.23</v>
      </c>
      <c r="I105" s="230">
        <f>IF("generated"=1, "Path=MMRBEM_7_DOWN, Scaled Offset=6046.2299999999995634425431489944458", 6465.48208271231)</f>
        <v>6465.4820827123103</v>
      </c>
      <c r="J105" t="s">
        <v>248</v>
      </c>
    </row>
    <row r="106" spans="1:10" ht="15" x14ac:dyDescent="0.25">
      <c r="A106" s="224" t="s">
        <v>129</v>
      </c>
      <c r="B106">
        <v>75099</v>
      </c>
      <c r="C106" t="s">
        <v>470</v>
      </c>
      <c r="D106" s="93" t="s">
        <v>920</v>
      </c>
      <c r="E106" s="115" t="s">
        <v>188</v>
      </c>
      <c r="G106" s="116">
        <v>6049.23</v>
      </c>
      <c r="H106" s="116">
        <f t="shared" si="2"/>
        <v>6049.23</v>
      </c>
      <c r="I106" s="230">
        <f>IF("generated"=1, "Path=MMRBEM_7_DOWN, Scaled Offset=6049.2299999999995634425431489944458", 6468.44707439603)</f>
        <v>6468.4470743960301</v>
      </c>
      <c r="J106" t="s">
        <v>248</v>
      </c>
    </row>
    <row r="107" spans="1:10" ht="15" x14ac:dyDescent="0.25">
      <c r="A107" s="224" t="s">
        <v>129</v>
      </c>
      <c r="B107">
        <v>75100</v>
      </c>
      <c r="C107" t="s">
        <v>471</v>
      </c>
      <c r="D107" s="93" t="s">
        <v>920</v>
      </c>
      <c r="E107" s="115" t="s">
        <v>188</v>
      </c>
      <c r="G107" s="116">
        <v>6069.15</v>
      </c>
      <c r="H107" s="116">
        <f t="shared" si="2"/>
        <v>6069.15</v>
      </c>
      <c r="I107" s="230">
        <f>IF("generated"=1, "Path=MMRBEM_7_DOWN, Scaled Offset=6069.1499999999996362021192908287048", 6488.13461917594)</f>
        <v>6488.1346191759403</v>
      </c>
      <c r="J107" t="s">
        <v>248</v>
      </c>
    </row>
    <row r="108" spans="1:10" ht="15" x14ac:dyDescent="0.25">
      <c r="A108" s="224" t="s">
        <v>129</v>
      </c>
      <c r="B108">
        <v>75101</v>
      </c>
      <c r="C108" t="s">
        <v>472</v>
      </c>
      <c r="D108" s="93" t="s">
        <v>920</v>
      </c>
      <c r="E108" s="115" t="s">
        <v>188</v>
      </c>
      <c r="G108" s="116">
        <v>6072.15</v>
      </c>
      <c r="H108" s="116">
        <f t="shared" si="2"/>
        <v>6072.15</v>
      </c>
      <c r="I108" s="230">
        <f>IF("generated"=1, "Path=MMRBEM_7_DOWN, Scaled Offset=6072.1499999999996362021192908287048", 6491.09961085966)</f>
        <v>6491.0996108596601</v>
      </c>
      <c r="J108" t="s">
        <v>248</v>
      </c>
    </row>
    <row r="109" spans="1:10" ht="15" x14ac:dyDescent="0.25">
      <c r="A109" s="224" t="s">
        <v>129</v>
      </c>
      <c r="B109">
        <v>75102</v>
      </c>
      <c r="C109" t="s">
        <v>473</v>
      </c>
      <c r="D109" s="93" t="s">
        <v>920</v>
      </c>
      <c r="E109" s="115" t="s">
        <v>188</v>
      </c>
      <c r="G109" s="116">
        <v>6130.17</v>
      </c>
      <c r="H109" s="116">
        <f t="shared" si="2"/>
        <v>6130.17</v>
      </c>
      <c r="I109" s="230">
        <f>IF("generated"=1, "Path=MMRBEM_7_DOWN, Scaled Offset=6130.170000000000072759576141834259", 6548.44255002284)</f>
        <v>6548.4425500228399</v>
      </c>
      <c r="J109" t="s">
        <v>248</v>
      </c>
    </row>
    <row r="110" spans="1:10" ht="15" x14ac:dyDescent="0.25">
      <c r="A110" s="224" t="s">
        <v>129</v>
      </c>
      <c r="B110">
        <v>75103</v>
      </c>
      <c r="C110" t="s">
        <v>474</v>
      </c>
      <c r="D110" s="93" t="s">
        <v>920</v>
      </c>
      <c r="E110" s="115" t="s">
        <v>188</v>
      </c>
      <c r="G110" s="116">
        <v>6165.27</v>
      </c>
      <c r="H110" s="116">
        <f t="shared" si="2"/>
        <v>6165.27</v>
      </c>
      <c r="I110" s="230">
        <f>IF("generated"=1, "Path=MMRBEM_7_DOWN, Scaled Offset=6165.2700000000004365574568510055542", 6583.13295272238)</f>
        <v>6583.1329527223797</v>
      </c>
      <c r="J110" t="s">
        <v>248</v>
      </c>
    </row>
    <row r="111" spans="1:10" ht="15" x14ac:dyDescent="0.25">
      <c r="A111" s="224" t="s">
        <v>129</v>
      </c>
      <c r="B111">
        <v>75104</v>
      </c>
      <c r="C111" t="s">
        <v>475</v>
      </c>
      <c r="D111" s="93" t="s">
        <v>920</v>
      </c>
      <c r="E111" s="115" t="s">
        <v>188</v>
      </c>
      <c r="G111" s="116">
        <v>6168.27</v>
      </c>
      <c r="H111" s="116">
        <f t="shared" si="2"/>
        <v>6168.27</v>
      </c>
      <c r="I111" s="230">
        <f>IF("generated"=1, "Path=MMRBEM_7_DOWN, Scaled Offset=6168.2700000000004365574568510055542", 6586.0979444061)</f>
        <v>6586.0979444061004</v>
      </c>
      <c r="J111" t="s">
        <v>248</v>
      </c>
    </row>
    <row r="112" spans="1:10" ht="15" x14ac:dyDescent="0.25">
      <c r="A112" s="224" t="s">
        <v>129</v>
      </c>
      <c r="B112">
        <v>75105</v>
      </c>
      <c r="C112" t="s">
        <v>476</v>
      </c>
      <c r="D112" s="93" t="s">
        <v>920</v>
      </c>
      <c r="E112" s="115" t="s">
        <v>188</v>
      </c>
      <c r="G112" s="116">
        <v>6188.19</v>
      </c>
      <c r="H112" s="116">
        <f t="shared" si="2"/>
        <v>6188.19</v>
      </c>
      <c r="I112" s="230">
        <f>IF("generated"=1, "Path=MMRBEM_7_DOWN, Scaled Offset=6188.1899999999995998223312199115753", 6605.78548918602)</f>
        <v>6605.7854891860197</v>
      </c>
      <c r="J112" t="s">
        <v>248</v>
      </c>
    </row>
    <row r="113" spans="1:10" ht="15" x14ac:dyDescent="0.25">
      <c r="A113" s="224" t="s">
        <v>129</v>
      </c>
      <c r="B113">
        <v>75106</v>
      </c>
      <c r="C113" t="s">
        <v>477</v>
      </c>
      <c r="D113" s="93" t="s">
        <v>920</v>
      </c>
      <c r="E113" s="115" t="s">
        <v>188</v>
      </c>
      <c r="G113" s="116">
        <v>6191.19</v>
      </c>
      <c r="H113" s="116">
        <f t="shared" si="2"/>
        <v>6191.19</v>
      </c>
      <c r="I113" s="230">
        <f>IF("generated"=1, "Path=MMRBEM_7_DOWN, Scaled Offset=6191.1899999999995998223312199115753", 6608.75048086974)</f>
        <v>6608.7504808697404</v>
      </c>
      <c r="J113" t="s">
        <v>248</v>
      </c>
    </row>
    <row r="114" spans="1:10" ht="15" x14ac:dyDescent="0.25">
      <c r="A114" s="224" t="s">
        <v>129</v>
      </c>
      <c r="B114">
        <v>75107</v>
      </c>
      <c r="C114" t="s">
        <v>478</v>
      </c>
      <c r="D114" s="93" t="s">
        <v>920</v>
      </c>
      <c r="E114" s="115" t="s">
        <v>188</v>
      </c>
      <c r="G114" s="116">
        <v>6240</v>
      </c>
      <c r="H114" s="116">
        <f t="shared" si="2"/>
        <v>6240</v>
      </c>
      <c r="I114" s="230">
        <f>IF("generated"=1, "Path=MMRBEM_7_DOWN, Scaled Offset=6240", 6656.99089556389)</f>
        <v>6656.9908955638903</v>
      </c>
      <c r="J114" t="s">
        <v>248</v>
      </c>
    </row>
    <row r="115" spans="1:10" ht="15" x14ac:dyDescent="0.25">
      <c r="A115" s="224" t="s">
        <v>129</v>
      </c>
      <c r="B115">
        <v>75108</v>
      </c>
      <c r="C115" t="s">
        <v>479</v>
      </c>
      <c r="D115" s="93" t="s">
        <v>920</v>
      </c>
      <c r="E115" s="115" t="s">
        <v>188</v>
      </c>
      <c r="G115" s="116">
        <v>6322</v>
      </c>
      <c r="H115" s="116">
        <f t="shared" si="2"/>
        <v>6322</v>
      </c>
      <c r="I115" s="230">
        <f>IF("generated"=1, "Path=MMRBEM_7_DOWN, Scaled Offset=6322", 6738.84952405857)</f>
        <v>6738.8495240585698</v>
      </c>
      <c r="J115" t="s">
        <v>248</v>
      </c>
    </row>
    <row r="116" spans="1:10" ht="15" x14ac:dyDescent="0.25">
      <c r="A116" s="224" t="s">
        <v>129</v>
      </c>
      <c r="B116">
        <v>75109</v>
      </c>
      <c r="C116" t="s">
        <v>480</v>
      </c>
      <c r="D116" s="93" t="s">
        <v>920</v>
      </c>
      <c r="E116" s="115" t="s">
        <v>188</v>
      </c>
      <c r="G116" s="116">
        <v>6343</v>
      </c>
      <c r="H116" s="116">
        <f t="shared" si="2"/>
        <v>6343</v>
      </c>
      <c r="I116" s="230">
        <f>IF("generated"=1, "Path=MMRBEM_7_DOWN, Scaled Offset=6343", 6759.82324422904)</f>
        <v>6759.82324422904</v>
      </c>
      <c r="J116" t="s">
        <v>248</v>
      </c>
    </row>
    <row r="117" spans="1:10" ht="15" x14ac:dyDescent="0.25">
      <c r="A117" s="224" t="s">
        <v>129</v>
      </c>
      <c r="B117">
        <v>75110</v>
      </c>
      <c r="C117" t="s">
        <v>481</v>
      </c>
      <c r="D117" s="93" t="s">
        <v>920</v>
      </c>
      <c r="E117" s="115" t="s">
        <v>188</v>
      </c>
      <c r="G117" s="116">
        <v>6463</v>
      </c>
      <c r="H117" s="116">
        <f t="shared" si="2"/>
        <v>6463</v>
      </c>
      <c r="I117" s="230">
        <f>IF("generated"=1, "Path=MMRBEM_7_DOWN, Scaled Offset=6463", 6879.67307377458)</f>
        <v>6879.6730737745802</v>
      </c>
      <c r="J117" t="s">
        <v>248</v>
      </c>
    </row>
    <row r="118" spans="1:10" ht="15" x14ac:dyDescent="0.25">
      <c r="A118" s="224" t="s">
        <v>129</v>
      </c>
      <c r="B118">
        <v>75111</v>
      </c>
      <c r="C118" t="s">
        <v>482</v>
      </c>
      <c r="D118" s="93" t="s">
        <v>920</v>
      </c>
      <c r="E118" s="115" t="s">
        <v>188</v>
      </c>
      <c r="G118" s="116">
        <v>6481.14</v>
      </c>
      <c r="H118" s="116">
        <f t="shared" si="2"/>
        <v>6481.14</v>
      </c>
      <c r="I118" s="230">
        <f>IF("generated"=1, "Path=MMRBEM_7_DOWN, Scaled Offset=6481.1400000000003274180926382541656", 6897.79037300754)</f>
        <v>6897.7903730075404</v>
      </c>
      <c r="J118" t="s">
        <v>248</v>
      </c>
    </row>
    <row r="119" spans="1:10" ht="15" x14ac:dyDescent="0.25">
      <c r="A119" s="224" t="s">
        <v>129</v>
      </c>
      <c r="B119">
        <v>75112</v>
      </c>
      <c r="C119" t="s">
        <v>483</v>
      </c>
      <c r="D119" s="93" t="s">
        <v>920</v>
      </c>
      <c r="E119" s="115" t="s">
        <v>188</v>
      </c>
      <c r="G119" s="116">
        <v>6567.7</v>
      </c>
      <c r="H119" s="116">
        <f t="shared" si="2"/>
        <v>6567.7</v>
      </c>
      <c r="I119" s="230">
        <f>IF("generated"=1, "Path=MMRBEM_7_DOWN, Scaled Offset=6567.6999999999998181010596454143524", 6984.24205005305)</f>
        <v>6984.2420500530498</v>
      </c>
      <c r="J119" t="s">
        <v>248</v>
      </c>
    </row>
    <row r="120" spans="1:10" ht="15" x14ac:dyDescent="0.25">
      <c r="A120" s="224" t="s">
        <v>129</v>
      </c>
      <c r="B120">
        <v>75113</v>
      </c>
      <c r="C120" t="s">
        <v>484</v>
      </c>
      <c r="D120" s="93" t="s">
        <v>920</v>
      </c>
      <c r="E120" s="115" t="s">
        <v>188</v>
      </c>
      <c r="G120" s="116">
        <v>6628.18</v>
      </c>
      <c r="H120" s="116">
        <f t="shared" si="2"/>
        <v>6628.18</v>
      </c>
      <c r="I120" s="230">
        <f>IF("generated"=1, "Path=MMRBEM_7_DOWN, Scaled Offset=6628.1800000000002910383045673370361", 7044.646364144)</f>
        <v>7044.6463641439996</v>
      </c>
      <c r="J120" t="s">
        <v>248</v>
      </c>
    </row>
    <row r="121" spans="1:10" ht="15" x14ac:dyDescent="0.25">
      <c r="A121" s="224" t="s">
        <v>129</v>
      </c>
      <c r="B121">
        <v>75114</v>
      </c>
      <c r="C121" t="s">
        <v>485</v>
      </c>
      <c r="D121" s="93" t="s">
        <v>920</v>
      </c>
      <c r="E121" s="115" t="s">
        <v>188</v>
      </c>
      <c r="G121" s="116">
        <v>6689.6</v>
      </c>
      <c r="H121" s="116">
        <f t="shared" si="2"/>
        <v>6689.6</v>
      </c>
      <c r="I121" s="230">
        <f>IF("generated"=1, "Path=MMRBEM_7_DOWN, Scaled Offset=6689.6000000000003637978807091712952", 7105.98950189973)</f>
        <v>7105.9895018997304</v>
      </c>
      <c r="J121" t="s">
        <v>248</v>
      </c>
    </row>
    <row r="122" spans="1:10" ht="15" x14ac:dyDescent="0.25">
      <c r="A122" s="224" t="s">
        <v>129</v>
      </c>
      <c r="B122">
        <v>75115</v>
      </c>
      <c r="C122" t="s">
        <v>486</v>
      </c>
      <c r="D122" s="93" t="s">
        <v>920</v>
      </c>
      <c r="E122" s="115" t="s">
        <v>188</v>
      </c>
      <c r="G122" s="116">
        <v>6749</v>
      </c>
      <c r="H122" s="116">
        <f t="shared" si="2"/>
        <v>6749</v>
      </c>
      <c r="I122" s="230">
        <f>IF("generated"=1, "Path=MMRBEM_7_DOWN, Scaled Offset=6749", 7165.31516752476)</f>
        <v>7165.31516752476</v>
      </c>
      <c r="J122" t="s">
        <v>248</v>
      </c>
    </row>
    <row r="123" spans="1:10" ht="15" x14ac:dyDescent="0.25">
      <c r="A123" s="224" t="s">
        <v>129</v>
      </c>
      <c r="B123">
        <v>75116</v>
      </c>
      <c r="C123" t="s">
        <v>487</v>
      </c>
      <c r="D123" s="93" t="s">
        <v>920</v>
      </c>
      <c r="E123" s="115" t="s">
        <v>188</v>
      </c>
      <c r="G123" s="116">
        <v>6949</v>
      </c>
      <c r="H123" s="116">
        <f t="shared" si="2"/>
        <v>6949</v>
      </c>
      <c r="I123" s="230">
        <f>IF("generated"=1, "Path=MMRBEM_7_DOWN, Scaled Offset=6949", 7365.06488343399)</f>
        <v>7365.06488343399</v>
      </c>
      <c r="J123" t="s">
        <v>248</v>
      </c>
    </row>
    <row r="124" spans="1:10" ht="15" x14ac:dyDescent="0.25">
      <c r="A124" s="224" t="s">
        <v>129</v>
      </c>
      <c r="B124">
        <v>75117</v>
      </c>
      <c r="C124" t="s">
        <v>488</v>
      </c>
      <c r="D124" s="93" t="s">
        <v>920</v>
      </c>
      <c r="E124" s="115" t="s">
        <v>188</v>
      </c>
      <c r="G124" s="116">
        <v>7069</v>
      </c>
      <c r="H124" s="116">
        <f t="shared" si="2"/>
        <v>7069</v>
      </c>
      <c r="I124" s="230">
        <f>IF("generated"=1, "Path=MMRBEM_7_DOWN, Scaled Offset=7069", 7484.91471297952)</f>
        <v>7484.9147129795201</v>
      </c>
      <c r="J124" t="s">
        <v>248</v>
      </c>
    </row>
    <row r="125" spans="1:10" ht="15" x14ac:dyDescent="0.25">
      <c r="A125" s="224" t="s">
        <v>129</v>
      </c>
      <c r="B125">
        <v>75118</v>
      </c>
      <c r="C125" t="s">
        <v>489</v>
      </c>
      <c r="D125" s="93" t="s">
        <v>920</v>
      </c>
      <c r="E125" s="115" t="s">
        <v>188</v>
      </c>
      <c r="G125" s="116">
        <v>7090</v>
      </c>
      <c r="H125" s="116">
        <f t="shared" si="2"/>
        <v>7090</v>
      </c>
      <c r="I125" s="230">
        <f>IF("generated"=1, "Path=MMRBEM_7_DOWN, Scaled Offset=7090", 7505.88843314999)</f>
        <v>7505.8884331499903</v>
      </c>
      <c r="J125" t="s">
        <v>248</v>
      </c>
    </row>
    <row r="126" spans="1:10" ht="15" x14ac:dyDescent="0.25">
      <c r="A126" s="224" t="s">
        <v>129</v>
      </c>
      <c r="B126">
        <v>75119</v>
      </c>
      <c r="C126" t="s">
        <v>490</v>
      </c>
      <c r="D126" s="93" t="s">
        <v>920</v>
      </c>
      <c r="E126" s="115" t="s">
        <v>188</v>
      </c>
      <c r="G126" s="116">
        <v>7185.2</v>
      </c>
      <c r="H126" s="116">
        <f t="shared" si="2"/>
        <v>7185.2</v>
      </c>
      <c r="I126" s="230">
        <f>IF("generated"=1, "Path=MMRBEM_7_DOWN, Scaled Offset=7185.1999999999998181010596454143524", 7600.96929792278)</f>
        <v>7600.9692979227802</v>
      </c>
      <c r="J126" t="s">
        <v>248</v>
      </c>
    </row>
    <row r="127" spans="1:10" ht="15" x14ac:dyDescent="0.25">
      <c r="A127" s="224" t="s">
        <v>129</v>
      </c>
      <c r="B127">
        <v>75120</v>
      </c>
      <c r="C127" t="s">
        <v>491</v>
      </c>
      <c r="D127" s="93" t="s">
        <v>920</v>
      </c>
      <c r="E127" s="115" t="s">
        <v>188</v>
      </c>
      <c r="G127" s="116">
        <v>7200.06</v>
      </c>
      <c r="H127" s="116">
        <f t="shared" si="2"/>
        <v>7200.06</v>
      </c>
      <c r="I127" s="230">
        <f>IF("generated"=1, "Path=MMRBEM_7_DOWN, Scaled Offset=7200.0600000000004001776687800884247", 7615.81070181483)</f>
        <v>7615.8107018148303</v>
      </c>
      <c r="J127" t="s">
        <v>248</v>
      </c>
    </row>
    <row r="128" spans="1:10" ht="15" x14ac:dyDescent="0.25">
      <c r="A128" s="224" t="s">
        <v>129</v>
      </c>
      <c r="B128">
        <v>75121</v>
      </c>
      <c r="C128" t="s">
        <v>492</v>
      </c>
      <c r="D128" s="93" t="s">
        <v>920</v>
      </c>
      <c r="E128" s="115" t="s">
        <v>188</v>
      </c>
      <c r="G128" s="116">
        <v>7203.06</v>
      </c>
      <c r="H128" s="116">
        <f t="shared" si="2"/>
        <v>7203.06</v>
      </c>
      <c r="I128" s="230">
        <f>IF("generated"=1, "Path=MMRBEM_7_DOWN, Scaled Offset=7203.0600000000004001776687800884247", 7618.80694755347)</f>
        <v>7618.8069475534703</v>
      </c>
      <c r="J128" t="s">
        <v>248</v>
      </c>
    </row>
    <row r="129" spans="1:10" ht="15" x14ac:dyDescent="0.25">
      <c r="A129" s="224" t="s">
        <v>129</v>
      </c>
      <c r="B129">
        <v>75122</v>
      </c>
      <c r="C129" t="s">
        <v>493</v>
      </c>
      <c r="D129" s="93" t="s">
        <v>920</v>
      </c>
      <c r="E129" s="115" t="s">
        <v>188</v>
      </c>
      <c r="G129" s="116">
        <v>7222.98</v>
      </c>
      <c r="H129" s="116">
        <f t="shared" si="2"/>
        <v>7222.98</v>
      </c>
      <c r="I129" s="230">
        <f>IF("generated"=1, "Path=MMRBEM_7_DOWN, Scaled Offset=7222.9799999999995634425431489944458", 7638.70201925803)</f>
        <v>7638.7020192580303</v>
      </c>
      <c r="J129" t="s">
        <v>248</v>
      </c>
    </row>
    <row r="130" spans="1:10" ht="15" x14ac:dyDescent="0.25">
      <c r="A130" s="224" t="s">
        <v>129</v>
      </c>
      <c r="B130">
        <v>75123</v>
      </c>
      <c r="C130" t="s">
        <v>494</v>
      </c>
      <c r="D130" s="93" t="s">
        <v>920</v>
      </c>
      <c r="E130" s="115" t="s">
        <v>188</v>
      </c>
      <c r="G130" s="116">
        <v>7225.98</v>
      </c>
      <c r="H130" s="116">
        <f t="shared" si="2"/>
        <v>7225.98</v>
      </c>
      <c r="I130" s="230">
        <f>IF("generated"=1, "Path=MMRBEM_7_DOWN, Scaled Offset=7225.9799999999995634425431489944458", 7641.69826499667)</f>
        <v>7641.6982649966703</v>
      </c>
      <c r="J130" t="s">
        <v>248</v>
      </c>
    </row>
    <row r="131" spans="1:10" ht="15" x14ac:dyDescent="0.25">
      <c r="A131" s="224" t="s">
        <v>129</v>
      </c>
      <c r="B131">
        <v>75124</v>
      </c>
      <c r="C131" t="s">
        <v>495</v>
      </c>
      <c r="D131" s="93" t="s">
        <v>920</v>
      </c>
      <c r="E131" s="115" t="s">
        <v>188</v>
      </c>
      <c r="G131" s="116">
        <v>7284</v>
      </c>
      <c r="H131" s="116">
        <f t="shared" si="2"/>
        <v>7284</v>
      </c>
      <c r="I131" s="230">
        <f>IF("generated"=1, "Path=MMRBEM_7_DOWN, Scaled Offset=7284", 7699.64565758193)</f>
        <v>7699.6456575819302</v>
      </c>
      <c r="J131" t="s">
        <v>248</v>
      </c>
    </row>
    <row r="132" spans="1:10" ht="15" x14ac:dyDescent="0.25">
      <c r="A132" s="224" t="s">
        <v>129</v>
      </c>
      <c r="B132">
        <v>75125</v>
      </c>
      <c r="C132" t="s">
        <v>496</v>
      </c>
      <c r="D132" s="93" t="s">
        <v>920</v>
      </c>
      <c r="E132" s="115" t="s">
        <v>188</v>
      </c>
      <c r="G132" s="116">
        <v>7319.1</v>
      </c>
      <c r="H132" s="116">
        <f t="shared" si="2"/>
        <v>7319.1</v>
      </c>
      <c r="I132" s="230">
        <f>IF("generated"=1, "Path=MMRBEM_7_DOWN, Scaled Offset=7319.1000000000003637978807091712952", 7734.701732724)</f>
        <v>7734.7017327240001</v>
      </c>
      <c r="J132" t="s">
        <v>248</v>
      </c>
    </row>
    <row r="133" spans="1:10" ht="15" x14ac:dyDescent="0.25">
      <c r="A133" s="224" t="s">
        <v>129</v>
      </c>
      <c r="B133">
        <v>75126</v>
      </c>
      <c r="C133" t="s">
        <v>497</v>
      </c>
      <c r="D133" s="93" t="s">
        <v>920</v>
      </c>
      <c r="E133" s="115" t="s">
        <v>188</v>
      </c>
      <c r="G133" s="116">
        <v>7322.1</v>
      </c>
      <c r="H133" s="116">
        <f t="shared" si="2"/>
        <v>7322.1</v>
      </c>
      <c r="I133" s="230">
        <f>IF("generated"=1, "Path=MMRBEM_7_DOWN, Scaled Offset=7322.1000000000003637978807091712952", 7737.69797846264)</f>
        <v>7737.6979784626401</v>
      </c>
      <c r="J133" t="s">
        <v>248</v>
      </c>
    </row>
    <row r="134" spans="1:10" ht="15" x14ac:dyDescent="0.25">
      <c r="A134" s="224" t="s">
        <v>129</v>
      </c>
      <c r="B134">
        <v>75127</v>
      </c>
      <c r="C134" t="s">
        <v>498</v>
      </c>
      <c r="D134" s="93" t="s">
        <v>920</v>
      </c>
      <c r="E134" s="115" t="s">
        <v>188</v>
      </c>
      <c r="G134" s="116">
        <v>7342.02</v>
      </c>
      <c r="H134" s="116">
        <f t="shared" si="2"/>
        <v>7342.02</v>
      </c>
      <c r="I134" s="230">
        <f>IF("generated"=1, "Path=MMRBEM_7_DOWN, Scaled Offset=7342.0200000000004365574568510055542", 7757.5930501672)</f>
        <v>7757.5930501672001</v>
      </c>
      <c r="J134" t="s">
        <v>248</v>
      </c>
    </row>
    <row r="135" spans="1:10" ht="15" x14ac:dyDescent="0.25">
      <c r="A135" s="224" t="s">
        <v>129</v>
      </c>
      <c r="B135">
        <v>75128</v>
      </c>
      <c r="C135" t="s">
        <v>499</v>
      </c>
      <c r="D135" s="93" t="s">
        <v>920</v>
      </c>
      <c r="E135" s="115" t="s">
        <v>188</v>
      </c>
      <c r="G135" s="116">
        <v>7345.02</v>
      </c>
      <c r="H135" s="116">
        <f t="shared" si="2"/>
        <v>7345.02</v>
      </c>
      <c r="I135" s="230">
        <f>IF("generated"=1, "Path=MMRBEM_7_DOWN, Scaled Offset=7345.0200000000004365574568510055542", 7760.58929590584)</f>
        <v>7760.5892959058401</v>
      </c>
      <c r="J135" t="s">
        <v>248</v>
      </c>
    </row>
    <row r="136" spans="1:10" ht="15" x14ac:dyDescent="0.25">
      <c r="A136" s="224" t="s">
        <v>129</v>
      </c>
      <c r="B136">
        <v>75129</v>
      </c>
      <c r="C136" t="s">
        <v>500</v>
      </c>
      <c r="D136" s="93" t="s">
        <v>920</v>
      </c>
      <c r="E136" s="115" t="s">
        <v>188</v>
      </c>
      <c r="G136" s="116">
        <v>7397.44</v>
      </c>
      <c r="H136" s="116">
        <f t="shared" si="2"/>
        <v>7397.44</v>
      </c>
      <c r="I136" s="230">
        <f>IF("generated"=1, "Path=MMRBEM_7_DOWN, Scaled Offset=7397.4399999999995998223312199115753", 7812.94369644564)</f>
        <v>7812.9436964456399</v>
      </c>
      <c r="J136" t="s">
        <v>248</v>
      </c>
    </row>
    <row r="137" spans="1:10" ht="15" x14ac:dyDescent="0.25">
      <c r="A137" s="224" t="s">
        <v>129</v>
      </c>
      <c r="B137">
        <v>75130</v>
      </c>
      <c r="C137" t="s">
        <v>501</v>
      </c>
      <c r="D137" s="93" t="s">
        <v>920</v>
      </c>
      <c r="E137" s="115" t="s">
        <v>188</v>
      </c>
      <c r="G137" s="116">
        <v>7477</v>
      </c>
      <c r="H137" s="116">
        <f t="shared" si="2"/>
        <v>7477</v>
      </c>
      <c r="I137" s="230">
        <f>IF("generated"=1, "Path=MMRBEM_7_DOWN, Scaled Offset=7477", 7892.40413343433)</f>
        <v>7892.4041334343301</v>
      </c>
      <c r="J137" t="s">
        <v>248</v>
      </c>
    </row>
    <row r="138" spans="1:10" ht="15" x14ac:dyDescent="0.25">
      <c r="A138" s="224" t="s">
        <v>129</v>
      </c>
      <c r="B138">
        <v>75131</v>
      </c>
      <c r="C138" t="s">
        <v>502</v>
      </c>
      <c r="D138" s="93" t="s">
        <v>920</v>
      </c>
      <c r="E138" s="115" t="s">
        <v>188</v>
      </c>
      <c r="G138" s="116">
        <v>7498</v>
      </c>
      <c r="H138" s="116">
        <f t="shared" si="2"/>
        <v>7498</v>
      </c>
      <c r="I138" s="230">
        <f>IF("generated"=1, "Path=MMRBEM_7_DOWN, Scaled Offset=7498", 7913.3778536048)</f>
        <v>7913.3778536048003</v>
      </c>
      <c r="J138" t="s">
        <v>248</v>
      </c>
    </row>
    <row r="139" spans="1:10" ht="15" x14ac:dyDescent="0.25">
      <c r="A139" s="224" t="s">
        <v>129</v>
      </c>
      <c r="B139">
        <v>75132</v>
      </c>
      <c r="C139" t="s">
        <v>503</v>
      </c>
      <c r="D139" s="93" t="s">
        <v>920</v>
      </c>
      <c r="E139" s="115" t="s">
        <v>188</v>
      </c>
      <c r="G139" s="116">
        <v>7618</v>
      </c>
      <c r="H139" s="116">
        <f t="shared" si="2"/>
        <v>7618</v>
      </c>
      <c r="I139" s="230">
        <f>IF("generated"=1, "Path=MMRBEM_7_DOWN, Scaled Offset=7618", 8032.90814181353)</f>
        <v>8032.9081418135302</v>
      </c>
      <c r="J139" t="s">
        <v>248</v>
      </c>
    </row>
    <row r="140" spans="1:10" ht="15" x14ac:dyDescent="0.25">
      <c r="A140" s="224" t="s">
        <v>129</v>
      </c>
      <c r="B140">
        <v>75133</v>
      </c>
      <c r="C140" t="s">
        <v>504</v>
      </c>
      <c r="D140" s="93" t="s">
        <v>920</v>
      </c>
      <c r="E140" s="115" t="s">
        <v>188</v>
      </c>
      <c r="G140" s="116">
        <v>7782</v>
      </c>
      <c r="H140" s="116">
        <f t="shared" si="2"/>
        <v>7782</v>
      </c>
      <c r="I140" s="230">
        <f>IF("generated"=1, "Path=MMRBEM_7_DOWN, Scaled Offset=7782", 8193.79153223491)</f>
        <v>8193.7915322349108</v>
      </c>
      <c r="J140" t="s">
        <v>248</v>
      </c>
    </row>
    <row r="141" spans="1:10" ht="15" x14ac:dyDescent="0.25">
      <c r="A141" s="224" t="s">
        <v>129</v>
      </c>
      <c r="B141">
        <v>75134</v>
      </c>
      <c r="C141" t="s">
        <v>505</v>
      </c>
      <c r="D141" s="93" t="s">
        <v>920</v>
      </c>
      <c r="E141" s="115" t="s">
        <v>188</v>
      </c>
      <c r="G141" s="116">
        <v>7902</v>
      </c>
      <c r="H141" s="116">
        <f t="shared" si="2"/>
        <v>7902</v>
      </c>
      <c r="I141" s="230">
        <f>IF("generated"=1, "Path=MMRBEM_7_DOWN, Scaled Offset=7902", 8311.51108620177)</f>
        <v>8311.51108620177</v>
      </c>
      <c r="J141" t="s">
        <v>248</v>
      </c>
    </row>
    <row r="142" spans="1:10" ht="15" x14ac:dyDescent="0.25">
      <c r="A142" s="224" t="s">
        <v>129</v>
      </c>
      <c r="B142">
        <v>75135</v>
      </c>
      <c r="C142" t="s">
        <v>506</v>
      </c>
      <c r="D142" s="93" t="s">
        <v>920</v>
      </c>
      <c r="E142" s="115" t="s">
        <v>188</v>
      </c>
      <c r="G142" s="116">
        <v>7923</v>
      </c>
      <c r="H142" s="116">
        <f t="shared" si="2"/>
        <v>7923</v>
      </c>
      <c r="I142" s="230">
        <f>IF("generated"=1, "Path=MMRBEM_7_DOWN, Scaled Offset=7923", 8332.11200814597)</f>
        <v>8332.1120081459703</v>
      </c>
      <c r="J142" t="s">
        <v>248</v>
      </c>
    </row>
    <row r="143" spans="1:10" ht="15" x14ac:dyDescent="0.25">
      <c r="A143" s="224" t="s">
        <v>129</v>
      </c>
      <c r="B143">
        <v>75136</v>
      </c>
      <c r="C143" t="s">
        <v>507</v>
      </c>
      <c r="D143" s="93" t="s">
        <v>920</v>
      </c>
      <c r="E143" s="115" t="s">
        <v>188</v>
      </c>
      <c r="G143" s="116">
        <v>8018.08</v>
      </c>
      <c r="H143" s="116">
        <f t="shared" si="2"/>
        <v>8018.08</v>
      </c>
      <c r="I143" s="230">
        <f>IF("generated"=1, "Path=MMRBEM_7_DOWN, Scaled Offset=8018.079999999999927240423858165741", 8425.38513473904)</f>
        <v>8425.3851347390391</v>
      </c>
      <c r="J143" t="s">
        <v>248</v>
      </c>
    </row>
    <row r="144" spans="1:10" ht="15" x14ac:dyDescent="0.25">
      <c r="A144" s="224" t="s">
        <v>129</v>
      </c>
      <c r="B144">
        <v>75137</v>
      </c>
      <c r="C144" t="s">
        <v>523</v>
      </c>
      <c r="D144" s="93" t="s">
        <v>920</v>
      </c>
      <c r="E144" s="115" t="s">
        <v>188</v>
      </c>
      <c r="G144" s="116">
        <v>8032.94</v>
      </c>
      <c r="H144" s="116">
        <f t="shared" si="2"/>
        <v>8032.94</v>
      </c>
      <c r="I144" s="230">
        <f>IF("generated"=1, "Path=MMRBEM_7_DOWN, Scaled Offset=8032.9399999999995998223312199115753", 8439.96273950527)</f>
        <v>8439.9627395052703</v>
      </c>
      <c r="J144" t="s">
        <v>248</v>
      </c>
    </row>
    <row r="145" spans="1:10" ht="15" x14ac:dyDescent="0.25">
      <c r="A145" s="224" t="s">
        <v>129</v>
      </c>
      <c r="B145">
        <v>75138</v>
      </c>
      <c r="C145" t="s">
        <v>524</v>
      </c>
      <c r="D145" s="93" t="s">
        <v>920</v>
      </c>
      <c r="E145" s="115" t="s">
        <v>188</v>
      </c>
      <c r="G145" s="116">
        <v>8035.94</v>
      </c>
      <c r="H145" s="116">
        <f t="shared" si="2"/>
        <v>8035.94</v>
      </c>
      <c r="I145" s="230">
        <f>IF("generated"=1, "Path=MMRBEM_7_DOWN, Scaled Offset=8035.9399999999995998223312199115753", 8442.90572835444)</f>
        <v>8442.9057283544407</v>
      </c>
      <c r="J145" t="s">
        <v>248</v>
      </c>
    </row>
    <row r="146" spans="1:10" ht="15" x14ac:dyDescent="0.25">
      <c r="A146" s="224" t="s">
        <v>129</v>
      </c>
      <c r="B146">
        <v>75139</v>
      </c>
      <c r="C146" t="s">
        <v>525</v>
      </c>
      <c r="D146" s="93" t="s">
        <v>920</v>
      </c>
      <c r="E146" s="115" t="s">
        <v>188</v>
      </c>
      <c r="G146" s="116">
        <v>8055.86</v>
      </c>
      <c r="H146" s="116">
        <f t="shared" si="2"/>
        <v>8055.86</v>
      </c>
      <c r="I146" s="230">
        <f>IF("generated"=1, "Path=MMRBEM_7_DOWN, Scaled Offset=8055.8599999999996725819073617458344", 8462.44717431294)</f>
        <v>8462.4471743129398</v>
      </c>
      <c r="J146" t="s">
        <v>248</v>
      </c>
    </row>
    <row r="147" spans="1:10" ht="15" x14ac:dyDescent="0.25">
      <c r="A147" s="224" t="s">
        <v>129</v>
      </c>
      <c r="B147">
        <v>75140</v>
      </c>
      <c r="C147" t="s">
        <v>526</v>
      </c>
      <c r="D147" s="93" t="s">
        <v>920</v>
      </c>
      <c r="E147" s="115" t="s">
        <v>188</v>
      </c>
      <c r="G147" s="116">
        <v>8058.86</v>
      </c>
      <c r="H147" s="116">
        <f t="shared" si="2"/>
        <v>8058.86</v>
      </c>
      <c r="I147" s="230">
        <f>IF("generated"=1, "Path=MMRBEM_7_DOWN, Scaled Offset=8058.8599999999996725819073617458344", 8465.39016316211)</f>
        <v>8465.3901631621102</v>
      </c>
      <c r="J147" t="s">
        <v>248</v>
      </c>
    </row>
    <row r="148" spans="1:10" ht="15" x14ac:dyDescent="0.25">
      <c r="A148" s="224" t="s">
        <v>129</v>
      </c>
      <c r="B148">
        <v>75141</v>
      </c>
      <c r="C148" t="s">
        <v>508</v>
      </c>
      <c r="D148" s="93" t="s">
        <v>920</v>
      </c>
      <c r="E148" s="115" t="s">
        <v>188</v>
      </c>
      <c r="G148" s="116">
        <v>8116.88</v>
      </c>
      <c r="H148" s="116">
        <f t="shared" si="2"/>
        <v>8116.88</v>
      </c>
      <c r="I148" s="230">
        <f>IF("generated"=1, "Path=MMRBEM_7_DOWN, Scaled Offset=8116.8800000000001091393642127513885", 8522.30756750509)</f>
        <v>8522.3075675050895</v>
      </c>
      <c r="J148" t="s">
        <v>248</v>
      </c>
    </row>
    <row r="149" spans="1:10" ht="15" x14ac:dyDescent="0.25">
      <c r="A149" s="224" t="s">
        <v>129</v>
      </c>
      <c r="B149">
        <v>75142</v>
      </c>
      <c r="C149" t="s">
        <v>527</v>
      </c>
      <c r="D149" s="93" t="s">
        <v>920</v>
      </c>
      <c r="E149" s="115" t="s">
        <v>188</v>
      </c>
      <c r="G149" s="116">
        <v>8151.98</v>
      </c>
      <c r="H149" s="116">
        <f t="shared" si="2"/>
        <v>8151.98</v>
      </c>
      <c r="I149" s="230">
        <f>IF("generated"=1, "Path=MMRBEM_7_DOWN, Scaled Offset=8151.9799999999995634425431489944458", 8556.74053704039)</f>
        <v>8556.7405370403903</v>
      </c>
      <c r="J149" t="s">
        <v>248</v>
      </c>
    </row>
    <row r="150" spans="1:10" ht="15" x14ac:dyDescent="0.25">
      <c r="A150" s="224" t="s">
        <v>129</v>
      </c>
      <c r="B150">
        <v>75143</v>
      </c>
      <c r="C150" t="s">
        <v>528</v>
      </c>
      <c r="D150" s="93" t="s">
        <v>920</v>
      </c>
      <c r="E150" s="115" t="s">
        <v>188</v>
      </c>
      <c r="G150" s="116">
        <v>8154.98</v>
      </c>
      <c r="H150" s="116">
        <f t="shared" si="2"/>
        <v>8154.98</v>
      </c>
      <c r="I150" s="230">
        <f>IF("generated"=1, "Path=MMRBEM_7_DOWN, Scaled Offset=8154.9799999999995634425431489944458", 8559.68352588956)</f>
        <v>8559.6835258895608</v>
      </c>
      <c r="J150" t="s">
        <v>248</v>
      </c>
    </row>
    <row r="151" spans="1:10" ht="15" x14ac:dyDescent="0.25">
      <c r="A151" s="224" t="s">
        <v>129</v>
      </c>
      <c r="B151">
        <v>75144</v>
      </c>
      <c r="C151" t="s">
        <v>529</v>
      </c>
      <c r="D151" s="93" t="s">
        <v>920</v>
      </c>
      <c r="E151" s="115" t="s">
        <v>188</v>
      </c>
      <c r="G151" s="116">
        <v>8174.9</v>
      </c>
      <c r="H151" s="116">
        <f t="shared" si="2"/>
        <v>8174.9</v>
      </c>
      <c r="I151" s="230">
        <f>IF("generated"=1, "Path=MMRBEM_7_DOWN, Scaled Offset=8174.8999999999996362021192908287048", 8579.22497184806)</f>
        <v>8579.2249718480598</v>
      </c>
      <c r="J151" t="s">
        <v>248</v>
      </c>
    </row>
    <row r="152" spans="1:10" ht="15" x14ac:dyDescent="0.25">
      <c r="A152" s="224" t="s">
        <v>129</v>
      </c>
      <c r="B152">
        <v>75145</v>
      </c>
      <c r="C152" t="s">
        <v>530</v>
      </c>
      <c r="D152" s="93" t="s">
        <v>920</v>
      </c>
      <c r="E152" s="115" t="s">
        <v>188</v>
      </c>
      <c r="G152" s="116">
        <v>8177.9</v>
      </c>
      <c r="H152" s="116">
        <f t="shared" si="2"/>
        <v>8177.9</v>
      </c>
      <c r="I152" s="230">
        <f>IF("generated"=1, "Path=MMRBEM_7_DOWN, Scaled Offset=8177.8999999999996362021192908287048", 8582.16796069723)</f>
        <v>8582.1679606972302</v>
      </c>
      <c r="J152" t="s">
        <v>248</v>
      </c>
    </row>
    <row r="153" spans="1:10" ht="15" x14ac:dyDescent="0.25">
      <c r="A153" s="224" t="s">
        <v>129</v>
      </c>
      <c r="B153">
        <v>75146</v>
      </c>
      <c r="C153" t="s">
        <v>509</v>
      </c>
      <c r="D153" s="93" t="s">
        <v>920</v>
      </c>
      <c r="E153" s="115" t="s">
        <v>188</v>
      </c>
      <c r="G153" s="116">
        <v>8230.32</v>
      </c>
      <c r="H153" s="116">
        <f t="shared" si="2"/>
        <v>8230.32</v>
      </c>
      <c r="I153" s="230">
        <f>IF("generated"=1, "Path=MMRBEM_7_DOWN, Scaled Offset=8230.3199999999997089616954326629639", 8633.59178585509)</f>
        <v>8633.5917858550893</v>
      </c>
      <c r="J153" t="s">
        <v>248</v>
      </c>
    </row>
    <row r="154" spans="1:10" ht="15" x14ac:dyDescent="0.25">
      <c r="A154" s="224" t="s">
        <v>129</v>
      </c>
      <c r="B154">
        <v>75147</v>
      </c>
      <c r="C154" t="s">
        <v>531</v>
      </c>
      <c r="D154" s="93" t="s">
        <v>920</v>
      </c>
      <c r="E154" s="115" t="s">
        <v>188</v>
      </c>
      <c r="G154" s="116">
        <v>8311</v>
      </c>
      <c r="H154" s="116">
        <f t="shared" si="2"/>
        <v>8311</v>
      </c>
      <c r="I154" s="230">
        <f>IF("generated"=1, "Path=MMRBEM_7_DOWN, Scaled Offset=8311", 8712.73856597214)</f>
        <v>8712.7385659721403</v>
      </c>
      <c r="J154" t="s">
        <v>248</v>
      </c>
    </row>
    <row r="155" spans="1:10" ht="15" x14ac:dyDescent="0.25">
      <c r="A155" s="224" t="s">
        <v>129</v>
      </c>
      <c r="B155">
        <v>75148</v>
      </c>
      <c r="C155" t="s">
        <v>532</v>
      </c>
      <c r="D155" s="93" t="s">
        <v>920</v>
      </c>
      <c r="E155" s="115" t="s">
        <v>188</v>
      </c>
      <c r="G155" s="116">
        <v>8332</v>
      </c>
      <c r="H155" s="116">
        <f t="shared" si="2"/>
        <v>8332</v>
      </c>
      <c r="I155" s="230">
        <f>IF("generated"=1, "Path=MMRBEM_7_DOWN, Scaled Offset=8332", 8733.33948791634)</f>
        <v>8733.3394879163407</v>
      </c>
      <c r="J155" t="s">
        <v>248</v>
      </c>
    </row>
    <row r="156" spans="1:10" ht="15" x14ac:dyDescent="0.25">
      <c r="A156" s="224" t="s">
        <v>129</v>
      </c>
      <c r="B156">
        <v>75149</v>
      </c>
      <c r="C156" t="s">
        <v>533</v>
      </c>
      <c r="D156" s="93" t="s">
        <v>920</v>
      </c>
      <c r="E156" s="115" t="s">
        <v>188</v>
      </c>
      <c r="G156" s="116">
        <v>8452</v>
      </c>
      <c r="H156" s="116">
        <f t="shared" si="2"/>
        <v>8452</v>
      </c>
      <c r="I156" s="230">
        <f>IF("generated"=1, "Path=MMRBEM_7_DOWN, Scaled Offset=8452", 8851.0590418832)</f>
        <v>8851.0590418831998</v>
      </c>
      <c r="J156" t="s">
        <v>248</v>
      </c>
    </row>
    <row r="157" spans="1:10" ht="15" x14ac:dyDescent="0.25">
      <c r="A157" s="224" t="s">
        <v>129</v>
      </c>
      <c r="B157">
        <v>75150</v>
      </c>
      <c r="C157" t="s">
        <v>534</v>
      </c>
      <c r="D157" s="93" t="s">
        <v>920</v>
      </c>
      <c r="E157" s="115" t="s">
        <v>188</v>
      </c>
      <c r="G157" s="116">
        <v>8652</v>
      </c>
      <c r="H157" s="116">
        <f t="shared" ref="H157:H189" si="3">G157+F157</f>
        <v>8652</v>
      </c>
      <c r="I157" s="230">
        <f>IF("generated"=1, "Path=MMRBEM_7_DOWN, Scaled Offset=8652", 9047.25829849463)</f>
        <v>9047.2582984946293</v>
      </c>
      <c r="J157" t="s">
        <v>248</v>
      </c>
    </row>
    <row r="158" spans="1:10" ht="15" x14ac:dyDescent="0.25">
      <c r="A158" s="224" t="s">
        <v>129</v>
      </c>
      <c r="B158">
        <v>75151</v>
      </c>
      <c r="C158" t="s">
        <v>535</v>
      </c>
      <c r="D158" s="93" t="s">
        <v>920</v>
      </c>
      <c r="E158" s="115" t="s">
        <v>188</v>
      </c>
      <c r="G158" s="116">
        <v>8852</v>
      </c>
      <c r="H158" s="116">
        <f t="shared" si="3"/>
        <v>8852</v>
      </c>
      <c r="I158" s="230">
        <f>IF("generated"=1, "Path=MMRBEM_7_DOWN, Scaled Offset=8852", 9243.45755510606)</f>
        <v>9243.4575551060607</v>
      </c>
      <c r="J158" t="s">
        <v>248</v>
      </c>
    </row>
    <row r="159" spans="1:10" ht="15" x14ac:dyDescent="0.25">
      <c r="A159" s="224" t="s">
        <v>129</v>
      </c>
      <c r="B159">
        <v>75152</v>
      </c>
      <c r="C159" t="s">
        <v>536</v>
      </c>
      <c r="D159" s="93" t="s">
        <v>920</v>
      </c>
      <c r="E159" s="115" t="s">
        <v>188</v>
      </c>
      <c r="G159" s="116">
        <v>9051</v>
      </c>
      <c r="H159" s="116">
        <f t="shared" si="3"/>
        <v>9051</v>
      </c>
      <c r="I159" s="230">
        <f>IF("generated"=1, "Path=MMRBEM_7_DOWN, Scaled Offset=9051", 9438.67581543443)</f>
        <v>9438.6758154344298</v>
      </c>
      <c r="J159" t="s">
        <v>248</v>
      </c>
    </row>
    <row r="160" spans="1:10" ht="15" x14ac:dyDescent="0.25">
      <c r="A160" s="224" t="s">
        <v>129</v>
      </c>
      <c r="B160">
        <v>75153</v>
      </c>
      <c r="C160" t="s">
        <v>537</v>
      </c>
      <c r="D160" s="93" t="s">
        <v>920</v>
      </c>
      <c r="E160" s="115" t="s">
        <v>188</v>
      </c>
      <c r="G160" s="116">
        <v>9171</v>
      </c>
      <c r="H160" s="116">
        <f t="shared" si="3"/>
        <v>9171</v>
      </c>
      <c r="I160" s="230">
        <f>IF("generated"=1, "Path=MMRBEM_7_DOWN, Scaled Offset=9171", 9556.39536940129)</f>
        <v>9556.3953694012907</v>
      </c>
      <c r="J160" t="s">
        <v>248</v>
      </c>
    </row>
    <row r="161" spans="1:10" ht="15" x14ac:dyDescent="0.25">
      <c r="A161" s="224" t="s">
        <v>129</v>
      </c>
      <c r="B161">
        <v>75154</v>
      </c>
      <c r="C161" t="s">
        <v>538</v>
      </c>
      <c r="D161" s="93" t="s">
        <v>920</v>
      </c>
      <c r="E161" s="115" t="s">
        <v>188</v>
      </c>
      <c r="G161" s="116">
        <v>9192</v>
      </c>
      <c r="H161" s="116">
        <f t="shared" si="3"/>
        <v>9192</v>
      </c>
      <c r="I161" s="230">
        <f>IF("generated"=1, "Path=MMRBEM_7_DOWN, Scaled Offset=9192", 9576.99629134549)</f>
        <v>9576.9962913454892</v>
      </c>
      <c r="J161" t="s">
        <v>248</v>
      </c>
    </row>
    <row r="162" spans="1:10" ht="15" x14ac:dyDescent="0.25">
      <c r="A162" s="224" t="s">
        <v>129</v>
      </c>
      <c r="B162">
        <v>75155</v>
      </c>
      <c r="C162" t="s">
        <v>510</v>
      </c>
      <c r="D162" s="93" t="s">
        <v>920</v>
      </c>
      <c r="E162" s="115" t="s">
        <v>188</v>
      </c>
      <c r="G162" s="116">
        <v>9288.59</v>
      </c>
      <c r="H162" s="116">
        <f t="shared" si="3"/>
        <v>9288.59</v>
      </c>
      <c r="I162" s="230">
        <f>IF("generated"=1, "Path=MMRBEM_7_DOWN, Scaled Offset=9288.5900000000001455191522836685181", 9671.75072232598)</f>
        <v>9671.75072232598</v>
      </c>
      <c r="J162" t="s">
        <v>248</v>
      </c>
    </row>
    <row r="163" spans="1:10" ht="15" x14ac:dyDescent="0.25">
      <c r="A163" s="224" t="s">
        <v>129</v>
      </c>
      <c r="B163">
        <v>75156</v>
      </c>
      <c r="C163" t="s">
        <v>539</v>
      </c>
      <c r="D163" s="93" t="s">
        <v>920</v>
      </c>
      <c r="E163" s="115" t="s">
        <v>188</v>
      </c>
      <c r="G163" s="116">
        <v>9303.4500000000007</v>
      </c>
      <c r="H163" s="116">
        <f t="shared" si="3"/>
        <v>9303.4500000000007</v>
      </c>
      <c r="I163" s="230">
        <f>IF("generated"=1, "Path=MMRBEM_7_DOWN, Scaled Offset=9303.4500000000007275957614183425903", 9686.32832709221)</f>
        <v>9686.3283270922093</v>
      </c>
      <c r="J163" t="s">
        <v>248</v>
      </c>
    </row>
    <row r="164" spans="1:10" ht="15" x14ac:dyDescent="0.25">
      <c r="A164" s="224" t="s">
        <v>129</v>
      </c>
      <c r="B164">
        <v>75157</v>
      </c>
      <c r="C164" t="s">
        <v>540</v>
      </c>
      <c r="D164" s="93" t="s">
        <v>920</v>
      </c>
      <c r="E164" s="115" t="s">
        <v>188</v>
      </c>
      <c r="G164" s="116">
        <v>9306.4500000000007</v>
      </c>
      <c r="H164" s="116">
        <f t="shared" si="3"/>
        <v>9306.4500000000007</v>
      </c>
      <c r="I164" s="230">
        <f>IF("generated"=1, "Path=MMRBEM_7_DOWN, Scaled Offset=9306.4500000000007275957614183425903", 9689.27131594138)</f>
        <v>9689.2713159413797</v>
      </c>
      <c r="J164" t="s">
        <v>248</v>
      </c>
    </row>
    <row r="165" spans="1:10" ht="15" x14ac:dyDescent="0.25">
      <c r="A165" s="224" t="s">
        <v>129</v>
      </c>
      <c r="B165">
        <v>75158</v>
      </c>
      <c r="C165" t="s">
        <v>541</v>
      </c>
      <c r="D165" s="93" t="s">
        <v>920</v>
      </c>
      <c r="E165" s="115" t="s">
        <v>188</v>
      </c>
      <c r="G165" s="116">
        <v>9326.3700000000008</v>
      </c>
      <c r="H165" s="116">
        <f t="shared" si="3"/>
        <v>9326.3700000000008</v>
      </c>
      <c r="I165" s="230">
        <f>IF("generated"=1, "Path=MMRBEM_7_DOWN, Scaled Offset=9326.3700000000008003553375601768494", 9708.81276189988)</f>
        <v>9708.8127618998806</v>
      </c>
      <c r="J165" t="s">
        <v>248</v>
      </c>
    </row>
    <row r="166" spans="1:10" ht="15" x14ac:dyDescent="0.25">
      <c r="A166" s="224" t="s">
        <v>129</v>
      </c>
      <c r="B166">
        <v>75159</v>
      </c>
      <c r="C166" t="s">
        <v>542</v>
      </c>
      <c r="D166" s="93" t="s">
        <v>920</v>
      </c>
      <c r="E166" s="115" t="s">
        <v>188</v>
      </c>
      <c r="G166" s="116">
        <v>9329.3700000000008</v>
      </c>
      <c r="H166" s="116">
        <f t="shared" si="3"/>
        <v>9329.3700000000008</v>
      </c>
      <c r="I166" s="230">
        <f>IF("generated"=1, "Path=MMRBEM_7_DOWN, Scaled Offset=9329.3700000000008003553375601768494", 9711.75575074905)</f>
        <v>9711.7557507490492</v>
      </c>
      <c r="J166" t="s">
        <v>248</v>
      </c>
    </row>
    <row r="167" spans="1:10" ht="15" x14ac:dyDescent="0.25">
      <c r="A167" s="224" t="s">
        <v>129</v>
      </c>
      <c r="B167">
        <v>75160</v>
      </c>
      <c r="C167" t="s">
        <v>511</v>
      </c>
      <c r="D167" s="93" t="s">
        <v>920</v>
      </c>
      <c r="E167" s="115" t="s">
        <v>188</v>
      </c>
      <c r="G167" s="116">
        <v>9387.39</v>
      </c>
      <c r="H167" s="116">
        <f t="shared" si="3"/>
        <v>9387.39</v>
      </c>
      <c r="I167" s="230">
        <f>IF("generated"=1, "Path=MMRBEM_7_DOWN, Scaled Offset=9387.3899999999994179233908653259277", 9768.67315509203)</f>
        <v>9768.6731550920304</v>
      </c>
      <c r="J167" t="s">
        <v>248</v>
      </c>
    </row>
    <row r="168" spans="1:10" ht="15" x14ac:dyDescent="0.25">
      <c r="A168" s="224" t="s">
        <v>129</v>
      </c>
      <c r="B168">
        <v>75161</v>
      </c>
      <c r="C168" t="s">
        <v>543</v>
      </c>
      <c r="D168" s="93" t="s">
        <v>920</v>
      </c>
      <c r="E168" s="115" t="s">
        <v>188</v>
      </c>
      <c r="G168" s="116">
        <v>9422.49</v>
      </c>
      <c r="H168" s="116">
        <f t="shared" si="3"/>
        <v>9422.49</v>
      </c>
      <c r="I168" s="230">
        <f>IF("generated"=1, "Path=MMRBEM_7_DOWN, Scaled Offset=9422.4899999999997817212715744972229", 9803.10612462733)</f>
        <v>9803.1061246273293</v>
      </c>
      <c r="J168" t="s">
        <v>248</v>
      </c>
    </row>
    <row r="169" spans="1:10" ht="15" x14ac:dyDescent="0.25">
      <c r="A169" s="224" t="s">
        <v>129</v>
      </c>
      <c r="B169">
        <v>75162</v>
      </c>
      <c r="C169" t="s">
        <v>544</v>
      </c>
      <c r="D169" s="93" t="s">
        <v>920</v>
      </c>
      <c r="E169" s="115" t="s">
        <v>188</v>
      </c>
      <c r="G169" s="116">
        <v>9425.49</v>
      </c>
      <c r="H169" s="116">
        <f t="shared" si="3"/>
        <v>9425.49</v>
      </c>
      <c r="I169" s="230">
        <f>IF("generated"=1, "Path=MMRBEM_7_DOWN, Scaled Offset=9425.4899999999997817212715744972229", 9806.0491134765)</f>
        <v>9806.0491134764998</v>
      </c>
      <c r="J169" t="s">
        <v>248</v>
      </c>
    </row>
    <row r="170" spans="1:10" ht="15" x14ac:dyDescent="0.25">
      <c r="A170" s="224" t="s">
        <v>129</v>
      </c>
      <c r="B170">
        <v>75163</v>
      </c>
      <c r="C170" t="s">
        <v>545</v>
      </c>
      <c r="D170" s="93" t="s">
        <v>920</v>
      </c>
      <c r="E170" s="115" t="s">
        <v>188</v>
      </c>
      <c r="G170" s="116">
        <v>9445.41</v>
      </c>
      <c r="H170" s="116">
        <f t="shared" si="3"/>
        <v>9445.41</v>
      </c>
      <c r="I170" s="230">
        <f>IF("generated"=1, "Path=MMRBEM_7_DOWN, Scaled Offset=9445.4099999999998544808477163314819", 9825.590559435)</f>
        <v>9825.5905594350006</v>
      </c>
      <c r="J170" t="s">
        <v>248</v>
      </c>
    </row>
    <row r="171" spans="1:10" ht="15" x14ac:dyDescent="0.25">
      <c r="A171" s="224" t="s">
        <v>129</v>
      </c>
      <c r="B171">
        <v>75164</v>
      </c>
      <c r="C171" t="s">
        <v>546</v>
      </c>
      <c r="D171" s="93" t="s">
        <v>920</v>
      </c>
      <c r="E171" s="115" t="s">
        <v>188</v>
      </c>
      <c r="G171" s="116">
        <v>9448.41</v>
      </c>
      <c r="H171" s="116">
        <f t="shared" si="3"/>
        <v>9448.41</v>
      </c>
      <c r="I171" s="230">
        <f>IF("generated"=1, "Path=MMRBEM_7_DOWN, Scaled Offset=9448.4099999999998544808477163314819", 9828.53354828417)</f>
        <v>9828.5335482841692</v>
      </c>
      <c r="J171" t="s">
        <v>248</v>
      </c>
    </row>
    <row r="172" spans="1:10" ht="15" x14ac:dyDescent="0.25">
      <c r="A172" s="224" t="s">
        <v>129</v>
      </c>
      <c r="B172">
        <v>75165</v>
      </c>
      <c r="C172" t="s">
        <v>512</v>
      </c>
      <c r="D172" s="93" t="s">
        <v>920</v>
      </c>
      <c r="E172" s="115" t="s">
        <v>188</v>
      </c>
      <c r="G172" s="116">
        <v>9500.83</v>
      </c>
      <c r="H172" s="116">
        <f t="shared" si="3"/>
        <v>9500.83</v>
      </c>
      <c r="I172" s="230">
        <f>IF("generated"=1, "Path=MMRBEM_7_DOWN, Scaled Offset=9500.829999999999927240423858165741", 9879.95737344203)</f>
        <v>9879.9573734420301</v>
      </c>
      <c r="J172" t="s">
        <v>248</v>
      </c>
    </row>
    <row r="173" spans="1:10" ht="15" x14ac:dyDescent="0.25">
      <c r="A173" s="224" t="s">
        <v>129</v>
      </c>
      <c r="B173">
        <v>75166</v>
      </c>
      <c r="C173" t="s">
        <v>547</v>
      </c>
      <c r="D173" s="93" t="s">
        <v>920</v>
      </c>
      <c r="E173" s="115" t="s">
        <v>188</v>
      </c>
      <c r="G173" s="116">
        <v>9580</v>
      </c>
      <c r="H173" s="116">
        <f t="shared" si="3"/>
        <v>9580</v>
      </c>
      <c r="I173" s="230">
        <f>IF("generated"=1, "Path=MMRBEM_7_DOWN, Scaled Offset=9580", 9957.62284917166)</f>
        <v>9957.6228491716593</v>
      </c>
      <c r="J173" t="s">
        <v>248</v>
      </c>
    </row>
    <row r="174" spans="1:10" ht="15" x14ac:dyDescent="0.25">
      <c r="A174" s="224" t="s">
        <v>129</v>
      </c>
      <c r="B174">
        <v>75167</v>
      </c>
      <c r="C174" t="s">
        <v>548</v>
      </c>
      <c r="D174" s="93" t="s">
        <v>920</v>
      </c>
      <c r="E174" s="115" t="s">
        <v>188</v>
      </c>
      <c r="G174" s="116">
        <v>9601</v>
      </c>
      <c r="H174" s="116">
        <f t="shared" si="3"/>
        <v>9601</v>
      </c>
      <c r="I174" s="230">
        <f>IF("generated"=1, "Path=MMRBEM_7_DOWN, Scaled Offset=9601", 9978.22377111586)</f>
        <v>9978.2237711158596</v>
      </c>
      <c r="J174" t="s">
        <v>248</v>
      </c>
    </row>
    <row r="175" spans="1:10" ht="15" x14ac:dyDescent="0.25">
      <c r="A175" s="224" t="s">
        <v>129</v>
      </c>
      <c r="B175">
        <v>75168</v>
      </c>
      <c r="C175" t="s">
        <v>549</v>
      </c>
      <c r="D175" s="93" t="s">
        <v>920</v>
      </c>
      <c r="E175" s="115" t="s">
        <v>188</v>
      </c>
      <c r="G175" s="116">
        <v>9721</v>
      </c>
      <c r="H175" s="116">
        <f t="shared" si="3"/>
        <v>9721</v>
      </c>
      <c r="I175" s="230">
        <f>IF("generated"=1, "Path=MMRBEM_7_DOWN, Scaled Offset=9721", 10095.9433250827)</f>
        <v>10095.943325082701</v>
      </c>
      <c r="J175" t="s">
        <v>248</v>
      </c>
    </row>
    <row r="176" spans="1:10" ht="15" x14ac:dyDescent="0.25">
      <c r="A176" s="224" t="s">
        <v>129</v>
      </c>
      <c r="B176">
        <v>75169</v>
      </c>
      <c r="C176" t="s">
        <v>550</v>
      </c>
      <c r="D176" s="93" t="s">
        <v>920</v>
      </c>
      <c r="E176" s="115" t="s">
        <v>188</v>
      </c>
      <c r="G176" s="116">
        <v>9769</v>
      </c>
      <c r="H176" s="116">
        <f t="shared" si="3"/>
        <v>9769</v>
      </c>
      <c r="I176" s="230">
        <f>IF("generated"=1, "Path=MMRBEM_7_DOWN, Scaled Offset=9769", 10143.0311466694)</f>
        <v>10143.0311466694</v>
      </c>
      <c r="J176" t="s">
        <v>248</v>
      </c>
    </row>
    <row r="177" spans="1:10" ht="15" x14ac:dyDescent="0.25">
      <c r="A177" s="224" t="s">
        <v>129</v>
      </c>
      <c r="B177">
        <v>75170</v>
      </c>
      <c r="C177" t="s">
        <v>551</v>
      </c>
      <c r="D177" s="93" t="s">
        <v>920</v>
      </c>
      <c r="E177" s="115" t="s">
        <v>188</v>
      </c>
      <c r="G177" s="116">
        <v>9889</v>
      </c>
      <c r="H177" s="116">
        <f t="shared" si="3"/>
        <v>9889</v>
      </c>
      <c r="I177" s="230">
        <f>IF("generated"=1, "Path=MMRBEM_7_DOWN, Scaled Offset=9889", 10260.7507006363)</f>
        <v>10260.750700636299</v>
      </c>
      <c r="J177" t="s">
        <v>248</v>
      </c>
    </row>
    <row r="178" spans="1:10" ht="15" x14ac:dyDescent="0.25">
      <c r="A178" s="224" t="s">
        <v>129</v>
      </c>
      <c r="B178">
        <v>75171</v>
      </c>
      <c r="C178" t="s">
        <v>552</v>
      </c>
      <c r="D178" s="93" t="s">
        <v>920</v>
      </c>
      <c r="E178" s="115" t="s">
        <v>188</v>
      </c>
      <c r="G178" s="116">
        <v>9910</v>
      </c>
      <c r="H178" s="116">
        <f t="shared" si="3"/>
        <v>9910</v>
      </c>
      <c r="I178" s="230">
        <f>IF("generated"=1, "Path=MMRBEM_7_DOWN, Scaled Offset=9910", 10281.3516225805)</f>
        <v>10281.3516225805</v>
      </c>
      <c r="J178" t="s">
        <v>248</v>
      </c>
    </row>
    <row r="179" spans="1:10" ht="15" x14ac:dyDescent="0.25">
      <c r="A179" s="224" t="s">
        <v>129</v>
      </c>
      <c r="B179">
        <v>75172</v>
      </c>
      <c r="C179" t="s">
        <v>513</v>
      </c>
      <c r="D179" s="93" t="s">
        <v>920</v>
      </c>
      <c r="E179" s="115" t="s">
        <v>188</v>
      </c>
      <c r="G179" s="116">
        <v>9996.2999999999993</v>
      </c>
      <c r="H179" s="116">
        <f t="shared" si="3"/>
        <v>9996.2999999999993</v>
      </c>
      <c r="I179" s="230">
        <f>IF("generated"=1, "Path=MMRBEM_7_DOWN, Scaled Offset=9996.2999999999992724042385816574097", 10366.0116018083)</f>
        <v>10366.011601808301</v>
      </c>
      <c r="J179" t="s">
        <v>248</v>
      </c>
    </row>
    <row r="180" spans="1:10" ht="15" x14ac:dyDescent="0.25">
      <c r="A180" s="224" t="s">
        <v>129</v>
      </c>
      <c r="B180">
        <v>75173</v>
      </c>
      <c r="C180" t="s">
        <v>553</v>
      </c>
      <c r="D180" s="93" t="s">
        <v>920</v>
      </c>
      <c r="E180" s="115" t="s">
        <v>188</v>
      </c>
      <c r="G180" s="116">
        <v>10011.16</v>
      </c>
      <c r="H180" s="116">
        <f t="shared" si="3"/>
        <v>10011.16</v>
      </c>
      <c r="I180" s="230">
        <f>IF("generated"=1, "Path=MMRBEM_7_DOWN, Scaled Offset=10011.159999999999854480847716331482", 10380.5892065745)</f>
        <v>10380.589206574499</v>
      </c>
      <c r="J180" t="s">
        <v>248</v>
      </c>
    </row>
    <row r="181" spans="1:10" ht="15" x14ac:dyDescent="0.25">
      <c r="A181" s="224" t="s">
        <v>129</v>
      </c>
      <c r="B181">
        <v>75174</v>
      </c>
      <c r="C181" t="s">
        <v>554</v>
      </c>
      <c r="D181" s="93" t="s">
        <v>920</v>
      </c>
      <c r="E181" s="115" t="s">
        <v>188</v>
      </c>
      <c r="G181" s="116">
        <v>10014.16</v>
      </c>
      <c r="H181" s="116">
        <f t="shared" si="3"/>
        <v>10014.16</v>
      </c>
      <c r="I181" s="230">
        <f>IF("generated"=1, "Path=MMRBEM_7_DOWN, Scaled Offset=10014.159999999999854480847716331482", 10383.5321954237)</f>
        <v>10383.532195423701</v>
      </c>
      <c r="J181" t="s">
        <v>248</v>
      </c>
    </row>
    <row r="182" spans="1:10" ht="15" x14ac:dyDescent="0.25">
      <c r="A182" s="224" t="s">
        <v>129</v>
      </c>
      <c r="B182">
        <v>75175</v>
      </c>
      <c r="C182" t="s">
        <v>555</v>
      </c>
      <c r="D182" s="93" t="s">
        <v>920</v>
      </c>
      <c r="E182" s="115" t="s">
        <v>188</v>
      </c>
      <c r="G182" s="116">
        <v>10034.08</v>
      </c>
      <c r="H182" s="116">
        <f t="shared" si="3"/>
        <v>10034.08</v>
      </c>
      <c r="I182" s="230">
        <f>IF("generated"=1, "Path=MMRBEM_7_DOWN, Scaled Offset=10034.079999999999927240423858165741", 10403.0736413822)</f>
        <v>10403.0736413822</v>
      </c>
      <c r="J182" t="s">
        <v>248</v>
      </c>
    </row>
    <row r="183" spans="1:10" ht="15" x14ac:dyDescent="0.25">
      <c r="A183" s="224" t="s">
        <v>129</v>
      </c>
      <c r="B183">
        <v>75176</v>
      </c>
      <c r="C183" t="s">
        <v>556</v>
      </c>
      <c r="D183" s="93" t="s">
        <v>920</v>
      </c>
      <c r="E183" s="115" t="s">
        <v>188</v>
      </c>
      <c r="G183" s="116">
        <v>10037.08</v>
      </c>
      <c r="H183" s="116">
        <f t="shared" si="3"/>
        <v>10037.08</v>
      </c>
      <c r="I183" s="230">
        <f>IF("generated"=1, "Path=MMRBEM_7_DOWN, Scaled Offset=10037.079999999999927240423858165741", 10406.0166302314)</f>
        <v>10406.016630231399</v>
      </c>
      <c r="J183" t="s">
        <v>248</v>
      </c>
    </row>
    <row r="184" spans="1:10" ht="15" x14ac:dyDescent="0.25">
      <c r="A184" s="224" t="s">
        <v>129</v>
      </c>
      <c r="B184">
        <v>75177</v>
      </c>
      <c r="C184" t="s">
        <v>514</v>
      </c>
      <c r="D184" s="93" t="s">
        <v>920</v>
      </c>
      <c r="E184" s="115" t="s">
        <v>188</v>
      </c>
      <c r="G184" s="116">
        <v>10095.1</v>
      </c>
      <c r="H184" s="116">
        <f t="shared" si="3"/>
        <v>10095.1</v>
      </c>
      <c r="I184" s="230">
        <f>IF("generated"=1, "Path=MMRBEM_7_DOWN, Scaled Offset=10095.100000000000363797880709171295", 10462.9340345744)</f>
        <v>10462.9340345744</v>
      </c>
      <c r="J184" t="s">
        <v>248</v>
      </c>
    </row>
    <row r="185" spans="1:10" ht="15" x14ac:dyDescent="0.25">
      <c r="A185" s="224" t="s">
        <v>129</v>
      </c>
      <c r="B185">
        <v>75178</v>
      </c>
      <c r="C185" t="s">
        <v>557</v>
      </c>
      <c r="D185" s="93" t="s">
        <v>920</v>
      </c>
      <c r="E185" s="115" t="s">
        <v>188</v>
      </c>
      <c r="G185" s="116">
        <v>10130.200000000001</v>
      </c>
      <c r="H185" s="116">
        <f t="shared" si="3"/>
        <v>10130.200000000001</v>
      </c>
      <c r="I185" s="230">
        <f>IF("generated"=1, "Path=MMRBEM_7_DOWN, Scaled Offset=10130.20000000000072759576141834259", 10497.3670041097)</f>
        <v>10497.367004109699</v>
      </c>
      <c r="J185" t="s">
        <v>248</v>
      </c>
    </row>
    <row r="186" spans="1:10" ht="15" x14ac:dyDescent="0.25">
      <c r="A186" s="224" t="s">
        <v>129</v>
      </c>
      <c r="B186">
        <v>75179</v>
      </c>
      <c r="C186" t="s">
        <v>558</v>
      </c>
      <c r="D186" s="93" t="s">
        <v>920</v>
      </c>
      <c r="E186" s="115" t="s">
        <v>188</v>
      </c>
      <c r="G186" s="116">
        <v>10133.200000000001</v>
      </c>
      <c r="H186" s="116">
        <f t="shared" si="3"/>
        <v>10133.200000000001</v>
      </c>
      <c r="I186" s="230">
        <f>IF("generated"=1, "Path=MMRBEM_7_DOWN, Scaled Offset=10133.20000000000072759576141834259", 10500.3099929588)</f>
        <v>10500.309992958801</v>
      </c>
      <c r="J186" t="s">
        <v>248</v>
      </c>
    </row>
    <row r="187" spans="1:10" ht="15" x14ac:dyDescent="0.25">
      <c r="A187" s="224" t="s">
        <v>129</v>
      </c>
      <c r="B187">
        <v>75180</v>
      </c>
      <c r="C187" t="s">
        <v>559</v>
      </c>
      <c r="D187" s="93" t="s">
        <v>920</v>
      </c>
      <c r="E187" s="115" t="s">
        <v>188</v>
      </c>
      <c r="G187" s="116">
        <v>10153.120000000001</v>
      </c>
      <c r="H187" s="116">
        <f t="shared" si="3"/>
        <v>10153.120000000001</v>
      </c>
      <c r="I187" s="230">
        <f>IF("generated"=1, "Path=MMRBEM_7_DOWN, Scaled Offset=10153.120000000000800355337560176849", 10519.8514389173)</f>
        <v>10519.8514389173</v>
      </c>
      <c r="J187" t="s">
        <v>248</v>
      </c>
    </row>
    <row r="188" spans="1:10" ht="15" x14ac:dyDescent="0.25">
      <c r="A188" s="224" t="s">
        <v>129</v>
      </c>
      <c r="B188">
        <v>75181</v>
      </c>
      <c r="C188" t="s">
        <v>560</v>
      </c>
      <c r="D188" s="93" t="s">
        <v>920</v>
      </c>
      <c r="E188" s="115" t="s">
        <v>188</v>
      </c>
      <c r="G188" s="116">
        <v>10156.120000000001</v>
      </c>
      <c r="H188" s="116">
        <f t="shared" si="3"/>
        <v>10156.120000000001</v>
      </c>
      <c r="I188" s="230">
        <f>IF("generated"=1, "Path=MMRBEM_7_DOWN, Scaled Offset=10156.120000000000800355337560176849", 10522.7944277665)</f>
        <v>10522.794427766499</v>
      </c>
      <c r="J188" t="s">
        <v>248</v>
      </c>
    </row>
    <row r="189" spans="1:10" ht="15" x14ac:dyDescent="0.25">
      <c r="A189" s="224" t="s">
        <v>129</v>
      </c>
      <c r="B189">
        <v>75182</v>
      </c>
      <c r="C189" t="s">
        <v>515</v>
      </c>
      <c r="D189" s="93" t="s">
        <v>920</v>
      </c>
      <c r="E189" s="115" t="s">
        <v>188</v>
      </c>
      <c r="G189" s="116">
        <v>10208.540000000001</v>
      </c>
      <c r="H189" s="116">
        <f t="shared" si="3"/>
        <v>10208.540000000001</v>
      </c>
      <c r="I189" s="230">
        <f>IF("generated"=1, "Path=MMRBEM_7_DOWN, Scaled Offset=10208.540000000000873114913702011108", 10574.2182529244)</f>
        <v>10574.2182529244</v>
      </c>
      <c r="J189" t="s">
        <v>248</v>
      </c>
    </row>
    <row r="190" spans="1:10" ht="15" x14ac:dyDescent="0.25">
      <c r="A190" s="224" t="s">
        <v>129</v>
      </c>
      <c r="B190">
        <v>75183</v>
      </c>
      <c r="C190" t="s">
        <v>561</v>
      </c>
      <c r="D190" s="93" t="s">
        <v>920</v>
      </c>
      <c r="E190" s="115" t="s">
        <v>188</v>
      </c>
      <c r="G190" s="116">
        <v>10289</v>
      </c>
      <c r="H190" s="116">
        <f t="shared" ref="H190:H253" si="4">G190+F190</f>
        <v>10289</v>
      </c>
      <c r="I190" s="230">
        <f>IF("generated"=1, "Path=MMRBEM_7_DOWN, Scaled Offset=10289", 10653.1492138591)</f>
        <v>10653.1492138591</v>
      </c>
      <c r="J190" t="s">
        <v>248</v>
      </c>
    </row>
    <row r="191" spans="1:10" ht="15" x14ac:dyDescent="0.25">
      <c r="A191" s="224" t="s">
        <v>129</v>
      </c>
      <c r="B191">
        <v>75184</v>
      </c>
      <c r="C191" t="s">
        <v>562</v>
      </c>
      <c r="D191" s="93" t="s">
        <v>920</v>
      </c>
      <c r="E191" s="115" t="s">
        <v>188</v>
      </c>
      <c r="G191" s="116">
        <v>10310</v>
      </c>
      <c r="H191" s="116">
        <f t="shared" si="4"/>
        <v>10310</v>
      </c>
      <c r="I191" s="230">
        <f>IF("generated"=1, "Path=MMRBEM_7_DOWN, Scaled Offset=10310", 10673.7501358033)</f>
        <v>10673.750135803301</v>
      </c>
      <c r="J191" t="s">
        <v>248</v>
      </c>
    </row>
    <row r="192" spans="1:10" ht="15" x14ac:dyDescent="0.25">
      <c r="A192" s="224" t="s">
        <v>129</v>
      </c>
      <c r="B192">
        <v>75185</v>
      </c>
      <c r="C192" t="s">
        <v>563</v>
      </c>
      <c r="D192" s="93" t="s">
        <v>920</v>
      </c>
      <c r="E192" s="115" t="s">
        <v>188</v>
      </c>
      <c r="G192" s="116">
        <v>10435</v>
      </c>
      <c r="H192" s="116">
        <f t="shared" si="4"/>
        <v>10435</v>
      </c>
      <c r="I192" s="230">
        <f>IF("generated"=1, "Path=MMRBEM_7_DOWN, Scaled Offset=10435", 10796.3746711855)</f>
        <v>10796.3746711855</v>
      </c>
      <c r="J192" t="s">
        <v>248</v>
      </c>
    </row>
    <row r="193" spans="1:10" ht="15" x14ac:dyDescent="0.25">
      <c r="A193" s="224" t="s">
        <v>129</v>
      </c>
      <c r="B193">
        <v>75186</v>
      </c>
      <c r="C193" t="s">
        <v>564</v>
      </c>
      <c r="D193" s="93" t="s">
        <v>920</v>
      </c>
      <c r="E193" s="115" t="s">
        <v>188</v>
      </c>
      <c r="G193">
        <v>10635</v>
      </c>
      <c r="H193" s="116">
        <f t="shared" si="4"/>
        <v>10635</v>
      </c>
      <c r="I193" s="230">
        <f>IF("generated"=1, "Path=MMRBEM_7_DOWN, Scaled Offset=10635", 10992.5739277969)</f>
        <v>10992.573927796901</v>
      </c>
      <c r="J193" t="s">
        <v>248</v>
      </c>
    </row>
    <row r="194" spans="1:10" ht="15" x14ac:dyDescent="0.25">
      <c r="A194" s="224" t="s">
        <v>129</v>
      </c>
      <c r="B194">
        <v>75187</v>
      </c>
      <c r="C194" t="s">
        <v>565</v>
      </c>
      <c r="D194" s="93" t="s">
        <v>920</v>
      </c>
      <c r="E194" s="115" t="s">
        <v>188</v>
      </c>
      <c r="G194">
        <v>10835</v>
      </c>
      <c r="H194" s="116">
        <f t="shared" si="4"/>
        <v>10835</v>
      </c>
      <c r="I194" s="230">
        <f>IF("generated"=1, "Path=MMRBEM_7_DOWN, Scaled Offset=10835", 11188.7731844083)</f>
        <v>11188.773184408299</v>
      </c>
      <c r="J194" t="s">
        <v>248</v>
      </c>
    </row>
    <row r="195" spans="1:10" ht="15" x14ac:dyDescent="0.25">
      <c r="A195" s="224" t="s">
        <v>129</v>
      </c>
      <c r="B195">
        <v>75188</v>
      </c>
      <c r="C195" t="s">
        <v>566</v>
      </c>
      <c r="D195" s="93" t="s">
        <v>920</v>
      </c>
      <c r="E195" s="115" t="s">
        <v>188</v>
      </c>
      <c r="G195">
        <v>11035</v>
      </c>
      <c r="H195" s="116">
        <f t="shared" si="4"/>
        <v>11035</v>
      </c>
      <c r="I195" s="230">
        <f>IF("generated"=1, "Path=MMRBEM_7_DOWN, Scaled Offset=11035", 11384.9724410198)</f>
        <v>11384.9724410198</v>
      </c>
      <c r="J195" t="s">
        <v>248</v>
      </c>
    </row>
    <row r="196" spans="1:10" ht="15" x14ac:dyDescent="0.25">
      <c r="A196" s="224" t="s">
        <v>129</v>
      </c>
      <c r="B196">
        <v>75189</v>
      </c>
      <c r="C196" t="s">
        <v>567</v>
      </c>
      <c r="D196" s="93" t="s">
        <v>920</v>
      </c>
      <c r="E196" s="115" t="s">
        <v>188</v>
      </c>
      <c r="G196">
        <v>11235</v>
      </c>
      <c r="H196" s="116">
        <f t="shared" si="4"/>
        <v>11235</v>
      </c>
      <c r="I196" s="230">
        <f>IF("generated"=1, "Path=MMRBEM_7_DOWN, Scaled Offset=11235", 11581.1716976312)</f>
        <v>11581.1716976312</v>
      </c>
      <c r="J196" t="s">
        <v>248</v>
      </c>
    </row>
    <row r="197" spans="1:10" ht="15" x14ac:dyDescent="0.25">
      <c r="A197" s="224" t="s">
        <v>129</v>
      </c>
      <c r="B197">
        <v>75190</v>
      </c>
      <c r="C197" t="s">
        <v>568</v>
      </c>
      <c r="D197" s="93" t="s">
        <v>920</v>
      </c>
      <c r="E197" s="115" t="s">
        <v>188</v>
      </c>
      <c r="G197">
        <v>11431</v>
      </c>
      <c r="H197" s="116">
        <f t="shared" si="4"/>
        <v>11431</v>
      </c>
      <c r="I197" s="230">
        <f>IF("generated"=1, "Path=MMRBEM_7_DOWN, Scaled Offset=11431", 11773.4469691104)</f>
        <v>11773.4469691104</v>
      </c>
      <c r="J197" t="s">
        <v>248</v>
      </c>
    </row>
    <row r="198" spans="1:10" ht="15" x14ac:dyDescent="0.25">
      <c r="A198" s="224" t="s">
        <v>129</v>
      </c>
      <c r="B198">
        <v>75191</v>
      </c>
      <c r="C198" t="s">
        <v>569</v>
      </c>
      <c r="D198" s="93" t="s">
        <v>920</v>
      </c>
      <c r="E198" s="115" t="s">
        <v>188</v>
      </c>
      <c r="G198">
        <v>11556</v>
      </c>
      <c r="H198" s="116">
        <f t="shared" si="4"/>
        <v>11556</v>
      </c>
      <c r="I198" s="230">
        <f>IF("generated"=1, "Path=MMRBEM_7_DOWN, Scaled Offset=11556", 11896.0715044925)</f>
        <v>11896.0715044925</v>
      </c>
      <c r="J198" t="s">
        <v>248</v>
      </c>
    </row>
    <row r="199" spans="1:10" ht="15" x14ac:dyDescent="0.25">
      <c r="A199" s="224" t="s">
        <v>129</v>
      </c>
      <c r="B199">
        <v>75192</v>
      </c>
      <c r="C199" t="s">
        <v>570</v>
      </c>
      <c r="D199" s="93" t="s">
        <v>920</v>
      </c>
      <c r="E199" s="115" t="s">
        <v>188</v>
      </c>
      <c r="G199">
        <v>11577</v>
      </c>
      <c r="H199" s="116">
        <f t="shared" si="4"/>
        <v>11577</v>
      </c>
      <c r="I199" s="230">
        <f>IF("generated"=1, "Path=MMRBEM_7_DOWN, Scaled Offset=11577", 11916.6724264367)</f>
        <v>11916.6724264367</v>
      </c>
      <c r="J199" t="s">
        <v>248</v>
      </c>
    </row>
    <row r="200" spans="1:10" ht="15" x14ac:dyDescent="0.25">
      <c r="A200" s="224" t="s">
        <v>129</v>
      </c>
      <c r="B200">
        <v>75193</v>
      </c>
      <c r="C200" t="s">
        <v>571</v>
      </c>
      <c r="D200" s="93" t="s">
        <v>920</v>
      </c>
      <c r="E200" s="115" t="s">
        <v>188</v>
      </c>
      <c r="G200">
        <v>11672.24</v>
      </c>
      <c r="H200" s="116">
        <f t="shared" si="4"/>
        <v>11672.24</v>
      </c>
      <c r="I200" s="230">
        <f>IF("generated"=1, "Path=MMRBEM_7_DOWN, Scaled Offset=11672.239999999999781721271574497223", 12010.1025124351)</f>
        <v>12010.1025124351</v>
      </c>
      <c r="J200" t="s">
        <v>248</v>
      </c>
    </row>
    <row r="201" spans="1:10" ht="15" x14ac:dyDescent="0.25">
      <c r="A201" s="224" t="s">
        <v>129</v>
      </c>
      <c r="B201">
        <v>75194</v>
      </c>
      <c r="C201" t="s">
        <v>572</v>
      </c>
      <c r="D201" s="93" t="s">
        <v>920</v>
      </c>
      <c r="E201" s="115" t="s">
        <v>188</v>
      </c>
      <c r="G201">
        <v>11687.1</v>
      </c>
      <c r="H201" s="116">
        <f t="shared" si="4"/>
        <v>11687.1</v>
      </c>
      <c r="I201" s="230">
        <f>IF("generated"=1, "Path=MMRBEM_7_DOWN, Scaled Offset=11687.100000000000363797880709171295", 12024.6801172013)</f>
        <v>12024.6801172013</v>
      </c>
      <c r="J201" t="s">
        <v>248</v>
      </c>
    </row>
    <row r="202" spans="1:10" ht="15" x14ac:dyDescent="0.25">
      <c r="A202" s="224" t="s">
        <v>129</v>
      </c>
      <c r="B202">
        <v>75195</v>
      </c>
      <c r="C202" t="s">
        <v>573</v>
      </c>
      <c r="D202" s="93" t="s">
        <v>920</v>
      </c>
      <c r="E202" s="115" t="s">
        <v>188</v>
      </c>
      <c r="G202">
        <v>11690.1</v>
      </c>
      <c r="H202" s="116">
        <f t="shared" si="4"/>
        <v>11690.1</v>
      </c>
      <c r="I202" s="230">
        <f>IF("generated"=1, "Path=MMRBEM_7_DOWN, Scaled Offset=11690.100000000000363797880709171295", 12027.6231060505)</f>
        <v>12027.6231060505</v>
      </c>
      <c r="J202" t="s">
        <v>248</v>
      </c>
    </row>
    <row r="203" spans="1:10" ht="15" x14ac:dyDescent="0.25">
      <c r="A203" s="224" t="s">
        <v>129</v>
      </c>
      <c r="B203">
        <v>75196</v>
      </c>
      <c r="C203" t="s">
        <v>574</v>
      </c>
      <c r="D203" s="93" t="s">
        <v>920</v>
      </c>
      <c r="E203" s="115" t="s">
        <v>188</v>
      </c>
      <c r="G203">
        <v>11710.02</v>
      </c>
      <c r="H203" s="116">
        <f t="shared" si="4"/>
        <v>11710.02</v>
      </c>
      <c r="I203" s="230">
        <f>IF("generated"=1, "Path=MMRBEM_7_DOWN, Scaled Offset=11710.020000000000436557456851005554", 12047.164552009)</f>
        <v>12047.164552009001</v>
      </c>
      <c r="J203" t="s">
        <v>248</v>
      </c>
    </row>
    <row r="204" spans="1:10" ht="15" x14ac:dyDescent="0.25">
      <c r="A204" s="224" t="s">
        <v>129</v>
      </c>
      <c r="B204">
        <v>75197</v>
      </c>
      <c r="C204" t="s">
        <v>580</v>
      </c>
      <c r="D204" s="93" t="s">
        <v>920</v>
      </c>
      <c r="E204" s="115" t="s">
        <v>188</v>
      </c>
      <c r="G204">
        <v>11713.02</v>
      </c>
      <c r="H204" s="116">
        <f t="shared" si="4"/>
        <v>11713.02</v>
      </c>
      <c r="I204" s="230">
        <f>IF("generated"=1, "Path=MMRBEM_7_DOWN, Scaled Offset=11713.020000000000436557456851005554", 12050.1075408582)</f>
        <v>12050.1075408582</v>
      </c>
      <c r="J204" t="s">
        <v>248</v>
      </c>
    </row>
    <row r="205" spans="1:10" ht="15" x14ac:dyDescent="0.25">
      <c r="A205" s="224" t="s">
        <v>129</v>
      </c>
      <c r="B205">
        <v>75198</v>
      </c>
      <c r="C205" t="s">
        <v>575</v>
      </c>
      <c r="D205" s="93" t="s">
        <v>920</v>
      </c>
      <c r="E205" s="115" t="s">
        <v>188</v>
      </c>
      <c r="G205">
        <v>11771.04</v>
      </c>
      <c r="H205" s="116">
        <f t="shared" si="4"/>
        <v>11771.04</v>
      </c>
      <c r="I205" s="230">
        <f>IF("generated"=1, "Path=MMRBEM_7_DOWN, Scaled Offset=11771.040000000000873114913702011108", 12107.0249452012)</f>
        <v>12107.024945201199</v>
      </c>
      <c r="J205" t="s">
        <v>248</v>
      </c>
    </row>
    <row r="206" spans="1:10" ht="15" x14ac:dyDescent="0.25">
      <c r="A206" s="224" t="s">
        <v>129</v>
      </c>
      <c r="B206">
        <v>75199</v>
      </c>
      <c r="C206" t="s">
        <v>576</v>
      </c>
      <c r="D206" s="93" t="s">
        <v>920</v>
      </c>
      <c r="E206" s="115" t="s">
        <v>188</v>
      </c>
      <c r="G206">
        <v>11806.14</v>
      </c>
      <c r="H206" s="116">
        <f t="shared" si="4"/>
        <v>11806.14</v>
      </c>
      <c r="I206" s="230">
        <f>IF("generated"=1, "Path=MMRBEM_7_DOWN, Scaled Offset=11806.139999999999417923390865325928", 12141.4579147365)</f>
        <v>12141.4579147365</v>
      </c>
      <c r="J206" t="s">
        <v>248</v>
      </c>
    </row>
    <row r="207" spans="1:10" ht="15" x14ac:dyDescent="0.25">
      <c r="A207" s="224" t="s">
        <v>129</v>
      </c>
      <c r="B207">
        <v>75200</v>
      </c>
      <c r="C207" t="s">
        <v>577</v>
      </c>
      <c r="D207" s="93" t="s">
        <v>920</v>
      </c>
      <c r="E207" s="115" t="s">
        <v>188</v>
      </c>
      <c r="G207">
        <v>11809.14</v>
      </c>
      <c r="H207" s="116">
        <f t="shared" si="4"/>
        <v>11809.14</v>
      </c>
      <c r="I207" s="230">
        <f>IF("generated"=1, "Path=MMRBEM_7_DOWN, Scaled Offset=11809.139999999999417923390865325928", 12144.4009035856)</f>
        <v>12144.4009035856</v>
      </c>
      <c r="J207" t="s">
        <v>248</v>
      </c>
    </row>
    <row r="208" spans="1:10" ht="15" x14ac:dyDescent="0.25">
      <c r="A208" s="224" t="s">
        <v>129</v>
      </c>
      <c r="B208">
        <v>75201</v>
      </c>
      <c r="C208" t="s">
        <v>578</v>
      </c>
      <c r="D208" s="93" t="s">
        <v>920</v>
      </c>
      <c r="E208" s="115" t="s">
        <v>188</v>
      </c>
      <c r="G208">
        <v>11829.06</v>
      </c>
      <c r="H208" s="116">
        <f t="shared" si="4"/>
        <v>11829.06</v>
      </c>
      <c r="I208" s="230">
        <f>IF("generated"=1, "Path=MMRBEM_7_DOWN, Scaled Offset=11829.059999999999490682967007160187", 12163.9423495441)</f>
        <v>12163.942349544101</v>
      </c>
      <c r="J208" t="s">
        <v>248</v>
      </c>
    </row>
    <row r="209" spans="1:10" ht="15" x14ac:dyDescent="0.25">
      <c r="A209" s="224" t="s">
        <v>129</v>
      </c>
      <c r="B209">
        <v>75202</v>
      </c>
      <c r="C209" t="s">
        <v>579</v>
      </c>
      <c r="D209" s="93" t="s">
        <v>920</v>
      </c>
      <c r="E209" s="115" t="s">
        <v>188</v>
      </c>
      <c r="G209">
        <v>11832.06</v>
      </c>
      <c r="H209" s="116">
        <f t="shared" si="4"/>
        <v>11832.06</v>
      </c>
      <c r="I209" s="230">
        <f>IF("generated"=1, "Path=MMRBEM_7_DOWN, Scaled Offset=11832.059999999999490682967007160187", 12166.8853383933)</f>
        <v>12166.8853383933</v>
      </c>
      <c r="J209" t="s">
        <v>248</v>
      </c>
    </row>
    <row r="210" spans="1:10" ht="15" x14ac:dyDescent="0.25">
      <c r="A210" s="224" t="s">
        <v>129</v>
      </c>
      <c r="B210">
        <v>75203</v>
      </c>
      <c r="C210" t="s">
        <v>581</v>
      </c>
      <c r="D210" s="93" t="s">
        <v>920</v>
      </c>
      <c r="E210" s="115" t="s">
        <v>188</v>
      </c>
      <c r="G210">
        <v>11884.48</v>
      </c>
      <c r="H210" s="116">
        <f t="shared" si="4"/>
        <v>11884.48</v>
      </c>
      <c r="I210" s="230">
        <f>IF("generated"=1, "Path=MMRBEM_7_DOWN, Scaled Offset=11884.479999999999563442543148994446", 12218.3091635512)</f>
        <v>12218.309163551199</v>
      </c>
      <c r="J210" t="s">
        <v>248</v>
      </c>
    </row>
    <row r="211" spans="1:10" ht="15" x14ac:dyDescent="0.25">
      <c r="A211" s="224" t="s">
        <v>129</v>
      </c>
      <c r="B211">
        <v>75204</v>
      </c>
      <c r="C211" t="s">
        <v>582</v>
      </c>
      <c r="D211" s="93" t="s">
        <v>920</v>
      </c>
      <c r="E211" s="115" t="s">
        <v>188</v>
      </c>
      <c r="G211">
        <v>11965</v>
      </c>
      <c r="H211" s="116">
        <f t="shared" si="4"/>
        <v>11965</v>
      </c>
      <c r="I211" s="230">
        <f>IF("generated"=1, "Path=MMRBEM_7_DOWN, Scaled Offset=11965", 12297.2989842629)</f>
        <v>12297.298984262899</v>
      </c>
      <c r="J211" t="s">
        <v>248</v>
      </c>
    </row>
    <row r="212" spans="1:10" ht="15" x14ac:dyDescent="0.25">
      <c r="A212" s="224" t="s">
        <v>129</v>
      </c>
      <c r="B212">
        <v>75205</v>
      </c>
      <c r="C212" t="s">
        <v>583</v>
      </c>
      <c r="D212" s="93" t="s">
        <v>920</v>
      </c>
      <c r="E212" s="115" t="s">
        <v>188</v>
      </c>
      <c r="G212">
        <v>11986</v>
      </c>
      <c r="H212" s="116">
        <f t="shared" si="4"/>
        <v>11986</v>
      </c>
      <c r="I212" s="230">
        <f>IF("generated"=1, "Path=MMRBEM_7_DOWN, Scaled Offset=11986", 12317.8999062071)</f>
        <v>12317.8999062071</v>
      </c>
      <c r="J212" t="s">
        <v>248</v>
      </c>
    </row>
    <row r="213" spans="1:10" ht="15" x14ac:dyDescent="0.25">
      <c r="A213" s="224" t="s">
        <v>129</v>
      </c>
      <c r="B213">
        <v>75206</v>
      </c>
      <c r="C213" t="s">
        <v>584</v>
      </c>
      <c r="D213" s="93" t="s">
        <v>920</v>
      </c>
      <c r="E213" s="115" t="s">
        <v>188</v>
      </c>
      <c r="G213">
        <v>12106</v>
      </c>
      <c r="H213" s="116">
        <f t="shared" si="4"/>
        <v>12106</v>
      </c>
      <c r="I213" s="230">
        <f>IF("generated"=1, "Path=MMRBEM_7_DOWN, Scaled Offset=12106", 12435.619460174)</f>
        <v>12435.619460174001</v>
      </c>
      <c r="J213" t="s">
        <v>248</v>
      </c>
    </row>
    <row r="214" spans="1:10" ht="15" x14ac:dyDescent="0.25">
      <c r="A214" s="224" t="s">
        <v>129</v>
      </c>
      <c r="B214">
        <v>75207</v>
      </c>
      <c r="C214" t="s">
        <v>585</v>
      </c>
      <c r="D214" s="93" t="s">
        <v>920</v>
      </c>
      <c r="E214" s="115" t="s">
        <v>188</v>
      </c>
      <c r="G214">
        <v>12273</v>
      </c>
      <c r="H214" s="116">
        <f t="shared" si="4"/>
        <v>12273</v>
      </c>
      <c r="I214" s="230">
        <f>IF("generated"=1, "Path=MMRBEM_7_DOWN, Scaled Offset=12273", 12599.4458394445)</f>
        <v>12599.445839444499</v>
      </c>
      <c r="J214" t="s">
        <v>248</v>
      </c>
    </row>
    <row r="215" spans="1:10" ht="15" x14ac:dyDescent="0.25">
      <c r="A215" s="224" t="s">
        <v>129</v>
      </c>
      <c r="B215">
        <v>75208</v>
      </c>
      <c r="C215" t="s">
        <v>586</v>
      </c>
      <c r="D215" s="93" t="s">
        <v>920</v>
      </c>
      <c r="E215" s="115" t="s">
        <v>188</v>
      </c>
      <c r="G215">
        <v>12393</v>
      </c>
      <c r="H215" s="116">
        <f t="shared" si="4"/>
        <v>12393</v>
      </c>
      <c r="I215" s="230">
        <f>IF("generated"=1, "Path=MMRBEM_7_DOWN, Scaled Offset=12393", 12717.1653934114)</f>
        <v>12717.1653934114</v>
      </c>
      <c r="J215" t="s">
        <v>248</v>
      </c>
    </row>
    <row r="216" spans="1:10" ht="15" x14ac:dyDescent="0.25">
      <c r="A216" s="224" t="s">
        <v>129</v>
      </c>
      <c r="B216">
        <v>75209</v>
      </c>
      <c r="C216" t="s">
        <v>587</v>
      </c>
      <c r="D216" s="93" t="s">
        <v>920</v>
      </c>
      <c r="E216" s="115" t="s">
        <v>188</v>
      </c>
      <c r="G216">
        <v>12414</v>
      </c>
      <c r="H216" s="116">
        <f t="shared" si="4"/>
        <v>12414</v>
      </c>
      <c r="I216" s="230">
        <f>IF("generated"=1, "Path=MMRBEM_7_DOWN, Scaled Offset=12414", 12737.7663153556)</f>
        <v>12737.7663153556</v>
      </c>
      <c r="J216" t="s">
        <v>248</v>
      </c>
    </row>
    <row r="217" spans="1:10" ht="15" x14ac:dyDescent="0.25">
      <c r="A217" s="224" t="s">
        <v>129</v>
      </c>
      <c r="B217">
        <v>75210</v>
      </c>
      <c r="C217" t="s">
        <v>588</v>
      </c>
      <c r="D217" s="93" t="s">
        <v>920</v>
      </c>
      <c r="E217" s="115" t="s">
        <v>188</v>
      </c>
      <c r="G217">
        <v>12509.12</v>
      </c>
      <c r="H217" s="116">
        <f t="shared" si="4"/>
        <v>12509.12</v>
      </c>
      <c r="I217" s="230">
        <f>IF("generated"=1, "Path=MMRBEM_7_DOWN, Scaled Offset=12509.120000000000800355337560176849", 12831.0786818)</f>
        <v>12831.0786818</v>
      </c>
      <c r="J217" t="s">
        <v>248</v>
      </c>
    </row>
    <row r="218" spans="1:10" ht="15" x14ac:dyDescent="0.25">
      <c r="A218" s="224" t="s">
        <v>129</v>
      </c>
      <c r="B218">
        <v>75211</v>
      </c>
      <c r="C218" t="s">
        <v>589</v>
      </c>
      <c r="D218" s="93" t="s">
        <v>920</v>
      </c>
      <c r="E218" s="115" t="s">
        <v>188</v>
      </c>
      <c r="G218">
        <v>12523.98</v>
      </c>
      <c r="H218" s="116">
        <f t="shared" si="4"/>
        <v>12523.98</v>
      </c>
      <c r="I218" s="230">
        <f>IF("generated"=1, "Path=MMRBEM_7_DOWN, Scaled Offset=12523.979999999999563442543148994446", 12845.6562865662)</f>
        <v>12845.6562865662</v>
      </c>
      <c r="J218" t="s">
        <v>248</v>
      </c>
    </row>
    <row r="219" spans="1:10" ht="15" x14ac:dyDescent="0.25">
      <c r="A219" s="224" t="s">
        <v>129</v>
      </c>
      <c r="B219">
        <v>75212</v>
      </c>
      <c r="C219" t="s">
        <v>590</v>
      </c>
      <c r="D219" s="93" t="s">
        <v>920</v>
      </c>
      <c r="E219" s="115" t="s">
        <v>188</v>
      </c>
      <c r="G219">
        <v>12526.98</v>
      </c>
      <c r="H219" s="116">
        <f t="shared" si="4"/>
        <v>12526.98</v>
      </c>
      <c r="I219" s="230">
        <f>IF("generated"=1, "Path=MMRBEM_7_DOWN, Scaled Offset=12526.979999999999563442543148994446", 12848.5992754154)</f>
        <v>12848.599275415399</v>
      </c>
      <c r="J219" t="s">
        <v>248</v>
      </c>
    </row>
    <row r="220" spans="1:10" ht="15" x14ac:dyDescent="0.25">
      <c r="A220" s="224" t="s">
        <v>129</v>
      </c>
      <c r="B220">
        <v>75213</v>
      </c>
      <c r="C220" t="s">
        <v>591</v>
      </c>
      <c r="D220" s="93" t="s">
        <v>920</v>
      </c>
      <c r="E220" s="115" t="s">
        <v>188</v>
      </c>
      <c r="G220">
        <v>12546.9</v>
      </c>
      <c r="H220" s="116">
        <f t="shared" si="4"/>
        <v>12546.9</v>
      </c>
      <c r="I220" s="230">
        <f>IF("generated"=1, "Path=MMRBEM_7_DOWN, Scaled Offset=12546.899999999999636202119290828705", 12868.1407213739)</f>
        <v>12868.1407213739</v>
      </c>
      <c r="J220" t="s">
        <v>248</v>
      </c>
    </row>
    <row r="221" spans="1:10" ht="15" x14ac:dyDescent="0.25">
      <c r="A221" s="224" t="s">
        <v>129</v>
      </c>
      <c r="B221">
        <v>75214</v>
      </c>
      <c r="C221" t="s">
        <v>592</v>
      </c>
      <c r="D221" s="93" t="s">
        <v>920</v>
      </c>
      <c r="E221" s="115" t="s">
        <v>188</v>
      </c>
      <c r="G221">
        <v>12549.9</v>
      </c>
      <c r="H221" s="116">
        <f t="shared" si="4"/>
        <v>12549.9</v>
      </c>
      <c r="I221" s="230">
        <f>IF("generated"=1, "Path=MMRBEM_7_DOWN, Scaled Offset=12549.899999999999636202119290828705", 12871.0837102231)</f>
        <v>12871.0837102231</v>
      </c>
      <c r="J221" t="s">
        <v>248</v>
      </c>
    </row>
    <row r="222" spans="1:10" ht="15" x14ac:dyDescent="0.25">
      <c r="A222" s="224" t="s">
        <v>129</v>
      </c>
      <c r="B222">
        <v>75215</v>
      </c>
      <c r="C222" t="s">
        <v>593</v>
      </c>
      <c r="D222" s="93" t="s">
        <v>920</v>
      </c>
      <c r="E222" s="115" t="s">
        <v>188</v>
      </c>
      <c r="G222">
        <v>12607.92</v>
      </c>
      <c r="H222" s="116">
        <f t="shared" si="4"/>
        <v>12607.92</v>
      </c>
      <c r="I222" s="230">
        <f>IF("generated"=1, "Path=MMRBEM_7_DOWN, Scaled Offset=12607.920000000000072759576141834259", 12928.001114566)</f>
        <v>12928.001114565999</v>
      </c>
      <c r="J222" t="s">
        <v>248</v>
      </c>
    </row>
    <row r="223" spans="1:10" ht="15" x14ac:dyDescent="0.25">
      <c r="A223" s="224" t="s">
        <v>129</v>
      </c>
      <c r="B223">
        <v>75216</v>
      </c>
      <c r="C223" t="s">
        <v>594</v>
      </c>
      <c r="D223" s="93" t="s">
        <v>920</v>
      </c>
      <c r="E223" s="115" t="s">
        <v>188</v>
      </c>
      <c r="G223">
        <v>12643.02</v>
      </c>
      <c r="H223" s="116">
        <f t="shared" si="4"/>
        <v>12643.02</v>
      </c>
      <c r="I223" s="230">
        <f>IF("generated"=1, "Path=MMRBEM_7_DOWN, Scaled Offset=12643.020000000000436557456851005554", 12962.4340841013)</f>
        <v>12962.4340841013</v>
      </c>
      <c r="J223" t="s">
        <v>248</v>
      </c>
    </row>
    <row r="224" spans="1:10" ht="15" x14ac:dyDescent="0.25">
      <c r="A224" s="224" t="s">
        <v>129</v>
      </c>
      <c r="B224">
        <v>75217</v>
      </c>
      <c r="C224" t="s">
        <v>595</v>
      </c>
      <c r="D224" s="93" t="s">
        <v>920</v>
      </c>
      <c r="E224" s="115" t="s">
        <v>188</v>
      </c>
      <c r="G224">
        <v>12646.02</v>
      </c>
      <c r="H224" s="116">
        <f t="shared" si="4"/>
        <v>12646.02</v>
      </c>
      <c r="I224" s="230">
        <f>IF("generated"=1, "Path=MMRBEM_7_DOWN, Scaled Offset=12646.020000000000436557456851005554", 12965.3770729505)</f>
        <v>12965.377072950499</v>
      </c>
      <c r="J224" t="s">
        <v>248</v>
      </c>
    </row>
    <row r="225" spans="1:10" ht="15" x14ac:dyDescent="0.25">
      <c r="A225" s="224" t="s">
        <v>129</v>
      </c>
      <c r="B225">
        <v>75218</v>
      </c>
      <c r="C225" t="s">
        <v>596</v>
      </c>
      <c r="D225" s="93" t="s">
        <v>920</v>
      </c>
      <c r="E225" s="115" t="s">
        <v>188</v>
      </c>
      <c r="G225">
        <v>12665.94</v>
      </c>
      <c r="H225" s="116">
        <f t="shared" si="4"/>
        <v>12665.94</v>
      </c>
      <c r="I225" s="230">
        <f>IF("generated"=1, "Path=MMRBEM_7_DOWN, Scaled Offset=12665.940000000000509317032992839813", 12984.918518909)</f>
        <v>12984.918518909</v>
      </c>
      <c r="J225" t="s">
        <v>248</v>
      </c>
    </row>
    <row r="226" spans="1:10" ht="15" x14ac:dyDescent="0.25">
      <c r="A226" s="224" t="s">
        <v>129</v>
      </c>
      <c r="B226">
        <v>75219</v>
      </c>
      <c r="C226" t="s">
        <v>597</v>
      </c>
      <c r="D226" s="93" t="s">
        <v>920</v>
      </c>
      <c r="E226" s="115" t="s">
        <v>188</v>
      </c>
      <c r="G226">
        <v>12668.94</v>
      </c>
      <c r="H226" s="116">
        <f t="shared" si="4"/>
        <v>12668.94</v>
      </c>
      <c r="I226" s="230">
        <f>IF("generated"=1, "Path=MMRBEM_7_DOWN, Scaled Offset=12668.940000000000509317032992839813", 12987.8615077582)</f>
        <v>12987.8615077582</v>
      </c>
      <c r="J226" t="s">
        <v>248</v>
      </c>
    </row>
    <row r="227" spans="1:10" ht="15" x14ac:dyDescent="0.25">
      <c r="A227" s="224" t="s">
        <v>129</v>
      </c>
      <c r="B227">
        <v>75220</v>
      </c>
      <c r="C227" t="s">
        <v>598</v>
      </c>
      <c r="D227" s="93" t="s">
        <v>920</v>
      </c>
      <c r="E227" s="115" t="s">
        <v>188</v>
      </c>
      <c r="G227">
        <v>12721.36</v>
      </c>
      <c r="H227" s="116">
        <f t="shared" si="4"/>
        <v>12721.36</v>
      </c>
      <c r="I227" s="230">
        <f>IF("generated"=1, "Path=MMRBEM_7_DOWN, Scaled Offset=12721.360000000000582076609134674072", 13039.285332916)</f>
        <v>13039.285332916001</v>
      </c>
      <c r="J227" t="s">
        <v>248</v>
      </c>
    </row>
    <row r="228" spans="1:10" ht="15" x14ac:dyDescent="0.25">
      <c r="A228" s="224" t="s">
        <v>129</v>
      </c>
      <c r="B228">
        <v>75221</v>
      </c>
      <c r="C228" t="s">
        <v>599</v>
      </c>
      <c r="D228" s="93" t="s">
        <v>920</v>
      </c>
      <c r="E228" s="115" t="s">
        <v>188</v>
      </c>
      <c r="G228">
        <v>12802</v>
      </c>
      <c r="H228" s="116">
        <f t="shared" si="4"/>
        <v>12802</v>
      </c>
      <c r="I228" s="230">
        <f>IF("generated"=1, "Path=MMRBEM_7_DOWN, Scaled Offset=12802", 13118.3928731818)</f>
        <v>13118.3928731818</v>
      </c>
      <c r="J228" t="s">
        <v>248</v>
      </c>
    </row>
    <row r="229" spans="1:10" ht="15" x14ac:dyDescent="0.25">
      <c r="A229" s="224" t="s">
        <v>129</v>
      </c>
      <c r="B229">
        <v>75222</v>
      </c>
      <c r="C229" t="s">
        <v>600</v>
      </c>
      <c r="D229" s="93" t="s">
        <v>920</v>
      </c>
      <c r="E229" s="115" t="s">
        <v>188</v>
      </c>
      <c r="G229">
        <v>12823</v>
      </c>
      <c r="H229" s="116">
        <f t="shared" si="4"/>
        <v>12823</v>
      </c>
      <c r="I229" s="230">
        <f>IF("generated"=1, "Path=MMRBEM_7_DOWN, Scaled Offset=12823", 13138.993795126)</f>
        <v>13138.993795126</v>
      </c>
      <c r="J229" t="s">
        <v>248</v>
      </c>
    </row>
    <row r="230" spans="1:10" ht="15" x14ac:dyDescent="0.25">
      <c r="A230" s="224" t="s">
        <v>129</v>
      </c>
      <c r="B230">
        <v>75223</v>
      </c>
      <c r="C230" t="s">
        <v>601</v>
      </c>
      <c r="D230" s="93" t="s">
        <v>920</v>
      </c>
      <c r="E230" s="115" t="s">
        <v>188</v>
      </c>
      <c r="G230">
        <v>12943</v>
      </c>
      <c r="H230" s="116">
        <f t="shared" si="4"/>
        <v>12943</v>
      </c>
      <c r="I230" s="230">
        <f>IF("generated"=1, "Path=MMRBEM_7_DOWN, Scaled Offset=12943", 13256.7133490928)</f>
        <v>13256.713349092801</v>
      </c>
      <c r="J230" t="s">
        <v>248</v>
      </c>
    </row>
    <row r="231" spans="1:10" ht="15" x14ac:dyDescent="0.25">
      <c r="A231" s="224" t="s">
        <v>129</v>
      </c>
      <c r="B231">
        <v>75224</v>
      </c>
      <c r="C231" t="s">
        <v>602</v>
      </c>
      <c r="D231" s="93" t="s">
        <v>920</v>
      </c>
      <c r="E231" s="115" t="s">
        <v>188</v>
      </c>
      <c r="G231">
        <v>13143</v>
      </c>
      <c r="H231" s="116">
        <f t="shared" si="4"/>
        <v>13143</v>
      </c>
      <c r="I231" s="230">
        <f>IF("generated"=1, "Path=MMRBEM_7_DOWN, Scaled Offset=13143", 13452.9126057042)</f>
        <v>13452.912605704199</v>
      </c>
      <c r="J231" t="s">
        <v>248</v>
      </c>
    </row>
    <row r="232" spans="1:10" ht="15" x14ac:dyDescent="0.25">
      <c r="A232" s="224" t="s">
        <v>129</v>
      </c>
      <c r="B232">
        <v>75225</v>
      </c>
      <c r="C232" t="s">
        <v>603</v>
      </c>
      <c r="D232" s="93" t="s">
        <v>920</v>
      </c>
      <c r="E232" s="115" t="s">
        <v>188</v>
      </c>
      <c r="G232">
        <v>13243</v>
      </c>
      <c r="H232" s="116">
        <f t="shared" si="4"/>
        <v>13243</v>
      </c>
      <c r="I232" s="230">
        <f>IF("generated"=1, "Path=MMRBEM_7_DOWN, Scaled Offset=13243", 13551.01223401)</f>
        <v>13551.012234010001</v>
      </c>
      <c r="J232" t="s">
        <v>248</v>
      </c>
    </row>
    <row r="233" spans="1:10" ht="15" x14ac:dyDescent="0.25">
      <c r="A233" s="224" t="s">
        <v>129</v>
      </c>
      <c r="B233">
        <v>75226</v>
      </c>
      <c r="C233" t="s">
        <v>604</v>
      </c>
      <c r="D233" s="93" t="s">
        <v>920</v>
      </c>
      <c r="E233" s="115" t="s">
        <v>188</v>
      </c>
      <c r="G233">
        <v>13437</v>
      </c>
      <c r="H233" s="116">
        <f t="shared" si="4"/>
        <v>13437</v>
      </c>
      <c r="I233" s="230">
        <f>IF("generated"=1, "Path=MMRBEM_7_DOWN, Scaled Offset=13437", 13741.3255129231)</f>
        <v>13741.3255129231</v>
      </c>
      <c r="J233" t="s">
        <v>248</v>
      </c>
    </row>
    <row r="234" spans="1:10" ht="15" x14ac:dyDescent="0.25">
      <c r="A234" s="224" t="s">
        <v>129</v>
      </c>
      <c r="B234">
        <v>75227</v>
      </c>
      <c r="C234" t="s">
        <v>605</v>
      </c>
      <c r="D234" s="93" t="s">
        <v>920</v>
      </c>
      <c r="E234" s="115" t="s">
        <v>188</v>
      </c>
      <c r="G234">
        <v>13557</v>
      </c>
      <c r="H234" s="116">
        <f t="shared" si="4"/>
        <v>13557</v>
      </c>
      <c r="I234" s="230">
        <f>IF("generated"=1, "Path=MMRBEM_7_DOWN, Scaled Offset=13557", 13859.0450668899)</f>
        <v>13859.045066889899</v>
      </c>
      <c r="J234" t="s">
        <v>248</v>
      </c>
    </row>
    <row r="235" spans="1:10" ht="15" x14ac:dyDescent="0.25">
      <c r="A235" s="224" t="s">
        <v>129</v>
      </c>
      <c r="B235">
        <v>75228</v>
      </c>
      <c r="C235" t="s">
        <v>606</v>
      </c>
      <c r="D235" s="93" t="s">
        <v>920</v>
      </c>
      <c r="E235" s="115" t="s">
        <v>188</v>
      </c>
      <c r="G235">
        <v>13578</v>
      </c>
      <c r="H235" s="116">
        <f t="shared" si="4"/>
        <v>13578</v>
      </c>
      <c r="I235" s="230">
        <f>IF("generated"=1, "Path=MMRBEM_7_DOWN, Scaled Offset=13578", 13879.6459888341)</f>
        <v>13879.6459888341</v>
      </c>
      <c r="J235" t="s">
        <v>248</v>
      </c>
    </row>
    <row r="236" spans="1:10" ht="15" x14ac:dyDescent="0.25">
      <c r="A236" s="224" t="s">
        <v>129</v>
      </c>
      <c r="B236">
        <v>75229</v>
      </c>
      <c r="C236" t="s">
        <v>607</v>
      </c>
      <c r="D236" s="93" t="s">
        <v>920</v>
      </c>
      <c r="E236" s="115" t="s">
        <v>188</v>
      </c>
      <c r="G236">
        <v>13672.91</v>
      </c>
      <c r="H236" s="116">
        <f t="shared" si="4"/>
        <v>13672.91</v>
      </c>
      <c r="I236" s="230">
        <f>IF("generated"=1, "Path=MMRBEM_7_DOWN, Scaled Offset=13672.909999999999854480847716331482", 13972.7523460591)</f>
        <v>13972.7523460591</v>
      </c>
      <c r="J236" t="s">
        <v>248</v>
      </c>
    </row>
    <row r="237" spans="1:10" ht="15" x14ac:dyDescent="0.25">
      <c r="A237" s="224" t="s">
        <v>129</v>
      </c>
      <c r="B237">
        <v>75230</v>
      </c>
      <c r="C237" t="s">
        <v>608</v>
      </c>
      <c r="D237" s="93" t="s">
        <v>920</v>
      </c>
      <c r="E237" s="115" t="s">
        <v>188</v>
      </c>
      <c r="G237">
        <v>13687.77</v>
      </c>
      <c r="H237" s="116">
        <f t="shared" si="4"/>
        <v>13687.77</v>
      </c>
      <c r="I237" s="230">
        <f>IF("generated"=1, "Path=MMRBEM_7_DOWN, Scaled Offset=13687.770000000000436557456851005554", 13987.3299508253)</f>
        <v>13987.3299508253</v>
      </c>
      <c r="J237" t="s">
        <v>248</v>
      </c>
    </row>
    <row r="238" spans="1:10" ht="15" x14ac:dyDescent="0.25">
      <c r="A238" s="224" t="s">
        <v>129</v>
      </c>
      <c r="B238">
        <v>75231</v>
      </c>
      <c r="C238" t="s">
        <v>609</v>
      </c>
      <c r="D238" s="93" t="s">
        <v>920</v>
      </c>
      <c r="E238" s="115" t="s">
        <v>188</v>
      </c>
      <c r="G238">
        <v>13690.77</v>
      </c>
      <c r="H238" s="116">
        <f t="shared" si="4"/>
        <v>13690.77</v>
      </c>
      <c r="I238" s="230">
        <f>IF("generated"=1, "Path=MMRBEM_7_DOWN, Scaled Offset=13690.770000000000436557456851005554", 13990.2729396745)</f>
        <v>13990.2729396745</v>
      </c>
      <c r="J238" t="s">
        <v>248</v>
      </c>
    </row>
    <row r="239" spans="1:10" ht="15" x14ac:dyDescent="0.25">
      <c r="A239" s="224" t="s">
        <v>129</v>
      </c>
      <c r="B239">
        <v>75232</v>
      </c>
      <c r="C239" t="s">
        <v>610</v>
      </c>
      <c r="D239" s="93" t="s">
        <v>920</v>
      </c>
      <c r="E239" s="115" t="s">
        <v>188</v>
      </c>
      <c r="G239">
        <v>13710.69</v>
      </c>
      <c r="H239" s="116">
        <f t="shared" si="4"/>
        <v>13710.69</v>
      </c>
      <c r="I239" s="230">
        <f>IF("generated"=1, "Path=MMRBEM_7_DOWN, Scaled Offset=13710.690000000000509317032992839813", 14009.814385633)</f>
        <v>14009.814385633001</v>
      </c>
      <c r="J239" t="s">
        <v>248</v>
      </c>
    </row>
    <row r="240" spans="1:10" ht="15" x14ac:dyDescent="0.25">
      <c r="A240" s="224" t="s">
        <v>129</v>
      </c>
      <c r="B240">
        <v>75233</v>
      </c>
      <c r="C240" t="s">
        <v>611</v>
      </c>
      <c r="D240" s="93" t="s">
        <v>920</v>
      </c>
      <c r="E240" s="115" t="s">
        <v>188</v>
      </c>
      <c r="G240">
        <v>13713.69</v>
      </c>
      <c r="H240" s="116">
        <f t="shared" si="4"/>
        <v>13713.69</v>
      </c>
      <c r="I240" s="230">
        <f>IF("generated"=1, "Path=MMRBEM_7_DOWN, Scaled Offset=13713.690000000000509317032992839813", 14012.7573744821)</f>
        <v>14012.7573744821</v>
      </c>
      <c r="J240" t="s">
        <v>248</v>
      </c>
    </row>
    <row r="241" spans="1:10" ht="15" x14ac:dyDescent="0.25">
      <c r="A241" s="224" t="s">
        <v>129</v>
      </c>
      <c r="B241">
        <v>75234</v>
      </c>
      <c r="C241" t="s">
        <v>612</v>
      </c>
      <c r="D241" s="93" t="s">
        <v>920</v>
      </c>
      <c r="E241" s="115" t="s">
        <v>188</v>
      </c>
      <c r="G241">
        <v>13771.71</v>
      </c>
      <c r="H241" s="116">
        <f t="shared" si="4"/>
        <v>13771.71</v>
      </c>
      <c r="I241" s="230">
        <f>IF("generated"=1, "Path=MMRBEM_7_DOWN, Scaled Offset=13771.709999999999126885086297988892", 14069.6747788251)</f>
        <v>14069.6747788251</v>
      </c>
      <c r="J241" t="s">
        <v>248</v>
      </c>
    </row>
    <row r="242" spans="1:10" ht="15" x14ac:dyDescent="0.25">
      <c r="A242" s="224" t="s">
        <v>129</v>
      </c>
      <c r="B242">
        <v>75235</v>
      </c>
      <c r="C242" t="s">
        <v>613</v>
      </c>
      <c r="D242" s="93" t="s">
        <v>920</v>
      </c>
      <c r="E242" s="115" t="s">
        <v>188</v>
      </c>
      <c r="G242">
        <v>13806.81</v>
      </c>
      <c r="H242" s="116">
        <f t="shared" si="4"/>
        <v>13806.81</v>
      </c>
      <c r="I242" s="230">
        <f>IF("generated"=1, "Path=MMRBEM_7_DOWN, Scaled Offset=13806.809999999999490682967007160187", 14104.1077483604)</f>
        <v>14104.1077483604</v>
      </c>
      <c r="J242" t="s">
        <v>248</v>
      </c>
    </row>
    <row r="243" spans="1:10" ht="15" x14ac:dyDescent="0.25">
      <c r="A243" s="224" t="s">
        <v>129</v>
      </c>
      <c r="B243">
        <v>75236</v>
      </c>
      <c r="C243" t="s">
        <v>614</v>
      </c>
      <c r="D243" s="93" t="s">
        <v>920</v>
      </c>
      <c r="E243" s="115" t="s">
        <v>188</v>
      </c>
      <c r="G243">
        <v>13809.81</v>
      </c>
      <c r="H243" s="116">
        <f t="shared" si="4"/>
        <v>13809.81</v>
      </c>
      <c r="I243" s="230">
        <f>IF("generated"=1, "Path=MMRBEM_7_DOWN, Scaled Offset=13809.809999999999490682967007160187", 14107.0507372096)</f>
        <v>14107.0507372096</v>
      </c>
      <c r="J243" t="s">
        <v>248</v>
      </c>
    </row>
    <row r="244" spans="1:10" ht="15" x14ac:dyDescent="0.25">
      <c r="A244" s="224" t="s">
        <v>129</v>
      </c>
      <c r="B244">
        <v>75237</v>
      </c>
      <c r="C244" t="s">
        <v>615</v>
      </c>
      <c r="D244" s="93" t="s">
        <v>920</v>
      </c>
      <c r="E244" s="115" t="s">
        <v>188</v>
      </c>
      <c r="G244">
        <v>13829.73</v>
      </c>
      <c r="H244" s="116">
        <f t="shared" si="4"/>
        <v>13829.73</v>
      </c>
      <c r="I244" s="230">
        <f>IF("generated"=1, "Path=MMRBEM_7_DOWN, Scaled Offset=13829.729999999999563442543148994446", 14126.5921831681)</f>
        <v>14126.592183168101</v>
      </c>
      <c r="J244" t="s">
        <v>248</v>
      </c>
    </row>
    <row r="245" spans="1:10" ht="15" x14ac:dyDescent="0.25">
      <c r="A245" s="224" t="s">
        <v>129</v>
      </c>
      <c r="B245">
        <v>75238</v>
      </c>
      <c r="C245" t="s">
        <v>616</v>
      </c>
      <c r="D245" s="93" t="s">
        <v>920</v>
      </c>
      <c r="E245" s="115" t="s">
        <v>188</v>
      </c>
      <c r="G245">
        <v>13832.73</v>
      </c>
      <c r="H245" s="116">
        <f t="shared" si="4"/>
        <v>13832.73</v>
      </c>
      <c r="I245" s="230">
        <f>IF("generated"=1, "Path=MMRBEM_7_DOWN, Scaled Offset=13832.729999999999563442543148994446", 14129.5351720173)</f>
        <v>14129.5351720173</v>
      </c>
      <c r="J245" t="s">
        <v>248</v>
      </c>
    </row>
    <row r="246" spans="1:10" ht="15" x14ac:dyDescent="0.25">
      <c r="A246" s="224" t="s">
        <v>129</v>
      </c>
      <c r="B246">
        <v>75239</v>
      </c>
      <c r="C246" t="s">
        <v>617</v>
      </c>
      <c r="D246" s="93" t="s">
        <v>920</v>
      </c>
      <c r="E246" s="115" t="s">
        <v>188</v>
      </c>
      <c r="G246">
        <v>13885.15</v>
      </c>
      <c r="H246" s="116">
        <f t="shared" si="4"/>
        <v>13885.15</v>
      </c>
      <c r="I246" s="230">
        <f>IF("generated"=1, "Path=MMRBEM_7_DOWN, Scaled Offset=13885.149999999999636202119290828705", 14180.9589971751)</f>
        <v>14180.958997175099</v>
      </c>
      <c r="J246" t="s">
        <v>248</v>
      </c>
    </row>
    <row r="247" spans="1:10" ht="15" x14ac:dyDescent="0.25">
      <c r="A247" s="224" t="s">
        <v>129</v>
      </c>
      <c r="B247">
        <v>75240</v>
      </c>
      <c r="C247" t="s">
        <v>618</v>
      </c>
      <c r="D247" s="93" t="s">
        <v>920</v>
      </c>
      <c r="E247" s="115" t="s">
        <v>188</v>
      </c>
      <c r="G247">
        <v>13965</v>
      </c>
      <c r="H247" s="116">
        <f t="shared" si="4"/>
        <v>13965</v>
      </c>
      <c r="I247" s="230">
        <f>IF("generated"=1, "Path=MMRBEM_7_DOWN, Scaled Offset=13965", 14259.2915503772)</f>
        <v>14259.2915503772</v>
      </c>
      <c r="J247" t="s">
        <v>248</v>
      </c>
    </row>
    <row r="248" spans="1:10" ht="15" x14ac:dyDescent="0.25">
      <c r="A248" s="224" t="s">
        <v>129</v>
      </c>
      <c r="B248">
        <v>75241</v>
      </c>
      <c r="C248" t="s">
        <v>619</v>
      </c>
      <c r="D248" s="93" t="s">
        <v>920</v>
      </c>
      <c r="E248" s="115" t="s">
        <v>188</v>
      </c>
      <c r="G248">
        <v>13986</v>
      </c>
      <c r="H248" s="116">
        <f t="shared" si="4"/>
        <v>13986</v>
      </c>
      <c r="I248" s="230">
        <f>IF("generated"=1, "Path=MMRBEM_7_DOWN, Scaled Offset=13986", 14279.8924723214)</f>
        <v>14279.8924723214</v>
      </c>
      <c r="J248" t="s">
        <v>248</v>
      </c>
    </row>
    <row r="249" spans="1:10" ht="15" x14ac:dyDescent="0.25">
      <c r="A249" s="224" t="s">
        <v>129</v>
      </c>
      <c r="B249">
        <v>75242</v>
      </c>
      <c r="C249" t="s">
        <v>620</v>
      </c>
      <c r="D249" s="93" t="s">
        <v>920</v>
      </c>
      <c r="E249" s="115" t="s">
        <v>188</v>
      </c>
      <c r="G249">
        <v>14106</v>
      </c>
      <c r="H249" s="116">
        <f t="shared" si="4"/>
        <v>14106</v>
      </c>
      <c r="I249" s="230">
        <f>IF("generated"=1, "Path=MMRBEM_7_DOWN, Scaled Offset=14106", 14397.6120262883)</f>
        <v>14397.6120262883</v>
      </c>
      <c r="J249" t="s">
        <v>248</v>
      </c>
    </row>
    <row r="250" spans="1:10" ht="15" x14ac:dyDescent="0.25">
      <c r="A250" s="224" t="s">
        <v>129</v>
      </c>
      <c r="B250">
        <v>75243</v>
      </c>
      <c r="C250" t="s">
        <v>621</v>
      </c>
      <c r="D250" s="93" t="s">
        <v>920</v>
      </c>
      <c r="E250" s="115" t="s">
        <v>188</v>
      </c>
      <c r="G250">
        <v>14206</v>
      </c>
      <c r="H250" s="116">
        <f t="shared" si="4"/>
        <v>14206</v>
      </c>
      <c r="I250" s="230">
        <f>IF("generated"=1, "Path=MMRBEM_7_DOWN, Scaled Offset=14206", 14495.711654594)</f>
        <v>14495.711654594001</v>
      </c>
      <c r="J250" t="s">
        <v>248</v>
      </c>
    </row>
    <row r="251" spans="1:10" ht="15" x14ac:dyDescent="0.25">
      <c r="A251" s="224" t="s">
        <v>129</v>
      </c>
      <c r="B251">
        <v>75244</v>
      </c>
      <c r="C251" t="s">
        <v>622</v>
      </c>
      <c r="D251" s="93" t="s">
        <v>920</v>
      </c>
      <c r="E251" s="115" t="s">
        <v>188</v>
      </c>
      <c r="G251">
        <v>14397</v>
      </c>
      <c r="H251" s="116">
        <f t="shared" si="4"/>
        <v>14397</v>
      </c>
      <c r="I251" s="230">
        <f>IF("generated"=1, "Path=MMRBEM_7_DOWN, Scaled Offset=14397", 14683.0819446579)</f>
        <v>14683.081944657901</v>
      </c>
      <c r="J251" t="s">
        <v>248</v>
      </c>
    </row>
    <row r="252" spans="1:10" ht="15" x14ac:dyDescent="0.25">
      <c r="A252" s="224" t="s">
        <v>129</v>
      </c>
      <c r="B252">
        <v>75245</v>
      </c>
      <c r="C252" t="s">
        <v>623</v>
      </c>
      <c r="D252" s="93" t="s">
        <v>920</v>
      </c>
      <c r="E252" s="115" t="s">
        <v>188</v>
      </c>
      <c r="G252">
        <v>14517</v>
      </c>
      <c r="H252" s="116">
        <f t="shared" si="4"/>
        <v>14517</v>
      </c>
      <c r="I252" s="230">
        <f>IF("generated"=1, "Path=MMRBEM_7_DOWN, Scaled Offset=14517", 14800.8014986248)</f>
        <v>14800.8014986248</v>
      </c>
      <c r="J252" t="s">
        <v>248</v>
      </c>
    </row>
    <row r="253" spans="1:10" ht="15" x14ac:dyDescent="0.25">
      <c r="A253" s="224" t="s">
        <v>129</v>
      </c>
      <c r="B253">
        <v>75246</v>
      </c>
      <c r="C253" t="s">
        <v>624</v>
      </c>
      <c r="D253" s="93" t="s">
        <v>920</v>
      </c>
      <c r="E253" s="115" t="s">
        <v>188</v>
      </c>
      <c r="G253">
        <v>14538</v>
      </c>
      <c r="H253" s="116">
        <f t="shared" si="4"/>
        <v>14538</v>
      </c>
      <c r="I253" s="230">
        <f>IF("generated"=1, "Path=MMRBEM_7_DOWN, Scaled Offset=14538", 14821.402420569)</f>
        <v>14821.402420569</v>
      </c>
      <c r="J253" t="s">
        <v>248</v>
      </c>
    </row>
    <row r="254" spans="1:10" ht="15" x14ac:dyDescent="0.25">
      <c r="A254" s="224" t="s">
        <v>129</v>
      </c>
      <c r="B254">
        <v>75247</v>
      </c>
      <c r="C254" t="s">
        <v>625</v>
      </c>
      <c r="D254" s="93" t="s">
        <v>920</v>
      </c>
      <c r="E254" s="115" t="s">
        <v>188</v>
      </c>
      <c r="G254">
        <v>14633.3</v>
      </c>
      <c r="H254" s="116">
        <f t="shared" ref="H254:H320" si="5">G254+F254</f>
        <v>14633.3</v>
      </c>
      <c r="I254" s="230">
        <f>IF("generated"=1, "Path=MMRBEM_7_DOWN, Scaled Offset=14633.29999999999927240423858165741", 14914.8913663443)</f>
        <v>14914.8913663443</v>
      </c>
      <c r="J254" t="s">
        <v>248</v>
      </c>
    </row>
    <row r="255" spans="1:10" ht="15" x14ac:dyDescent="0.25">
      <c r="A255" s="224" t="s">
        <v>129</v>
      </c>
      <c r="B255">
        <v>75248</v>
      </c>
      <c r="C255" t="s">
        <v>626</v>
      </c>
      <c r="D255" s="93" t="s">
        <v>920</v>
      </c>
      <c r="E255" s="115" t="s">
        <v>188</v>
      </c>
      <c r="G255">
        <v>14648.16</v>
      </c>
      <c r="H255" s="116">
        <f t="shared" si="5"/>
        <v>14648.16</v>
      </c>
      <c r="I255" s="230">
        <f>IF("generated"=1, "Path=MMRBEM_7_DOWN, Scaled Offset=14648.159999999999854480847716331482", 14929.4689711105)</f>
        <v>14929.4689711105</v>
      </c>
      <c r="J255" t="s">
        <v>248</v>
      </c>
    </row>
    <row r="256" spans="1:10" ht="15" x14ac:dyDescent="0.25">
      <c r="A256" s="224" t="s">
        <v>129</v>
      </c>
      <c r="B256">
        <v>75249</v>
      </c>
      <c r="C256" t="s">
        <v>627</v>
      </c>
      <c r="D256" s="93" t="s">
        <v>920</v>
      </c>
      <c r="E256" s="115" t="s">
        <v>188</v>
      </c>
      <c r="G256">
        <v>14651.16</v>
      </c>
      <c r="H256" s="116">
        <f t="shared" si="5"/>
        <v>14651.16</v>
      </c>
      <c r="I256" s="230">
        <f>IF("generated"=1, "Path=MMRBEM_7_DOWN, Scaled Offset=14651.159999999999854480847716331482", 14932.4119599597)</f>
        <v>14932.4119599597</v>
      </c>
      <c r="J256" t="s">
        <v>248</v>
      </c>
    </row>
    <row r="257" spans="1:28" ht="15" x14ac:dyDescent="0.25">
      <c r="A257" s="224" t="s">
        <v>129</v>
      </c>
      <c r="B257">
        <v>75250</v>
      </c>
      <c r="C257" t="s">
        <v>628</v>
      </c>
      <c r="D257" s="93" t="s">
        <v>920</v>
      </c>
      <c r="E257" s="115" t="s">
        <v>188</v>
      </c>
      <c r="G257">
        <v>14671.08</v>
      </c>
      <c r="H257" s="116">
        <f t="shared" si="5"/>
        <v>14671.08</v>
      </c>
      <c r="I257" s="230">
        <f>IF("generated"=1, "Path=MMRBEM_7_DOWN, Scaled Offset=14671.079999999999927240423858165741", 14951.9534059182)</f>
        <v>14951.953405918201</v>
      </c>
      <c r="J257" t="s">
        <v>248</v>
      </c>
    </row>
    <row r="258" spans="1:28" ht="15" x14ac:dyDescent="0.25">
      <c r="A258" s="224" t="s">
        <v>129</v>
      </c>
      <c r="B258">
        <v>75251</v>
      </c>
      <c r="C258" t="s">
        <v>629</v>
      </c>
      <c r="D258" s="93" t="s">
        <v>920</v>
      </c>
      <c r="E258" s="115" t="s">
        <v>188</v>
      </c>
      <c r="G258">
        <v>14674.08</v>
      </c>
      <c r="H258" s="116">
        <f t="shared" si="5"/>
        <v>14674.08</v>
      </c>
      <c r="I258" s="230">
        <f>IF("generated"=1, "Path=MMRBEM_7_DOWN, Scaled Offset=14674.079999999999927240423858165741", 14954.8963947674)</f>
        <v>14954.8963947674</v>
      </c>
      <c r="J258" t="s">
        <v>248</v>
      </c>
    </row>
    <row r="259" spans="1:28" ht="15" x14ac:dyDescent="0.25">
      <c r="A259" s="224" t="s">
        <v>129</v>
      </c>
      <c r="B259">
        <v>75252</v>
      </c>
      <c r="C259" t="s">
        <v>630</v>
      </c>
      <c r="D259" s="93" t="s">
        <v>920</v>
      </c>
      <c r="E259" s="115" t="s">
        <v>188</v>
      </c>
      <c r="G259">
        <v>14732.1</v>
      </c>
      <c r="H259" s="116">
        <f t="shared" si="5"/>
        <v>14732.1</v>
      </c>
      <c r="I259" s="230">
        <f>IF("generated"=1, "Path=MMRBEM_7_DOWN, Scaled Offset=14732.100000000000363797880709171295", 15011.8137991104)</f>
        <v>15011.813799110399</v>
      </c>
      <c r="J259" t="s">
        <v>248</v>
      </c>
    </row>
    <row r="260" spans="1:28" ht="15" x14ac:dyDescent="0.25">
      <c r="A260" s="224" t="s">
        <v>129</v>
      </c>
      <c r="B260">
        <v>75253</v>
      </c>
      <c r="C260" t="s">
        <v>631</v>
      </c>
      <c r="D260" s="93" t="s">
        <v>920</v>
      </c>
      <c r="E260" s="115" t="s">
        <v>188</v>
      </c>
      <c r="G260">
        <v>14767.2</v>
      </c>
      <c r="H260" s="116">
        <f t="shared" si="5"/>
        <v>14767.2</v>
      </c>
      <c r="I260" s="230">
        <f>IF("generated"=1, "Path=MMRBEM_7_DOWN, Scaled Offset=14767.20000000000072759576141834259", 15046.2467686457)</f>
        <v>15046.2467686457</v>
      </c>
      <c r="J260" t="s">
        <v>248</v>
      </c>
    </row>
    <row r="261" spans="1:28" ht="15" x14ac:dyDescent="0.25">
      <c r="A261" s="224" t="s">
        <v>129</v>
      </c>
      <c r="B261">
        <v>75254</v>
      </c>
      <c r="C261" t="s">
        <v>632</v>
      </c>
      <c r="D261" s="93" t="s">
        <v>920</v>
      </c>
      <c r="E261" s="115" t="s">
        <v>188</v>
      </c>
      <c r="G261">
        <v>14770.2</v>
      </c>
      <c r="H261" s="116">
        <f t="shared" si="5"/>
        <v>14770.2</v>
      </c>
      <c r="I261" s="230">
        <f>IF("generated"=1, "Path=MMRBEM_7_DOWN, Scaled Offset=14770.20000000000072759576141834259", 15049.1897574948)</f>
        <v>15049.1897574948</v>
      </c>
      <c r="J261" t="s">
        <v>248</v>
      </c>
    </row>
    <row r="262" spans="1:28" ht="15" x14ac:dyDescent="0.25">
      <c r="A262" s="224" t="s">
        <v>129</v>
      </c>
      <c r="B262">
        <v>75255</v>
      </c>
      <c r="C262" t="s">
        <v>633</v>
      </c>
      <c r="D262" s="93" t="s">
        <v>920</v>
      </c>
      <c r="E262" s="115" t="s">
        <v>188</v>
      </c>
      <c r="G262">
        <v>14790.12</v>
      </c>
      <c r="H262" s="116">
        <f t="shared" si="5"/>
        <v>14790.12</v>
      </c>
      <c r="I262" s="230">
        <f>IF("generated"=1, "Path=MMRBEM_7_DOWN, Scaled Offset=14790.120000000000800355337560176849", 15068.7312034533)</f>
        <v>15068.731203453301</v>
      </c>
      <c r="J262" t="s">
        <v>248</v>
      </c>
    </row>
    <row r="263" spans="1:28" ht="15" x14ac:dyDescent="0.25">
      <c r="A263" s="224" t="s">
        <v>129</v>
      </c>
      <c r="B263">
        <v>75256</v>
      </c>
      <c r="C263" t="s">
        <v>634</v>
      </c>
      <c r="D263" s="93" t="s">
        <v>920</v>
      </c>
      <c r="E263" s="115" t="s">
        <v>188</v>
      </c>
      <c r="G263">
        <v>14793.12</v>
      </c>
      <c r="H263" s="116">
        <f t="shared" si="5"/>
        <v>14793.12</v>
      </c>
      <c r="I263" s="230">
        <f>IF("generated"=1, "Path=MMRBEM_7_DOWN, Scaled Offset=14793.120000000000800355337560176849", 15071.6741923025)</f>
        <v>15071.6741923025</v>
      </c>
      <c r="J263" t="s">
        <v>248</v>
      </c>
      <c r="AB263" s="21">
        <v>257</v>
      </c>
    </row>
    <row r="264" spans="1:28" ht="15" x14ac:dyDescent="0.25">
      <c r="A264" s="224" t="s">
        <v>129</v>
      </c>
      <c r="B264">
        <v>75257</v>
      </c>
      <c r="C264" t="s">
        <v>635</v>
      </c>
      <c r="D264" s="93" t="s">
        <v>920</v>
      </c>
      <c r="E264" s="115" t="s">
        <v>188</v>
      </c>
      <c r="G264">
        <v>14845.54</v>
      </c>
      <c r="H264" s="116">
        <f t="shared" si="5"/>
        <v>14845.54</v>
      </c>
      <c r="I264" s="230">
        <f>IF("generated"=1, "Path=MMRBEM_7_DOWN, Scaled Offset=14845.540000000000873114913702011108", 15123.0980174604)</f>
        <v>15123.098017460399</v>
      </c>
      <c r="J264" t="s">
        <v>248</v>
      </c>
      <c r="AB264" s="21">
        <v>258</v>
      </c>
    </row>
    <row r="265" spans="1:28" ht="15" x14ac:dyDescent="0.25">
      <c r="A265" s="224" t="s">
        <v>129</v>
      </c>
      <c r="B265">
        <v>75258</v>
      </c>
      <c r="C265" t="s">
        <v>636</v>
      </c>
      <c r="D265" s="93" t="s">
        <v>920</v>
      </c>
      <c r="E265" s="115" t="s">
        <v>188</v>
      </c>
      <c r="G265">
        <v>14895.5</v>
      </c>
      <c r="H265" s="116">
        <f t="shared" si="5"/>
        <v>14895.5</v>
      </c>
      <c r="I265" s="230">
        <f>IF("generated"=1, "Path=MMRBEM_7_DOWN, Scaled Offset=14895.5", 15172.1085917619)</f>
        <v>15172.1085917619</v>
      </c>
      <c r="J265" t="s">
        <v>248</v>
      </c>
      <c r="AB265" s="21">
        <v>259</v>
      </c>
    </row>
    <row r="266" spans="1:28" ht="15" x14ac:dyDescent="0.25">
      <c r="A266" s="224" t="s">
        <v>129</v>
      </c>
      <c r="B266">
        <v>75259</v>
      </c>
      <c r="C266" t="s">
        <v>637</v>
      </c>
      <c r="D266" s="93" t="s">
        <v>920</v>
      </c>
      <c r="E266" s="115" t="s">
        <v>188</v>
      </c>
      <c r="G266">
        <v>14916.5</v>
      </c>
      <c r="H266" s="116">
        <f t="shared" si="5"/>
        <v>14916.5</v>
      </c>
      <c r="I266" s="230">
        <f>IF("generated"=1, "Path=MMRBEM_7_DOWN, Scaled Offset=14916.5", 15192.7095137061)</f>
        <v>15192.709513706101</v>
      </c>
      <c r="J266" t="s">
        <v>248</v>
      </c>
      <c r="AB266" s="21">
        <v>260</v>
      </c>
    </row>
    <row r="267" spans="1:28" ht="15" x14ac:dyDescent="0.25">
      <c r="A267" s="224" t="s">
        <v>129</v>
      </c>
      <c r="B267">
        <v>75260</v>
      </c>
      <c r="C267" t="s">
        <v>638</v>
      </c>
      <c r="D267" s="93" t="s">
        <v>920</v>
      </c>
      <c r="E267" s="115" t="s">
        <v>188</v>
      </c>
      <c r="G267">
        <v>14937.5</v>
      </c>
      <c r="H267" s="116">
        <f t="shared" si="5"/>
        <v>14937.5</v>
      </c>
      <c r="I267" s="230">
        <f>IF("generated"=1, "Path=MMRBEM_7_DOWN, Scaled Offset=14937.5", 15213.3104356503)</f>
        <v>15213.310435650301</v>
      </c>
      <c r="J267" t="s">
        <v>248</v>
      </c>
      <c r="AB267" s="21">
        <v>261</v>
      </c>
    </row>
    <row r="268" spans="1:28" ht="15" x14ac:dyDescent="0.25">
      <c r="A268" s="224" t="s">
        <v>129</v>
      </c>
      <c r="B268">
        <v>75261</v>
      </c>
      <c r="C268" t="s">
        <v>639</v>
      </c>
      <c r="D268" s="93" t="s">
        <v>920</v>
      </c>
      <c r="E268" s="115" t="s">
        <v>188</v>
      </c>
      <c r="G268">
        <v>15120.44</v>
      </c>
      <c r="H268" s="116">
        <f t="shared" si="5"/>
        <v>15120.44</v>
      </c>
      <c r="I268" s="230">
        <f>IF("generated"=1, "Path=MMRBEM_7_DOWN, Scaled Offset=15120.440000000000509317032992839813", 15382.5662555566)</f>
        <v>15382.5662555566</v>
      </c>
      <c r="J268" t="s">
        <v>248</v>
      </c>
      <c r="AB268" s="21">
        <v>262</v>
      </c>
    </row>
    <row r="269" spans="1:28" ht="15" x14ac:dyDescent="0.25">
      <c r="A269" s="224" t="s">
        <v>129</v>
      </c>
      <c r="B269">
        <v>75262</v>
      </c>
      <c r="C269" t="s">
        <v>640</v>
      </c>
      <c r="D269" s="93" t="s">
        <v>920</v>
      </c>
      <c r="E269" s="115" t="s">
        <v>188</v>
      </c>
      <c r="G269">
        <v>15176.44</v>
      </c>
      <c r="H269" s="116">
        <f t="shared" si="5"/>
        <v>15176.44</v>
      </c>
      <c r="I269" s="230">
        <f>IF("generated"=1, "Path=MMRBEM_7_DOWN, Scaled Offset=15176.440000000000509317032992839813", 15434.1646592334)</f>
        <v>15434.1646592334</v>
      </c>
      <c r="J269" t="s">
        <v>248</v>
      </c>
      <c r="AB269" s="21">
        <v>263</v>
      </c>
    </row>
    <row r="270" spans="1:28" ht="15" x14ac:dyDescent="0.25">
      <c r="A270" s="224" t="s">
        <v>129</v>
      </c>
      <c r="B270">
        <v>75263</v>
      </c>
      <c r="C270" t="s">
        <v>641</v>
      </c>
      <c r="D270" s="93" t="s">
        <v>920</v>
      </c>
      <c r="E270" s="115" t="s">
        <v>188</v>
      </c>
      <c r="G270">
        <v>15219.42</v>
      </c>
      <c r="H270" s="116">
        <f t="shared" si="5"/>
        <v>15219.42</v>
      </c>
      <c r="I270" s="230">
        <f>IF("generated"=1, "Path=MMRBEM_7_DOWN, Scaled Offset=15219.420000000000072759576141834259", 15473.7664340554)</f>
        <v>15473.7664340554</v>
      </c>
      <c r="J270" t="s">
        <v>248</v>
      </c>
      <c r="AB270" s="21">
        <v>264</v>
      </c>
    </row>
    <row r="271" spans="1:28" ht="15" x14ac:dyDescent="0.25">
      <c r="A271" s="224" t="s">
        <v>129</v>
      </c>
      <c r="B271">
        <v>75264</v>
      </c>
      <c r="C271" t="s">
        <v>642</v>
      </c>
      <c r="D271" s="93" t="s">
        <v>920</v>
      </c>
      <c r="E271" s="115" t="s">
        <v>188</v>
      </c>
      <c r="G271">
        <v>15290.4</v>
      </c>
      <c r="H271" s="116">
        <f t="shared" si="5"/>
        <v>15290.4</v>
      </c>
      <c r="I271" s="230">
        <f>IF("generated"=1, "Path=MMRBEM_7_DOWN, Scaled Offset=15290.399999999999636202119290828705", 15539.1674107157)</f>
        <v>15539.1674107157</v>
      </c>
      <c r="J271" t="s">
        <v>248</v>
      </c>
      <c r="AB271" s="21">
        <v>265</v>
      </c>
    </row>
    <row r="272" spans="1:28" ht="15" x14ac:dyDescent="0.25">
      <c r="A272" s="224" t="s">
        <v>129</v>
      </c>
      <c r="B272">
        <v>75265</v>
      </c>
      <c r="C272" t="s">
        <v>643</v>
      </c>
      <c r="D272" s="93" t="s">
        <v>920</v>
      </c>
      <c r="E272" s="115" t="s">
        <v>188</v>
      </c>
      <c r="G272">
        <v>15344.92</v>
      </c>
      <c r="H272" s="116">
        <f t="shared" si="5"/>
        <v>15344.92</v>
      </c>
      <c r="I272" s="230">
        <f>IF("generated"=1, "Path=MMRBEM_7_DOWN, Scaled Offset=15344.920000000000072759576141834259", 15589.4021422954)</f>
        <v>15589.402142295399</v>
      </c>
      <c r="J272" t="s">
        <v>248</v>
      </c>
      <c r="AB272" s="21">
        <v>266</v>
      </c>
    </row>
    <row r="273" spans="1:28" ht="15" x14ac:dyDescent="0.25">
      <c r="A273" s="224" t="s">
        <v>129</v>
      </c>
      <c r="B273">
        <v>75266</v>
      </c>
      <c r="C273" t="s">
        <v>644</v>
      </c>
      <c r="D273" s="93" t="s">
        <v>920</v>
      </c>
      <c r="E273" s="115" t="s">
        <v>188</v>
      </c>
      <c r="G273">
        <v>15418</v>
      </c>
      <c r="H273" s="116">
        <f t="shared" si="5"/>
        <v>15418</v>
      </c>
      <c r="I273" s="230">
        <f>IF("generated"=1, "Path=MMRBEM_7_DOWN, Scaled Offset=15418", 15656.7380590936)</f>
        <v>15656.738059093601</v>
      </c>
      <c r="J273" t="s">
        <v>248</v>
      </c>
      <c r="AB273" s="21">
        <v>267</v>
      </c>
    </row>
    <row r="274" spans="1:28" ht="15" x14ac:dyDescent="0.25">
      <c r="A274" s="224" t="s">
        <v>129</v>
      </c>
      <c r="B274">
        <v>75546</v>
      </c>
      <c r="C274" t="s">
        <v>1039</v>
      </c>
      <c r="D274" s="93" t="s">
        <v>920</v>
      </c>
      <c r="E274" s="115" t="s">
        <v>188</v>
      </c>
      <c r="G274">
        <v>15437</v>
      </c>
      <c r="H274" s="116">
        <f t="shared" si="5"/>
        <v>15437</v>
      </c>
      <c r="I274" s="230">
        <f>IF("generated"=1, "Path=MMRBEM_7_DOWN, Scaled Offset=15437", 15674.2446603411)</f>
        <v>15674.244660341101</v>
      </c>
      <c r="J274" t="s">
        <v>248</v>
      </c>
      <c r="AB274" s="21"/>
    </row>
    <row r="275" spans="1:28" ht="15" x14ac:dyDescent="0.25">
      <c r="A275" s="224" t="s">
        <v>129</v>
      </c>
      <c r="B275">
        <v>75547</v>
      </c>
      <c r="C275" t="s">
        <v>1038</v>
      </c>
      <c r="D275" s="93" t="s">
        <v>920</v>
      </c>
      <c r="E275" s="115" t="s">
        <v>188</v>
      </c>
      <c r="G275">
        <v>15458</v>
      </c>
      <c r="H275" s="116">
        <f t="shared" si="5"/>
        <v>15458</v>
      </c>
      <c r="I275" s="230">
        <f>IF("generated"=1, "Path=MMRBEM_7_DOWN, Scaled Offset=15458", 15697.6868918747)</f>
        <v>15697.6868918747</v>
      </c>
      <c r="J275" t="s">
        <v>248</v>
      </c>
      <c r="AB275" s="21"/>
    </row>
    <row r="276" spans="1:28" ht="15" x14ac:dyDescent="0.25">
      <c r="A276" s="224" t="s">
        <v>129</v>
      </c>
      <c r="B276">
        <v>75548</v>
      </c>
      <c r="C276" t="s">
        <v>1040</v>
      </c>
      <c r="D276" s="93" t="s">
        <v>920</v>
      </c>
      <c r="E276" s="115" t="s">
        <v>188</v>
      </c>
      <c r="G276">
        <v>15480.89</v>
      </c>
      <c r="H276" s="116">
        <f t="shared" si="5"/>
        <v>15480.89</v>
      </c>
      <c r="I276" s="230">
        <f>IF("generated"=1, "Path=MMRBEM_7_DOWN, Scaled Offset=15480.889999999999417923390865325928", 15726.9101076277)</f>
        <v>15726.9101076277</v>
      </c>
      <c r="J276" t="s">
        <v>248</v>
      </c>
      <c r="AB276" s="21"/>
    </row>
    <row r="277" spans="1:28" ht="15" x14ac:dyDescent="0.25">
      <c r="A277" s="224" t="s">
        <v>129</v>
      </c>
      <c r="B277">
        <v>75267</v>
      </c>
      <c r="C277" t="s">
        <v>645</v>
      </c>
      <c r="D277" s="93" t="s">
        <v>920</v>
      </c>
      <c r="E277" s="94" t="s">
        <v>187</v>
      </c>
      <c r="G277">
        <v>-488.7</v>
      </c>
      <c r="H277" s="116">
        <f t="shared" si="5"/>
        <v>-488.7</v>
      </c>
      <c r="I277" s="230">
        <f>IF("generated"=1, "Path=MMRBEM_7_UP, Scaled Offset=-488.69999999999998863131622783839703", 36.6710789294943)</f>
        <v>36.6710789294943</v>
      </c>
      <c r="J277" t="s">
        <v>248</v>
      </c>
      <c r="AB277" s="21">
        <v>268</v>
      </c>
    </row>
    <row r="278" spans="1:28" ht="15" x14ac:dyDescent="0.25">
      <c r="A278" s="224" t="s">
        <v>129</v>
      </c>
      <c r="B278">
        <v>75268</v>
      </c>
      <c r="C278" t="s">
        <v>516</v>
      </c>
      <c r="D278" s="93" t="s">
        <v>920</v>
      </c>
      <c r="E278" s="94" t="s">
        <v>187</v>
      </c>
      <c r="G278">
        <v>-458.77</v>
      </c>
      <c r="H278" s="116">
        <f t="shared" si="5"/>
        <v>-458.77</v>
      </c>
      <c r="I278" s="230">
        <f>IF("generated"=1, "Path=MMRBEM_7_UP, Scaled Offset=-458.76999999999998181010596454143524", 66.1755249606709)</f>
        <v>66.175524960670899</v>
      </c>
      <c r="J278" t="s">
        <v>248</v>
      </c>
      <c r="AB278" s="21">
        <v>269</v>
      </c>
    </row>
    <row r="279" spans="1:28" ht="15" x14ac:dyDescent="0.25">
      <c r="A279" s="224" t="s">
        <v>129</v>
      </c>
      <c r="B279">
        <v>75269</v>
      </c>
      <c r="C279" t="s">
        <v>517</v>
      </c>
      <c r="D279" s="93" t="s">
        <v>920</v>
      </c>
      <c r="E279" s="94" t="s">
        <v>187</v>
      </c>
      <c r="G279">
        <v>-412.93</v>
      </c>
      <c r="H279" s="116">
        <f t="shared" si="5"/>
        <v>-412.93</v>
      </c>
      <c r="I279" s="230">
        <f>IF("generated"=1, "Path=MMRBEM_7_UP, Scaled Offset=-412.93000000000000682121026329696178", 111.363757706047)</f>
        <v>111.363757706047</v>
      </c>
      <c r="J279" t="s">
        <v>248</v>
      </c>
      <c r="AB279" s="21">
        <v>270</v>
      </c>
    </row>
    <row r="280" spans="1:28" ht="15" x14ac:dyDescent="0.25">
      <c r="A280" s="224" t="s">
        <v>129</v>
      </c>
      <c r="B280">
        <v>75270</v>
      </c>
      <c r="C280" t="s">
        <v>646</v>
      </c>
      <c r="D280" s="93" t="s">
        <v>920</v>
      </c>
      <c r="E280" s="94" t="s">
        <v>187</v>
      </c>
      <c r="G280">
        <v>-371.98</v>
      </c>
      <c r="H280" s="116">
        <f t="shared" si="5"/>
        <v>-371.98</v>
      </c>
      <c r="I280" s="230">
        <f>IF("generated"=1, "Path=MMRBEM_7_UP, Scaled Offset=-371.98000000000001818989403545856476", 151.731517979241)</f>
        <v>151.731517979241</v>
      </c>
      <c r="J280" t="s">
        <v>248</v>
      </c>
      <c r="AB280" s="21">
        <v>271</v>
      </c>
    </row>
    <row r="281" spans="1:28" ht="15" x14ac:dyDescent="0.25">
      <c r="A281" s="224" t="s">
        <v>129</v>
      </c>
      <c r="B281">
        <v>75271</v>
      </c>
      <c r="C281" t="s">
        <v>518</v>
      </c>
      <c r="D281" s="93" t="s">
        <v>920</v>
      </c>
      <c r="E281" s="94" t="s">
        <v>187</v>
      </c>
      <c r="G281">
        <v>-316.81</v>
      </c>
      <c r="H281" s="116">
        <f t="shared" si="5"/>
        <v>-316.81</v>
      </c>
      <c r="I281" s="230">
        <f>IF("generated"=1, "Path=MMRBEM_7_UP, Scaled Offset=-316.81000000000000227373675443232059", 206.117093907741)</f>
        <v>206.11709390774101</v>
      </c>
      <c r="J281" t="s">
        <v>248</v>
      </c>
      <c r="AB281" s="21">
        <v>272</v>
      </c>
    </row>
    <row r="282" spans="1:28" ht="15" x14ac:dyDescent="0.25">
      <c r="A282" s="224" t="s">
        <v>129</v>
      </c>
      <c r="B282">
        <v>75272</v>
      </c>
      <c r="C282" t="s">
        <v>647</v>
      </c>
      <c r="D282" s="93" t="s">
        <v>920</v>
      </c>
      <c r="E282" s="94" t="s">
        <v>187</v>
      </c>
      <c r="G282">
        <v>-280.93</v>
      </c>
      <c r="H282" s="116">
        <f t="shared" si="5"/>
        <v>-280.93</v>
      </c>
      <c r="I282" s="230">
        <f>IF("generated"=1, "Path=MMRBEM_7_UP, Scaled Offset=-280.93000000000000682121026329696178", 241.486941004253)</f>
        <v>241.486941004253</v>
      </c>
      <c r="J282" t="s">
        <v>248</v>
      </c>
      <c r="AB282" s="21">
        <v>273</v>
      </c>
    </row>
    <row r="283" spans="1:28" ht="15" x14ac:dyDescent="0.25">
      <c r="A283" s="224" t="s">
        <v>129</v>
      </c>
      <c r="B283">
        <v>75273</v>
      </c>
      <c r="C283" t="s">
        <v>648</v>
      </c>
      <c r="D283" s="93" t="s">
        <v>920</v>
      </c>
      <c r="E283" s="94" t="s">
        <v>187</v>
      </c>
      <c r="G283">
        <v>-192</v>
      </c>
      <c r="H283" s="116">
        <f t="shared" si="5"/>
        <v>-192</v>
      </c>
      <c r="I283" s="230">
        <f>IF("generated"=1, "Path=MMRBEM_7_UP, Scaled Offset=-192", 327.973857208634)</f>
        <v>327.973857208634</v>
      </c>
      <c r="J283" t="s">
        <v>248</v>
      </c>
      <c r="AB283" s="21">
        <v>274</v>
      </c>
    </row>
    <row r="284" spans="1:28" ht="15" x14ac:dyDescent="0.25">
      <c r="A284" s="224" t="s">
        <v>129</v>
      </c>
      <c r="B284">
        <v>75274</v>
      </c>
      <c r="C284" t="s">
        <v>649</v>
      </c>
      <c r="D284" s="93" t="s">
        <v>920</v>
      </c>
      <c r="E284" s="94" t="s">
        <v>187</v>
      </c>
      <c r="G284">
        <v>-171</v>
      </c>
      <c r="H284" s="116">
        <f t="shared" si="5"/>
        <v>-171</v>
      </c>
      <c r="I284" s="230">
        <f>IF("generated"=1, "Path=MMRBEM_7_UP, Scaled Offset=-171", 348.642020103923)</f>
        <v>348.64202010392302</v>
      </c>
      <c r="J284" t="s">
        <v>248</v>
      </c>
      <c r="AB284" s="21">
        <v>275</v>
      </c>
    </row>
    <row r="285" spans="1:28" ht="15" x14ac:dyDescent="0.25">
      <c r="A285" s="224" t="s">
        <v>129</v>
      </c>
      <c r="B285">
        <v>75275</v>
      </c>
      <c r="C285" t="s">
        <v>650</v>
      </c>
      <c r="D285" s="93" t="s">
        <v>920</v>
      </c>
      <c r="E285" s="94" t="s">
        <v>187</v>
      </c>
      <c r="G285">
        <v>-150</v>
      </c>
      <c r="H285" s="116">
        <f t="shared" si="5"/>
        <v>-150</v>
      </c>
      <c r="I285" s="230">
        <f>IF("generated"=1, "Path=MMRBEM_7_UP, Scaled Offset=-150", 369.310182999212)</f>
        <v>369.31018299921197</v>
      </c>
      <c r="J285" t="s">
        <v>248</v>
      </c>
      <c r="AB285" s="21">
        <v>276</v>
      </c>
    </row>
    <row r="286" spans="1:28" ht="15" x14ac:dyDescent="0.25">
      <c r="A286" s="224" t="s">
        <v>129</v>
      </c>
      <c r="B286">
        <v>75276</v>
      </c>
      <c r="C286" t="s">
        <v>651</v>
      </c>
      <c r="D286" s="93" t="s">
        <v>920</v>
      </c>
      <c r="E286" s="94" t="s">
        <v>187</v>
      </c>
      <c r="G286">
        <v>-124.6</v>
      </c>
      <c r="H286" s="116">
        <f t="shared" si="5"/>
        <v>-124.6</v>
      </c>
      <c r="I286" s="230">
        <f>IF("generated"=1, "Path=MMRBEM_7_UP, Scaled Offset=-124.59999999999999431565811391919851", 394.308818120182)</f>
        <v>394.30881812018202</v>
      </c>
      <c r="J286" t="s">
        <v>248</v>
      </c>
      <c r="AB286" s="21">
        <v>277</v>
      </c>
    </row>
    <row r="287" spans="1:28" ht="15" x14ac:dyDescent="0.25">
      <c r="A287" s="224" t="s">
        <v>129</v>
      </c>
      <c r="B287">
        <v>75277</v>
      </c>
      <c r="C287" t="s">
        <v>519</v>
      </c>
      <c r="D287" s="93" t="s">
        <v>920</v>
      </c>
      <c r="E287" s="94" t="s">
        <v>187</v>
      </c>
      <c r="G287">
        <v>-109.74</v>
      </c>
      <c r="H287" s="116">
        <f t="shared" si="5"/>
        <v>-109.74</v>
      </c>
      <c r="I287" s="230">
        <f>IF("generated"=1, "Path=MMRBEM_7_UP, Scaled Offset=-109.73999999999999488409230252727866", 408.934003864182)</f>
        <v>408.93400386418199</v>
      </c>
      <c r="J287" t="s">
        <v>248</v>
      </c>
      <c r="AB287" s="21">
        <v>278</v>
      </c>
    </row>
    <row r="288" spans="1:28" ht="15" x14ac:dyDescent="0.25">
      <c r="A288" s="224" t="s">
        <v>129</v>
      </c>
      <c r="B288">
        <v>75278</v>
      </c>
      <c r="C288" t="s">
        <v>520</v>
      </c>
      <c r="D288" s="93" t="s">
        <v>920</v>
      </c>
      <c r="E288" s="94" t="s">
        <v>187</v>
      </c>
      <c r="G288">
        <v>-106.74</v>
      </c>
      <c r="H288" s="116">
        <f t="shared" si="5"/>
        <v>-106.74</v>
      </c>
      <c r="I288" s="230">
        <f>IF("generated"=1, "Path=MMRBEM_7_UP, Scaled Offset=-106.73999999999999488409230252727866", 411.886598563509)</f>
        <v>411.88659856350898</v>
      </c>
      <c r="J288" t="s">
        <v>248</v>
      </c>
      <c r="AB288" s="21">
        <v>279</v>
      </c>
    </row>
    <row r="289" spans="1:28" ht="15" x14ac:dyDescent="0.25">
      <c r="A289" s="224" t="s">
        <v>129</v>
      </c>
      <c r="B289">
        <v>75279</v>
      </c>
      <c r="C289" t="s">
        <v>521</v>
      </c>
      <c r="D289" s="93" t="s">
        <v>920</v>
      </c>
      <c r="E289" s="94" t="s">
        <v>187</v>
      </c>
      <c r="G289">
        <v>-86.82</v>
      </c>
      <c r="H289" s="116">
        <f t="shared" si="5"/>
        <v>-86.82</v>
      </c>
      <c r="I289" s="230">
        <f>IF("generated"=1, "Path=MMRBEM_7_UP, Scaled Offset=-86.819999999999993178789736703038216", 431.49182736704)</f>
        <v>431.49182736704</v>
      </c>
      <c r="J289" t="s">
        <v>248</v>
      </c>
      <c r="AB289" s="21">
        <v>280</v>
      </c>
    </row>
    <row r="290" spans="1:28" ht="15" x14ac:dyDescent="0.25">
      <c r="A290" s="224" t="s">
        <v>129</v>
      </c>
      <c r="B290">
        <v>75280</v>
      </c>
      <c r="C290" t="s">
        <v>652</v>
      </c>
      <c r="D290" s="93" t="s">
        <v>920</v>
      </c>
      <c r="E290" s="94" t="s">
        <v>187</v>
      </c>
      <c r="G290">
        <v>-83.82</v>
      </c>
      <c r="H290" s="116">
        <f t="shared" si="5"/>
        <v>-83.82</v>
      </c>
      <c r="I290" s="230">
        <f>IF("generated"=1, "Path=MMRBEM_7_UP, Scaled Offset=-83.819999999999993178789736703038216", 434.444422066368)</f>
        <v>434.44442206636802</v>
      </c>
      <c r="J290" t="s">
        <v>248</v>
      </c>
      <c r="AB290" s="21">
        <v>281</v>
      </c>
    </row>
    <row r="291" spans="1:28" ht="15" x14ac:dyDescent="0.25">
      <c r="A291" s="224" t="s">
        <v>129</v>
      </c>
      <c r="B291">
        <v>75281</v>
      </c>
      <c r="C291" t="s">
        <v>653</v>
      </c>
      <c r="D291" s="93" t="s">
        <v>920</v>
      </c>
      <c r="E291" s="94" t="s">
        <v>187</v>
      </c>
      <c r="G291">
        <v>-25.8</v>
      </c>
      <c r="H291" s="116">
        <f t="shared" si="5"/>
        <v>-25.8</v>
      </c>
      <c r="I291" s="230">
        <f>IF("generated"=1, "Path=MMRBEM_7_UP, Scaled Offset=-25.800000000000000710542735760100186", 491.547603551353)</f>
        <v>491.54760355135301</v>
      </c>
      <c r="J291" t="s">
        <v>248</v>
      </c>
      <c r="AB291" s="21">
        <v>282</v>
      </c>
    </row>
    <row r="292" spans="1:28" ht="15" x14ac:dyDescent="0.25">
      <c r="A292" s="224" t="s">
        <v>129</v>
      </c>
      <c r="B292">
        <v>75282</v>
      </c>
      <c r="C292" t="s">
        <v>522</v>
      </c>
      <c r="D292" s="93" t="s">
        <v>920</v>
      </c>
      <c r="E292" s="94" t="s">
        <v>187</v>
      </c>
      <c r="G292">
        <v>9.2899999999999991</v>
      </c>
      <c r="H292" s="116">
        <f t="shared" si="5"/>
        <v>9.2899999999999991</v>
      </c>
      <c r="I292" s="230">
        <f>IF("generated"=1, "Path=MMRBEM_7_UP, Scaled Offset=9.289999999999999147348717087879777", 526.083119551148)</f>
        <v>526.083119551148</v>
      </c>
      <c r="J292" t="s">
        <v>248</v>
      </c>
      <c r="AB292" s="21">
        <v>283</v>
      </c>
    </row>
    <row r="293" spans="1:28" ht="15" x14ac:dyDescent="0.25">
      <c r="A293" s="224" t="s">
        <v>129</v>
      </c>
      <c r="B293">
        <v>75283</v>
      </c>
      <c r="C293" t="s">
        <v>654</v>
      </c>
      <c r="D293" s="93" t="s">
        <v>920</v>
      </c>
      <c r="E293" s="94" t="s">
        <v>187</v>
      </c>
      <c r="G293">
        <v>12.29</v>
      </c>
      <c r="H293" s="116">
        <f t="shared" si="5"/>
        <v>12.29</v>
      </c>
      <c r="I293" s="230">
        <f>IF("generated"=1, "Path=MMRBEM_7_UP, Scaled Offset=12.289999999999999147348717087879777", 529.035714250476)</f>
        <v>529.03571425047596</v>
      </c>
      <c r="J293" t="s">
        <v>248</v>
      </c>
      <c r="AB293" s="21">
        <v>284</v>
      </c>
    </row>
    <row r="294" spans="1:28" ht="15" x14ac:dyDescent="0.25">
      <c r="A294" s="224" t="s">
        <v>129</v>
      </c>
      <c r="B294">
        <v>75284</v>
      </c>
      <c r="C294" t="s">
        <v>655</v>
      </c>
      <c r="D294" s="93" t="s">
        <v>920</v>
      </c>
      <c r="E294" s="94" t="s">
        <v>187</v>
      </c>
      <c r="G294">
        <v>32.21</v>
      </c>
      <c r="H294" s="116">
        <f t="shared" si="5"/>
        <v>32.21</v>
      </c>
      <c r="I294" s="230">
        <f>IF("generated"=1, "Path=MMRBEM_7_UP, Scaled Offset=32.210000000000000852651282912120223", 548.640943054007)</f>
        <v>548.64094305400704</v>
      </c>
      <c r="J294" t="s">
        <v>248</v>
      </c>
      <c r="AB294" s="21">
        <v>285</v>
      </c>
    </row>
    <row r="295" spans="1:28" ht="15" x14ac:dyDescent="0.25">
      <c r="A295" s="224" t="s">
        <v>129</v>
      </c>
      <c r="B295">
        <v>75285</v>
      </c>
      <c r="C295" t="s">
        <v>656</v>
      </c>
      <c r="D295" s="93" t="s">
        <v>920</v>
      </c>
      <c r="E295" s="94" t="s">
        <v>187</v>
      </c>
      <c r="G295">
        <v>35.21</v>
      </c>
      <c r="H295" s="116">
        <f t="shared" si="5"/>
        <v>35.21</v>
      </c>
      <c r="I295" s="230">
        <f>IF("generated"=1, "Path=MMRBEM_7_UP, Scaled Offset=35.210000000000000852651282912120223", 551.593537753334)</f>
        <v>551.59353775333398</v>
      </c>
      <c r="J295" t="s">
        <v>248</v>
      </c>
      <c r="AB295" s="21">
        <v>286</v>
      </c>
    </row>
    <row r="296" spans="1:28" ht="15" x14ac:dyDescent="0.25">
      <c r="A296" s="224" t="s">
        <v>129</v>
      </c>
      <c r="B296">
        <v>75286</v>
      </c>
      <c r="C296" t="s">
        <v>657</v>
      </c>
      <c r="D296" s="93" t="s">
        <v>920</v>
      </c>
      <c r="E296" s="94" t="s">
        <v>187</v>
      </c>
      <c r="G296">
        <v>87.63</v>
      </c>
      <c r="H296" s="116">
        <f t="shared" si="5"/>
        <v>87.63</v>
      </c>
      <c r="I296" s="230">
        <f>IF("generated"=1, "Path=MMRBEM_7_UP, Scaled Offset=87.62999999999999545252649113535881", 603.185209132909)</f>
        <v>603.18520913290899</v>
      </c>
      <c r="J296" t="s">
        <v>248</v>
      </c>
      <c r="AB296" s="21">
        <v>287</v>
      </c>
    </row>
    <row r="297" spans="1:28" ht="15" x14ac:dyDescent="0.25">
      <c r="A297" s="224" t="s">
        <v>129</v>
      </c>
      <c r="B297">
        <v>75287</v>
      </c>
      <c r="C297" t="s">
        <v>658</v>
      </c>
      <c r="D297" s="93" t="s">
        <v>920</v>
      </c>
      <c r="E297" s="94" t="s">
        <v>187</v>
      </c>
      <c r="G297">
        <v>167</v>
      </c>
      <c r="H297" s="116">
        <f t="shared" si="5"/>
        <v>167</v>
      </c>
      <c r="I297" s="230">
        <f>IF("generated"=1, "Path=MMRBEM_7_UP, Scaled Offset=167", 681.301022894772)</f>
        <v>681.30102289477202</v>
      </c>
      <c r="J297" t="s">
        <v>248</v>
      </c>
      <c r="AB297" s="21">
        <v>288</v>
      </c>
    </row>
    <row r="298" spans="1:28" ht="15" x14ac:dyDescent="0.25">
      <c r="A298" s="224" t="s">
        <v>129</v>
      </c>
      <c r="B298">
        <v>75288</v>
      </c>
      <c r="C298" t="s">
        <v>659</v>
      </c>
      <c r="D298" s="93" t="s">
        <v>920</v>
      </c>
      <c r="E298" s="94" t="s">
        <v>187</v>
      </c>
      <c r="G298">
        <v>188</v>
      </c>
      <c r="H298" s="116">
        <f t="shared" si="5"/>
        <v>188</v>
      </c>
      <c r="I298" s="230">
        <f>IF("generated"=1, "Path=MMRBEM_7_UP, Scaled Offset=188", 701.969185790062)</f>
        <v>701.96918579006206</v>
      </c>
      <c r="J298" t="s">
        <v>248</v>
      </c>
      <c r="AB298" s="21">
        <v>289</v>
      </c>
    </row>
    <row r="299" spans="1:28" ht="15" x14ac:dyDescent="0.25">
      <c r="A299" s="224" t="s">
        <v>129</v>
      </c>
      <c r="B299">
        <v>75289</v>
      </c>
      <c r="C299" t="s">
        <v>660</v>
      </c>
      <c r="D299" s="93" t="s">
        <v>920</v>
      </c>
      <c r="E299" s="94" t="s">
        <v>187</v>
      </c>
      <c r="G299">
        <v>308</v>
      </c>
      <c r="H299" s="116">
        <f t="shared" si="5"/>
        <v>308</v>
      </c>
      <c r="I299" s="230">
        <f>IF("generated"=1, "Path=MMRBEM_7_UP, Scaled Offset=308", 820.066657621172)</f>
        <v>820.066657621172</v>
      </c>
      <c r="J299" t="s">
        <v>248</v>
      </c>
      <c r="AB299" s="21">
        <v>290</v>
      </c>
    </row>
    <row r="300" spans="1:28" ht="15" x14ac:dyDescent="0.25">
      <c r="A300" s="224" t="s">
        <v>129</v>
      </c>
      <c r="B300">
        <v>75290</v>
      </c>
      <c r="C300" t="s">
        <v>661</v>
      </c>
      <c r="D300" s="93" t="s">
        <v>920</v>
      </c>
      <c r="E300" s="94" t="s">
        <v>187</v>
      </c>
      <c r="G300">
        <v>442.47</v>
      </c>
      <c r="H300" s="116">
        <f t="shared" si="5"/>
        <v>442.47</v>
      </c>
      <c r="I300" s="230">
        <f>IF("generated"=1, "Path=MMRBEM_7_UP, Scaled Offset=442.47000000000002728484105318784714", 952.391562211929)</f>
        <v>952.391562211929</v>
      </c>
      <c r="J300" t="s">
        <v>248</v>
      </c>
      <c r="AB300" s="21">
        <v>291</v>
      </c>
    </row>
    <row r="301" spans="1:28" ht="15" x14ac:dyDescent="0.25">
      <c r="A301" s="224" t="s">
        <v>129</v>
      </c>
      <c r="B301">
        <v>75291</v>
      </c>
      <c r="C301" t="s">
        <v>662</v>
      </c>
      <c r="D301" s="93" t="s">
        <v>920</v>
      </c>
      <c r="E301" s="94" t="s">
        <v>187</v>
      </c>
      <c r="G301">
        <v>529.03</v>
      </c>
      <c r="H301" s="116">
        <f t="shared" si="5"/>
        <v>529.03</v>
      </c>
      <c r="I301" s="230">
        <f>IF("generated"=1, "Path=MMRBEM_7_UP, Scaled Offset=529.02999999999997271515894681215286", 1037.57073780035)</f>
        <v>1037.5707378003499</v>
      </c>
      <c r="J301" t="s">
        <v>248</v>
      </c>
      <c r="AB301" s="21">
        <v>292</v>
      </c>
    </row>
    <row r="302" spans="1:28" ht="15" x14ac:dyDescent="0.25">
      <c r="A302" s="224" t="s">
        <v>129</v>
      </c>
      <c r="B302">
        <v>75292</v>
      </c>
      <c r="C302" t="s">
        <v>663</v>
      </c>
      <c r="D302" s="93" t="s">
        <v>920</v>
      </c>
      <c r="E302" s="94" t="s">
        <v>187</v>
      </c>
      <c r="G302">
        <v>589.51</v>
      </c>
      <c r="H302" s="116">
        <f t="shared" si="5"/>
        <v>589.51</v>
      </c>
      <c r="I302" s="230">
        <f>IF("generated"=1, "Path=MMRBEM_7_UP, Scaled Offset=589.50999999999999090505298227071762", 1097.08594736121)</f>
        <v>1097.0859473612099</v>
      </c>
      <c r="J302" t="s">
        <v>248</v>
      </c>
      <c r="AB302" s="21">
        <v>293</v>
      </c>
    </row>
    <row r="303" spans="1:28" ht="15" x14ac:dyDescent="0.25">
      <c r="A303" s="224" t="s">
        <v>129</v>
      </c>
      <c r="B303">
        <v>75293</v>
      </c>
      <c r="C303" t="s">
        <v>664</v>
      </c>
      <c r="D303" s="93" t="s">
        <v>920</v>
      </c>
      <c r="E303" s="94" t="s">
        <v>187</v>
      </c>
      <c r="G303">
        <v>650.92999999999995</v>
      </c>
      <c r="H303" s="116">
        <f t="shared" si="5"/>
        <v>650.92999999999995</v>
      </c>
      <c r="I303" s="230">
        <f>IF("generated"=1, "Path=MMRBEM_7_UP, Scaled Offset=650.92999999999994997779140248894691", 1157.52616183258)</f>
        <v>1157.5261618325801</v>
      </c>
      <c r="J303" t="s">
        <v>248</v>
      </c>
      <c r="AB303" s="21">
        <v>294</v>
      </c>
    </row>
    <row r="304" spans="1:28" ht="15" x14ac:dyDescent="0.25">
      <c r="A304" s="224" t="s">
        <v>129</v>
      </c>
      <c r="B304">
        <v>75294</v>
      </c>
      <c r="C304" t="s">
        <v>665</v>
      </c>
      <c r="D304" s="93" t="s">
        <v>920</v>
      </c>
      <c r="E304" s="94" t="s">
        <v>187</v>
      </c>
      <c r="G304">
        <v>699</v>
      </c>
      <c r="H304" s="116">
        <f t="shared" si="5"/>
        <v>699</v>
      </c>
      <c r="I304" s="230">
        <f>IF("generated"=1, "Path=MMRBEM_7_UP, Scaled Offset=699", 1204.82933847925)</f>
        <v>1204.8293384792501</v>
      </c>
      <c r="J304" t="s">
        <v>248</v>
      </c>
      <c r="AB304" s="21">
        <v>295</v>
      </c>
    </row>
    <row r="305" spans="1:28" ht="15" x14ac:dyDescent="0.25">
      <c r="A305" s="224" t="s">
        <v>129</v>
      </c>
      <c r="B305">
        <v>75295</v>
      </c>
      <c r="C305" t="s">
        <v>666</v>
      </c>
      <c r="D305" s="93" t="s">
        <v>920</v>
      </c>
      <c r="E305" s="94" t="s">
        <v>187</v>
      </c>
      <c r="G305">
        <v>899</v>
      </c>
      <c r="H305" s="116">
        <f t="shared" si="5"/>
        <v>899</v>
      </c>
      <c r="I305" s="230">
        <f>IF("generated"=1, "Path=MMRBEM_7_UP, Scaled Offset=899", 1401.63889390538)</f>
        <v>1401.63889390538</v>
      </c>
      <c r="J305" t="s">
        <v>248</v>
      </c>
      <c r="AB305" s="21">
        <v>296</v>
      </c>
    </row>
    <row r="306" spans="1:28" ht="15" x14ac:dyDescent="0.25">
      <c r="A306" s="224" t="s">
        <v>129</v>
      </c>
      <c r="B306">
        <v>75296</v>
      </c>
      <c r="C306" t="s">
        <v>667</v>
      </c>
      <c r="D306" s="93" t="s">
        <v>920</v>
      </c>
      <c r="E306" s="94" t="s">
        <v>187</v>
      </c>
      <c r="G306">
        <v>1099</v>
      </c>
      <c r="H306" s="116">
        <f t="shared" si="5"/>
        <v>1099</v>
      </c>
      <c r="I306" s="230">
        <f>IF("generated"=1, "Path=MMRBEM_7_UP, Scaled Offset=1099", 1598.4484493315)</f>
        <v>1598.4484493314999</v>
      </c>
      <c r="J306" t="s">
        <v>248</v>
      </c>
      <c r="AB306" s="21">
        <v>297</v>
      </c>
    </row>
    <row r="307" spans="1:28" ht="15" x14ac:dyDescent="0.25">
      <c r="A307" s="224" t="s">
        <v>129</v>
      </c>
      <c r="B307">
        <v>75297</v>
      </c>
      <c r="C307" t="s">
        <v>668</v>
      </c>
      <c r="D307" s="93" t="s">
        <v>920</v>
      </c>
      <c r="E307" s="94" t="s">
        <v>187</v>
      </c>
      <c r="G307">
        <v>1219</v>
      </c>
      <c r="H307" s="116">
        <f t="shared" si="5"/>
        <v>1219</v>
      </c>
      <c r="I307" s="230">
        <f>IF("generated"=1, "Path=MMRBEM_7_UP, Scaled Offset=1219", 1716.53418258718)</f>
        <v>1716.5341825871801</v>
      </c>
      <c r="J307" t="s">
        <v>248</v>
      </c>
      <c r="AB307" s="21">
        <v>298</v>
      </c>
    </row>
    <row r="308" spans="1:28" ht="15" x14ac:dyDescent="0.25">
      <c r="A308" s="224" t="s">
        <v>129</v>
      </c>
      <c r="B308">
        <v>75298</v>
      </c>
      <c r="C308" t="s">
        <v>669</v>
      </c>
      <c r="D308" s="93" t="s">
        <v>920</v>
      </c>
      <c r="E308" s="94" t="s">
        <v>187</v>
      </c>
      <c r="G308">
        <v>1240</v>
      </c>
      <c r="H308" s="116">
        <f t="shared" si="5"/>
        <v>1240</v>
      </c>
      <c r="I308" s="230">
        <f>IF("generated"=1, "Path=MMRBEM_7_UP, Scaled Offset=1240", 1737.19918590692)</f>
        <v>1737.1991859069201</v>
      </c>
      <c r="J308" t="s">
        <v>248</v>
      </c>
      <c r="AB308" s="21">
        <v>299</v>
      </c>
    </row>
    <row r="309" spans="1:28" ht="15" x14ac:dyDescent="0.25">
      <c r="A309" s="224" t="s">
        <v>129</v>
      </c>
      <c r="B309">
        <v>75299</v>
      </c>
      <c r="C309" t="s">
        <v>670</v>
      </c>
      <c r="D309" s="93" t="s">
        <v>920</v>
      </c>
      <c r="E309" s="94" t="s">
        <v>187</v>
      </c>
      <c r="G309">
        <v>1282.3800000000001</v>
      </c>
      <c r="H309" s="116">
        <f t="shared" si="5"/>
        <v>1282.3800000000001</v>
      </c>
      <c r="I309" s="230">
        <f>IF("generated"=1, "Path=MMRBEM_7_UP, Scaled Offset=1282.3800000000001091393642127513885", 1778.90313070172)</f>
        <v>1778.9031307017201</v>
      </c>
      <c r="J309" t="s">
        <v>248</v>
      </c>
      <c r="AB309" s="21">
        <v>300</v>
      </c>
    </row>
    <row r="310" spans="1:28" ht="15" x14ac:dyDescent="0.25">
      <c r="A310" s="224" t="s">
        <v>129</v>
      </c>
      <c r="B310">
        <v>75300</v>
      </c>
      <c r="C310" t="s">
        <v>671</v>
      </c>
      <c r="D310" s="93" t="s">
        <v>920</v>
      </c>
      <c r="E310" s="94" t="s">
        <v>187</v>
      </c>
      <c r="G310">
        <v>1402.38</v>
      </c>
      <c r="H310" s="116">
        <f t="shared" si="5"/>
        <v>1402.38</v>
      </c>
      <c r="I310" s="230">
        <f>IF("generated"=1, "Path=MMRBEM_7_UP, Scaled Offset=1402.3800000000001091393642127513885", 1896.9888639574)</f>
        <v>1896.9888639574001</v>
      </c>
      <c r="J310" t="s">
        <v>248</v>
      </c>
      <c r="AB310" s="21">
        <v>301</v>
      </c>
    </row>
    <row r="311" spans="1:28" ht="15" x14ac:dyDescent="0.25">
      <c r="A311" s="224" t="s">
        <v>129</v>
      </c>
      <c r="B311">
        <v>75301</v>
      </c>
      <c r="C311" t="s">
        <v>672</v>
      </c>
      <c r="D311" s="93" t="s">
        <v>920</v>
      </c>
      <c r="E311" s="94" t="s">
        <v>187</v>
      </c>
      <c r="G311">
        <v>1478.44</v>
      </c>
      <c r="H311" s="116">
        <f t="shared" si="5"/>
        <v>1478.44</v>
      </c>
      <c r="I311" s="230">
        <f>IF("generated"=1, "Path=MMRBEM_7_UP, Scaled Offset=1478.4400000000000545696821063756943", 1971.83553788595)</f>
        <v>1971.8355378859501</v>
      </c>
      <c r="J311" t="s">
        <v>248</v>
      </c>
      <c r="AB311" s="21">
        <v>302</v>
      </c>
    </row>
    <row r="312" spans="1:28" ht="15" x14ac:dyDescent="0.25">
      <c r="A312" s="224" t="s">
        <v>129</v>
      </c>
      <c r="B312">
        <v>75302</v>
      </c>
      <c r="C312" t="s">
        <v>673</v>
      </c>
      <c r="D312" s="93" t="s">
        <v>920</v>
      </c>
      <c r="E312" s="94" t="s">
        <v>187</v>
      </c>
      <c r="G312">
        <v>1493.3</v>
      </c>
      <c r="H312" s="116">
        <f t="shared" si="5"/>
        <v>1493.3</v>
      </c>
      <c r="I312" s="230">
        <f>IF("generated"=1, "Path=MMRBEM_7_UP, Scaled Offset=1493.2999999999999545252649113535881", 1986.45848785412)</f>
        <v>1986.45848785412</v>
      </c>
      <c r="J312" t="s">
        <v>248</v>
      </c>
      <c r="AB312" s="21">
        <v>303</v>
      </c>
    </row>
    <row r="313" spans="1:28" ht="15" x14ac:dyDescent="0.25">
      <c r="A313" s="224" t="s">
        <v>129</v>
      </c>
      <c r="B313">
        <v>75303</v>
      </c>
      <c r="C313" t="s">
        <v>674</v>
      </c>
      <c r="D313" s="93" t="s">
        <v>920</v>
      </c>
      <c r="E313" s="94" t="s">
        <v>187</v>
      </c>
      <c r="G313">
        <v>1496.3</v>
      </c>
      <c r="H313" s="116">
        <f t="shared" si="5"/>
        <v>1496.3</v>
      </c>
      <c r="I313" s="230">
        <f>IF("generated"=1, "Path=MMRBEM_7_UP, Scaled Offset=1496.2999999999999545252649113535881", 1989.41063118551)</f>
        <v>1989.4106311855101</v>
      </c>
      <c r="J313" t="s">
        <v>248</v>
      </c>
      <c r="AB313" s="21">
        <v>304</v>
      </c>
    </row>
    <row r="314" spans="1:28" ht="15" x14ac:dyDescent="0.25">
      <c r="A314" s="224" t="s">
        <v>129</v>
      </c>
      <c r="B314">
        <v>75304</v>
      </c>
      <c r="C314" t="s">
        <v>675</v>
      </c>
      <c r="D314" s="93" t="s">
        <v>920</v>
      </c>
      <c r="E314" s="94" t="s">
        <v>187</v>
      </c>
      <c r="G314">
        <v>1516.22</v>
      </c>
      <c r="H314" s="116">
        <f t="shared" si="5"/>
        <v>1516.22</v>
      </c>
      <c r="I314" s="230">
        <f>IF("generated"=1, "Path=MMRBEM_7_UP, Scaled Offset=1516.2200000000000272848410531878471", 2009.01286290595)</f>
        <v>2009.01286290595</v>
      </c>
      <c r="J314" t="s">
        <v>248</v>
      </c>
      <c r="AB314" s="21">
        <v>305</v>
      </c>
    </row>
    <row r="315" spans="1:28" ht="15" x14ac:dyDescent="0.25">
      <c r="A315" s="224" t="s">
        <v>129</v>
      </c>
      <c r="B315">
        <v>75305</v>
      </c>
      <c r="C315" t="s">
        <v>676</v>
      </c>
      <c r="D315" s="93" t="s">
        <v>920</v>
      </c>
      <c r="E315" s="94" t="s">
        <v>187</v>
      </c>
      <c r="G315">
        <v>1519.22</v>
      </c>
      <c r="H315" s="116">
        <f t="shared" si="5"/>
        <v>1519.22</v>
      </c>
      <c r="I315" s="230">
        <f>IF("generated"=1, "Path=MMRBEM_7_UP, Scaled Offset=1519.2200000000000272848410531878471", 2011.96500623734)</f>
        <v>2011.96500623734</v>
      </c>
      <c r="J315" t="s">
        <v>248</v>
      </c>
      <c r="AB315" s="21">
        <v>306</v>
      </c>
    </row>
    <row r="316" spans="1:28" ht="15" x14ac:dyDescent="0.25">
      <c r="A316" s="224" t="s">
        <v>129</v>
      </c>
      <c r="B316">
        <v>75306</v>
      </c>
      <c r="C316" t="s">
        <v>677</v>
      </c>
      <c r="D316" s="93" t="s">
        <v>920</v>
      </c>
      <c r="E316" s="94" t="s">
        <v>187</v>
      </c>
      <c r="G316">
        <v>1577.24</v>
      </c>
      <c r="H316" s="116">
        <f t="shared" si="5"/>
        <v>1577.24</v>
      </c>
      <c r="I316" s="230">
        <f>IF("generated"=1, "Path=MMRBEM_7_UP, Scaled Offset=1577.2400000000000090949470177292824", 2069.05945826646)</f>
        <v>2069.0594582664598</v>
      </c>
      <c r="J316" t="s">
        <v>248</v>
      </c>
      <c r="AB316" s="21">
        <v>307</v>
      </c>
    </row>
    <row r="317" spans="1:28" ht="15" x14ac:dyDescent="0.25">
      <c r="A317" s="224" t="s">
        <v>129</v>
      </c>
      <c r="B317">
        <v>75307</v>
      </c>
      <c r="C317" t="s">
        <v>678</v>
      </c>
      <c r="D317" s="93" t="s">
        <v>920</v>
      </c>
      <c r="E317" s="94" t="s">
        <v>187</v>
      </c>
      <c r="G317">
        <v>1612.34</v>
      </c>
      <c r="H317" s="116">
        <f t="shared" si="5"/>
        <v>1612.34</v>
      </c>
      <c r="I317" s="230">
        <f>IF("generated"=1, "Path=MMRBEM_7_UP, Scaled Offset=1612.3399999999999181454768404364586", 2103.59953524375)</f>
        <v>2103.5995352437499</v>
      </c>
      <c r="J317" t="s">
        <v>248</v>
      </c>
      <c r="AB317" s="21">
        <v>308</v>
      </c>
    </row>
    <row r="318" spans="1:28" ht="15" x14ac:dyDescent="0.25">
      <c r="A318" s="224" t="s">
        <v>129</v>
      </c>
      <c r="B318">
        <v>75308</v>
      </c>
      <c r="C318" t="s">
        <v>679</v>
      </c>
      <c r="D318" s="93" t="s">
        <v>920</v>
      </c>
      <c r="E318" s="94" t="s">
        <v>187</v>
      </c>
      <c r="G318">
        <v>1615.34</v>
      </c>
      <c r="H318" s="116">
        <f t="shared" si="5"/>
        <v>1615.34</v>
      </c>
      <c r="I318" s="230">
        <f>IF("generated"=1, "Path=MMRBEM_7_UP, Scaled Offset=1615.3399999999999181454768404364586", 2106.55167857514)</f>
        <v>2106.5516785751402</v>
      </c>
      <c r="J318" t="s">
        <v>248</v>
      </c>
      <c r="AB318" s="21">
        <v>309</v>
      </c>
    </row>
    <row r="319" spans="1:28" ht="15" x14ac:dyDescent="0.25">
      <c r="A319" s="224" t="s">
        <v>129</v>
      </c>
      <c r="B319">
        <v>75309</v>
      </c>
      <c r="C319" t="s">
        <v>680</v>
      </c>
      <c r="D319" s="93" t="s">
        <v>920</v>
      </c>
      <c r="E319" s="94" t="s">
        <v>187</v>
      </c>
      <c r="G319">
        <v>1635.26</v>
      </c>
      <c r="H319" s="116">
        <f t="shared" si="5"/>
        <v>1635.26</v>
      </c>
      <c r="I319" s="230">
        <f>IF("generated"=1, "Path=MMRBEM_7_UP, Scaled Offset=1635.2599999999999909050529822707176", 2126.15391029558)</f>
        <v>2126.1539102955799</v>
      </c>
      <c r="J319" t="s">
        <v>248</v>
      </c>
      <c r="AB319" s="21">
        <v>310</v>
      </c>
    </row>
    <row r="320" spans="1:28" ht="15" x14ac:dyDescent="0.25">
      <c r="A320" s="224" t="s">
        <v>129</v>
      </c>
      <c r="B320">
        <v>75310</v>
      </c>
      <c r="C320" t="s">
        <v>681</v>
      </c>
      <c r="D320" s="93" t="s">
        <v>920</v>
      </c>
      <c r="E320" s="94" t="s">
        <v>187</v>
      </c>
      <c r="G320">
        <v>1638.26</v>
      </c>
      <c r="H320" s="116">
        <f t="shared" si="5"/>
        <v>1638.26</v>
      </c>
      <c r="I320" s="230">
        <f>IF("generated"=1, "Path=MMRBEM_7_UP, Scaled Offset=1638.2599999999999909050529822707176", 2129.10605362697)</f>
        <v>2129.1060536269702</v>
      </c>
      <c r="J320" t="s">
        <v>248</v>
      </c>
      <c r="AB320" s="21">
        <v>311</v>
      </c>
    </row>
    <row r="321" spans="1:28" ht="15" x14ac:dyDescent="0.25">
      <c r="A321" s="224" t="s">
        <v>129</v>
      </c>
      <c r="B321">
        <v>75311</v>
      </c>
      <c r="C321" t="s">
        <v>682</v>
      </c>
      <c r="D321" s="93" t="s">
        <v>920</v>
      </c>
      <c r="E321" s="94" t="s">
        <v>187</v>
      </c>
      <c r="G321">
        <v>1690.68</v>
      </c>
      <c r="H321" s="116">
        <f t="shared" ref="H321:H384" si="6">G321+F321</f>
        <v>1690.68</v>
      </c>
      <c r="I321" s="230">
        <f>IF("generated"=1, "Path=MMRBEM_7_UP, Scaled Offset=1690.6800000000000636646291241049767", 2180.68983810416)</f>
        <v>2180.6898381041601</v>
      </c>
      <c r="J321" t="s">
        <v>248</v>
      </c>
      <c r="AB321" s="21">
        <v>312</v>
      </c>
    </row>
    <row r="322" spans="1:28" ht="15" x14ac:dyDescent="0.25">
      <c r="A322" s="224" t="s">
        <v>129</v>
      </c>
      <c r="B322">
        <v>75312</v>
      </c>
      <c r="C322" t="s">
        <v>683</v>
      </c>
      <c r="D322" s="93" t="s">
        <v>920</v>
      </c>
      <c r="E322" s="94" t="s">
        <v>187</v>
      </c>
      <c r="G322">
        <v>1770</v>
      </c>
      <c r="H322" s="116">
        <f t="shared" si="6"/>
        <v>1770</v>
      </c>
      <c r="I322" s="230">
        <f>IF("generated"=1, "Path=MMRBEM_7_UP, Scaled Offset=1770", 2258.74450778616)</f>
        <v>2258.7445077861598</v>
      </c>
      <c r="J322" t="s">
        <v>248</v>
      </c>
      <c r="AB322" s="21">
        <v>313</v>
      </c>
    </row>
    <row r="323" spans="1:28" ht="15" x14ac:dyDescent="0.25">
      <c r="A323" s="224" t="s">
        <v>129</v>
      </c>
      <c r="B323">
        <v>75313</v>
      </c>
      <c r="C323" t="s">
        <v>684</v>
      </c>
      <c r="D323" s="93" t="s">
        <v>920</v>
      </c>
      <c r="E323" s="94" t="s">
        <v>187</v>
      </c>
      <c r="G323">
        <v>1791</v>
      </c>
      <c r="H323" s="116">
        <f t="shared" si="6"/>
        <v>1791</v>
      </c>
      <c r="I323" s="230">
        <f>IF("generated"=1, "Path=MMRBEM_7_UP, Scaled Offset=1791", 2279.40951110591)</f>
        <v>2279.40951110591</v>
      </c>
      <c r="J323" t="s">
        <v>248</v>
      </c>
      <c r="AB323" s="21">
        <v>314</v>
      </c>
    </row>
    <row r="324" spans="1:28" ht="15" x14ac:dyDescent="0.25">
      <c r="A324" s="224" t="s">
        <v>129</v>
      </c>
      <c r="B324">
        <v>75314</v>
      </c>
      <c r="C324" t="s">
        <v>685</v>
      </c>
      <c r="D324" s="93" t="s">
        <v>920</v>
      </c>
      <c r="E324" s="94" t="s">
        <v>187</v>
      </c>
      <c r="G324">
        <v>1911</v>
      </c>
      <c r="H324" s="116">
        <f t="shared" si="6"/>
        <v>1911</v>
      </c>
      <c r="I324" s="230">
        <f>IF("generated"=1, "Path=MMRBEM_7_UP, Scaled Offset=1911", 2397.49524436158)</f>
        <v>2397.4952443615798</v>
      </c>
      <c r="J324" t="s">
        <v>248</v>
      </c>
      <c r="AB324" s="21">
        <v>315</v>
      </c>
    </row>
    <row r="325" spans="1:28" ht="15" x14ac:dyDescent="0.25">
      <c r="A325" s="224" t="s">
        <v>129</v>
      </c>
      <c r="B325">
        <v>75315</v>
      </c>
      <c r="C325" t="s">
        <v>686</v>
      </c>
      <c r="D325" s="93" t="s">
        <v>920</v>
      </c>
      <c r="E325" s="94" t="s">
        <v>187</v>
      </c>
      <c r="G325">
        <v>2101</v>
      </c>
      <c r="H325" s="116">
        <f t="shared" si="6"/>
        <v>2101</v>
      </c>
      <c r="I325" s="230">
        <f>IF("generated"=1, "Path=MMRBEM_7_UP, Scaled Offset=2101", 2584.46432201641)</f>
        <v>2584.4643220164098</v>
      </c>
      <c r="J325" t="s">
        <v>248</v>
      </c>
      <c r="AB325" s="21">
        <v>316</v>
      </c>
    </row>
    <row r="326" spans="1:28" ht="15" x14ac:dyDescent="0.25">
      <c r="A326" s="224" t="s">
        <v>129</v>
      </c>
      <c r="B326">
        <v>75316</v>
      </c>
      <c r="C326" t="s">
        <v>687</v>
      </c>
      <c r="D326" s="93" t="s">
        <v>920</v>
      </c>
      <c r="E326" s="94" t="s">
        <v>187</v>
      </c>
      <c r="G326">
        <v>2293</v>
      </c>
      <c r="H326" s="116">
        <f t="shared" si="6"/>
        <v>2293</v>
      </c>
      <c r="I326" s="230">
        <f>IF("generated"=1, "Path=MMRBEM_7_UP, Scaled Offset=2293", 2773.40149522549)</f>
        <v>2773.4014952254902</v>
      </c>
      <c r="J326" t="s">
        <v>248</v>
      </c>
      <c r="AB326" s="21">
        <v>317</v>
      </c>
    </row>
    <row r="327" spans="1:28" ht="15" x14ac:dyDescent="0.25">
      <c r="A327" s="224" t="s">
        <v>129</v>
      </c>
      <c r="B327">
        <v>75317</v>
      </c>
      <c r="C327" t="s">
        <v>688</v>
      </c>
      <c r="D327" s="93" t="s">
        <v>920</v>
      </c>
      <c r="E327" s="94" t="s">
        <v>187</v>
      </c>
      <c r="G327">
        <v>2473</v>
      </c>
      <c r="H327" s="116">
        <f t="shared" si="6"/>
        <v>2473</v>
      </c>
      <c r="I327" s="230">
        <f>IF("generated"=1, "Path=MMRBEM_7_UP, Scaled Offset=2473", 2950.530095109)</f>
        <v>2950.5300951089998</v>
      </c>
      <c r="J327" t="s">
        <v>248</v>
      </c>
      <c r="AB327" s="21">
        <v>318</v>
      </c>
    </row>
    <row r="328" spans="1:28" ht="15" x14ac:dyDescent="0.25">
      <c r="A328" s="224" t="s">
        <v>129</v>
      </c>
      <c r="B328">
        <v>75318</v>
      </c>
      <c r="C328" t="s">
        <v>689</v>
      </c>
      <c r="D328" s="93" t="s">
        <v>920</v>
      </c>
      <c r="E328" s="94" t="s">
        <v>187</v>
      </c>
      <c r="G328">
        <v>2653</v>
      </c>
      <c r="H328" s="116">
        <f t="shared" si="6"/>
        <v>2653</v>
      </c>
      <c r="I328" s="230">
        <f>IF("generated"=1, "Path=MMRBEM_7_UP, Scaled Offset=2653", 3127.65869499252)</f>
        <v>3127.6586949925199</v>
      </c>
      <c r="J328" t="s">
        <v>248</v>
      </c>
      <c r="AB328" s="21">
        <v>319</v>
      </c>
    </row>
    <row r="329" spans="1:28" ht="15" x14ac:dyDescent="0.25">
      <c r="A329" s="224" t="s">
        <v>129</v>
      </c>
      <c r="B329">
        <v>75319</v>
      </c>
      <c r="C329" t="s">
        <v>690</v>
      </c>
      <c r="D329" s="93" t="s">
        <v>920</v>
      </c>
      <c r="E329" s="94" t="s">
        <v>187</v>
      </c>
      <c r="G329">
        <v>2833</v>
      </c>
      <c r="H329" s="116">
        <f t="shared" si="6"/>
        <v>2833</v>
      </c>
      <c r="I329" s="230">
        <f>IF("generated"=1, "Path=MMRBEM_7_UP, Scaled Offset=2833", 3304.78729487603)</f>
        <v>3304.78729487603</v>
      </c>
      <c r="J329" t="s">
        <v>248</v>
      </c>
      <c r="AB329" s="21">
        <v>320</v>
      </c>
    </row>
    <row r="330" spans="1:28" ht="15" x14ac:dyDescent="0.25">
      <c r="A330" s="224" t="s">
        <v>129</v>
      </c>
      <c r="B330">
        <v>75320</v>
      </c>
      <c r="C330" t="s">
        <v>691</v>
      </c>
      <c r="D330" s="93" t="s">
        <v>920</v>
      </c>
      <c r="E330" s="94" t="s">
        <v>187</v>
      </c>
      <c r="G330">
        <v>2953</v>
      </c>
      <c r="H330" s="116">
        <f t="shared" si="6"/>
        <v>2953</v>
      </c>
      <c r="I330" s="230">
        <f>IF("generated"=1, "Path=MMRBEM_7_UP, Scaled Offset=2953", 3422.87302813171)</f>
        <v>3422.8730281317098</v>
      </c>
      <c r="J330" t="s">
        <v>248</v>
      </c>
      <c r="AB330" s="21">
        <v>321</v>
      </c>
    </row>
    <row r="331" spans="1:28" ht="15" x14ac:dyDescent="0.25">
      <c r="A331" s="224" t="s">
        <v>129</v>
      </c>
      <c r="B331">
        <v>75321</v>
      </c>
      <c r="C331" t="s">
        <v>692</v>
      </c>
      <c r="D331" s="93" t="s">
        <v>920</v>
      </c>
      <c r="E331" s="94" t="s">
        <v>187</v>
      </c>
      <c r="G331">
        <v>2974</v>
      </c>
      <c r="H331" s="116">
        <f t="shared" si="6"/>
        <v>2974</v>
      </c>
      <c r="I331" s="230">
        <f>IF("generated"=1, "Path=MMRBEM_7_UP, Scaled Offset=2974", 3443.53803145145)</f>
        <v>3443.53803145145</v>
      </c>
      <c r="J331" t="s">
        <v>248</v>
      </c>
      <c r="AB331" s="21">
        <v>322</v>
      </c>
    </row>
    <row r="332" spans="1:28" ht="15" x14ac:dyDescent="0.25">
      <c r="A332" s="224" t="s">
        <v>129</v>
      </c>
      <c r="B332">
        <v>75322</v>
      </c>
      <c r="C332" t="s">
        <v>693</v>
      </c>
      <c r="D332" s="93" t="s">
        <v>920</v>
      </c>
      <c r="E332" s="94" t="s">
        <v>187</v>
      </c>
      <c r="G332">
        <v>3069.43</v>
      </c>
      <c r="H332" s="116">
        <f t="shared" si="6"/>
        <v>3069.43</v>
      </c>
      <c r="I332" s="230">
        <f>IF("generated"=1, "Path=MMRBEM_7_UP, Scaled Offset=3069.4299999999998362909536808729172", 3537.44571082303)</f>
        <v>3537.4457108230299</v>
      </c>
      <c r="J332" t="s">
        <v>248</v>
      </c>
      <c r="AB332" s="21">
        <v>323</v>
      </c>
    </row>
    <row r="333" spans="1:28" ht="15" x14ac:dyDescent="0.25">
      <c r="A333" s="224" t="s">
        <v>129</v>
      </c>
      <c r="B333">
        <v>75323</v>
      </c>
      <c r="C333" t="s">
        <v>694</v>
      </c>
      <c r="D333" s="93" t="s">
        <v>920</v>
      </c>
      <c r="E333" s="94" t="s">
        <v>187</v>
      </c>
      <c r="G333">
        <v>3084.29</v>
      </c>
      <c r="H333" s="116">
        <f t="shared" si="6"/>
        <v>3084.29</v>
      </c>
      <c r="I333" s="230">
        <f>IF("generated"=1, "Path=MMRBEM_7_UP, Scaled Offset=3084.2899999999999636202119290828705", 3552.06866079119)</f>
        <v>3552.0686607911898</v>
      </c>
      <c r="J333" t="s">
        <v>248</v>
      </c>
      <c r="AB333" s="21">
        <v>324</v>
      </c>
    </row>
    <row r="334" spans="1:28" ht="15" x14ac:dyDescent="0.25">
      <c r="A334" s="224" t="s">
        <v>129</v>
      </c>
      <c r="B334">
        <v>75324</v>
      </c>
      <c r="C334" t="s">
        <v>695</v>
      </c>
      <c r="D334" s="93" t="s">
        <v>920</v>
      </c>
      <c r="E334" s="94" t="s">
        <v>187</v>
      </c>
      <c r="G334">
        <v>3087.29</v>
      </c>
      <c r="H334" s="116">
        <f t="shared" si="6"/>
        <v>3087.29</v>
      </c>
      <c r="I334" s="230">
        <f>IF("generated"=1, "Path=MMRBEM_7_UP, Scaled Offset=3087.2899999999999636202119290828705", 3555.02080412258)</f>
        <v>3555.0208041225801</v>
      </c>
      <c r="J334" t="s">
        <v>248</v>
      </c>
      <c r="AB334" s="21">
        <v>325</v>
      </c>
    </row>
    <row r="335" spans="1:28" ht="15" x14ac:dyDescent="0.25">
      <c r="A335" s="224" t="s">
        <v>129</v>
      </c>
      <c r="B335">
        <v>75325</v>
      </c>
      <c r="C335" t="s">
        <v>696</v>
      </c>
      <c r="D335" s="93" t="s">
        <v>920</v>
      </c>
      <c r="E335" s="94" t="s">
        <v>187</v>
      </c>
      <c r="G335">
        <v>3107.21</v>
      </c>
      <c r="H335" s="116">
        <f t="shared" si="6"/>
        <v>3107.21</v>
      </c>
      <c r="I335" s="230">
        <f>IF("generated"=1, "Path=MMRBEM_7_UP, Scaled Offset=3107.2100000000000363797880709171295", 3574.62303584303)</f>
        <v>3574.6230358430298</v>
      </c>
      <c r="J335" t="s">
        <v>248</v>
      </c>
      <c r="AB335" s="21">
        <v>326</v>
      </c>
    </row>
    <row r="336" spans="1:28" ht="15" x14ac:dyDescent="0.25">
      <c r="A336" s="224" t="s">
        <v>129</v>
      </c>
      <c r="B336">
        <v>75326</v>
      </c>
      <c r="C336" t="s">
        <v>697</v>
      </c>
      <c r="D336" s="93" t="s">
        <v>920</v>
      </c>
      <c r="E336" s="94" t="s">
        <v>187</v>
      </c>
      <c r="G336">
        <v>3110.21</v>
      </c>
      <c r="H336" s="116">
        <f t="shared" si="6"/>
        <v>3110.21</v>
      </c>
      <c r="I336" s="230">
        <f>IF("generated"=1, "Path=MMRBEM_7_UP, Scaled Offset=3110.2100000000000363797880709171295", 3577.57517917442)</f>
        <v>3577.5751791744201</v>
      </c>
      <c r="J336" t="s">
        <v>248</v>
      </c>
      <c r="AB336" s="21">
        <v>327</v>
      </c>
    </row>
    <row r="337" spans="1:28" ht="15" x14ac:dyDescent="0.25">
      <c r="A337" s="224" t="s">
        <v>129</v>
      </c>
      <c r="B337">
        <v>75327</v>
      </c>
      <c r="C337" t="s">
        <v>698</v>
      </c>
      <c r="D337" s="93" t="s">
        <v>920</v>
      </c>
      <c r="E337" s="94" t="s">
        <v>187</v>
      </c>
      <c r="G337">
        <v>3168.23</v>
      </c>
      <c r="H337" s="116">
        <f t="shared" si="6"/>
        <v>3168.23</v>
      </c>
      <c r="I337" s="230">
        <f>IF("generated"=1, "Path=MMRBEM_7_UP, Scaled Offset=3168.2300000000000181898940354585648", 3634.66963120354)</f>
        <v>3634.6696312035401</v>
      </c>
      <c r="J337" t="s">
        <v>248</v>
      </c>
      <c r="AB337" s="21">
        <v>328</v>
      </c>
    </row>
    <row r="338" spans="1:28" ht="15" x14ac:dyDescent="0.25">
      <c r="A338" s="224" t="s">
        <v>129</v>
      </c>
      <c r="B338">
        <v>75328</v>
      </c>
      <c r="C338" t="s">
        <v>699</v>
      </c>
      <c r="D338" s="93" t="s">
        <v>920</v>
      </c>
      <c r="E338" s="94" t="s">
        <v>187</v>
      </c>
      <c r="G338">
        <v>3203.33</v>
      </c>
      <c r="H338" s="116">
        <f t="shared" si="6"/>
        <v>3203.33</v>
      </c>
      <c r="I338" s="230">
        <f>IF("generated"=1, "Path=MMRBEM_7_UP, Scaled Offset=3203.329999999999927240423858165741", 3669.20970818082)</f>
        <v>3669.2097081808201</v>
      </c>
      <c r="J338" t="s">
        <v>248</v>
      </c>
      <c r="AB338" s="21">
        <v>329</v>
      </c>
    </row>
    <row r="339" spans="1:28" ht="15" x14ac:dyDescent="0.25">
      <c r="A339" s="224" t="s">
        <v>129</v>
      </c>
      <c r="B339">
        <v>75329</v>
      </c>
      <c r="C339" t="s">
        <v>700</v>
      </c>
      <c r="D339" s="93" t="s">
        <v>920</v>
      </c>
      <c r="E339" s="94" t="s">
        <v>187</v>
      </c>
      <c r="G339">
        <v>3206.33</v>
      </c>
      <c r="H339" s="116">
        <f t="shared" si="6"/>
        <v>3206.33</v>
      </c>
      <c r="I339" s="230">
        <f>IF("generated"=1, "Path=MMRBEM_7_UP, Scaled Offset=3206.329999999999927240423858165741", 3672.16185151222)</f>
        <v>3672.16185151222</v>
      </c>
      <c r="J339" t="s">
        <v>248</v>
      </c>
      <c r="AB339" s="21">
        <v>330</v>
      </c>
    </row>
    <row r="340" spans="1:28" ht="15" x14ac:dyDescent="0.25">
      <c r="A340" s="224" t="s">
        <v>129</v>
      </c>
      <c r="B340">
        <v>75330</v>
      </c>
      <c r="C340" t="s">
        <v>701</v>
      </c>
      <c r="D340" s="93" t="s">
        <v>920</v>
      </c>
      <c r="E340" s="94" t="s">
        <v>187</v>
      </c>
      <c r="G340">
        <v>3226.25</v>
      </c>
      <c r="H340" s="116">
        <f t="shared" si="6"/>
        <v>3226.25</v>
      </c>
      <c r="I340" s="230">
        <f>IF("generated"=1, "Path=MMRBEM_7_UP, Scaled Offset=3226.25", 3691.76408323266)</f>
        <v>3691.7640832326601</v>
      </c>
      <c r="J340" t="s">
        <v>248</v>
      </c>
      <c r="AB340" s="21">
        <v>331</v>
      </c>
    </row>
    <row r="341" spans="1:28" ht="15" x14ac:dyDescent="0.25">
      <c r="A341" s="224" t="s">
        <v>129</v>
      </c>
      <c r="B341">
        <v>75331</v>
      </c>
      <c r="C341" t="s">
        <v>702</v>
      </c>
      <c r="D341" s="93" t="s">
        <v>920</v>
      </c>
      <c r="E341" s="94" t="s">
        <v>187</v>
      </c>
      <c r="G341">
        <v>3229.25</v>
      </c>
      <c r="H341" s="116">
        <f t="shared" si="6"/>
        <v>3229.25</v>
      </c>
      <c r="I341" s="230">
        <f>IF("generated"=1, "Path=MMRBEM_7_UP, Scaled Offset=3229.25", 3694.71622656405)</f>
        <v>3694.71622656405</v>
      </c>
      <c r="J341" t="s">
        <v>248</v>
      </c>
      <c r="AB341" s="21">
        <v>332</v>
      </c>
    </row>
    <row r="342" spans="1:28" ht="15" x14ac:dyDescent="0.25">
      <c r="A342" s="224" t="s">
        <v>129</v>
      </c>
      <c r="B342">
        <v>75332</v>
      </c>
      <c r="C342" t="s">
        <v>703</v>
      </c>
      <c r="D342" s="93" t="s">
        <v>920</v>
      </c>
      <c r="E342" s="94" t="s">
        <v>187</v>
      </c>
      <c r="G342">
        <v>3281.67</v>
      </c>
      <c r="H342" s="116">
        <f t="shared" si="6"/>
        <v>3281.67</v>
      </c>
      <c r="I342" s="230">
        <f>IF("generated"=1, "Path=MMRBEM_7_UP, Scaled Offset=3281.670000000000072759576141834259", 3746.30001104124)</f>
        <v>3746.3000110412399</v>
      </c>
      <c r="J342" t="s">
        <v>248</v>
      </c>
      <c r="AB342" s="21">
        <v>333</v>
      </c>
    </row>
    <row r="343" spans="1:28" ht="15" x14ac:dyDescent="0.25">
      <c r="A343" s="224" t="s">
        <v>129</v>
      </c>
      <c r="B343">
        <v>75333</v>
      </c>
      <c r="C343" t="s">
        <v>704</v>
      </c>
      <c r="D343" s="93" t="s">
        <v>920</v>
      </c>
      <c r="E343" s="94" t="s">
        <v>187</v>
      </c>
      <c r="G343">
        <v>3362</v>
      </c>
      <c r="H343" s="116">
        <f t="shared" si="6"/>
        <v>3362</v>
      </c>
      <c r="I343" s="230">
        <f>IF("generated"=1, "Path=MMRBEM_7_UP, Scaled Offset=3362", 3825.34856897814)</f>
        <v>3825.3485689781401</v>
      </c>
      <c r="J343" t="s">
        <v>248</v>
      </c>
      <c r="AB343" s="21">
        <v>334</v>
      </c>
    </row>
    <row r="344" spans="1:28" ht="15" x14ac:dyDescent="0.25">
      <c r="A344" s="224" t="s">
        <v>129</v>
      </c>
      <c r="B344">
        <v>75334</v>
      </c>
      <c r="C344" t="s">
        <v>705</v>
      </c>
      <c r="D344" s="93" t="s">
        <v>920</v>
      </c>
      <c r="E344" s="94" t="s">
        <v>187</v>
      </c>
      <c r="G344">
        <v>3383</v>
      </c>
      <c r="H344" s="116">
        <f t="shared" si="6"/>
        <v>3383</v>
      </c>
      <c r="I344" s="230">
        <f>IF("generated"=1, "Path=MMRBEM_7_UP, Scaled Offset=3383", 3846.01357229789)</f>
        <v>3846.0135722978898</v>
      </c>
      <c r="J344" t="s">
        <v>248</v>
      </c>
      <c r="AB344" s="21">
        <v>335</v>
      </c>
    </row>
    <row r="345" spans="1:28" ht="15" x14ac:dyDescent="0.25">
      <c r="A345" s="224" t="s">
        <v>129</v>
      </c>
      <c r="B345">
        <v>75335</v>
      </c>
      <c r="C345" t="s">
        <v>706</v>
      </c>
      <c r="D345" s="93" t="s">
        <v>920</v>
      </c>
      <c r="E345" s="94" t="s">
        <v>187</v>
      </c>
      <c r="G345">
        <v>3503</v>
      </c>
      <c r="H345" s="116">
        <f t="shared" si="6"/>
        <v>3503</v>
      </c>
      <c r="I345" s="230">
        <f>IF("generated"=1, "Path=MMRBEM_7_UP, Scaled Offset=3503", 3964.09930555356)</f>
        <v>3964.09930555356</v>
      </c>
      <c r="J345" t="s">
        <v>248</v>
      </c>
      <c r="AB345" s="21">
        <v>336</v>
      </c>
    </row>
    <row r="346" spans="1:28" ht="15" x14ac:dyDescent="0.25">
      <c r="A346" s="224" t="s">
        <v>129</v>
      </c>
      <c r="B346">
        <v>75336</v>
      </c>
      <c r="C346" t="s">
        <v>707</v>
      </c>
      <c r="D346" s="93" t="s">
        <v>920</v>
      </c>
      <c r="E346" s="94" t="s">
        <v>187</v>
      </c>
      <c r="G346">
        <v>3695</v>
      </c>
      <c r="H346" s="116">
        <f t="shared" si="6"/>
        <v>3695</v>
      </c>
      <c r="I346" s="230">
        <f>IF("generated"=1, "Path=MMRBEM_7_UP, Scaled Offset=3695", 4153.03647876265)</f>
        <v>4153.0364787626504</v>
      </c>
      <c r="J346" t="s">
        <v>248</v>
      </c>
      <c r="AB346" s="21">
        <v>337</v>
      </c>
    </row>
    <row r="347" spans="1:28" ht="15" x14ac:dyDescent="0.25">
      <c r="A347" s="224" t="s">
        <v>129</v>
      </c>
      <c r="B347">
        <v>75337</v>
      </c>
      <c r="C347" t="s">
        <v>708</v>
      </c>
      <c r="D347" s="93" t="s">
        <v>920</v>
      </c>
      <c r="E347" s="94" t="s">
        <v>187</v>
      </c>
      <c r="G347">
        <v>3895</v>
      </c>
      <c r="H347" s="116">
        <f t="shared" si="6"/>
        <v>3895</v>
      </c>
      <c r="I347" s="230">
        <f>IF("generated"=1, "Path=MMRBEM_7_UP, Scaled Offset=3895", 4349.84603418877)</f>
        <v>4349.8460341887703</v>
      </c>
      <c r="J347" t="s">
        <v>248</v>
      </c>
      <c r="AB347" s="21">
        <v>338</v>
      </c>
    </row>
    <row r="348" spans="1:28" ht="15" x14ac:dyDescent="0.25">
      <c r="A348" s="224" t="s">
        <v>129</v>
      </c>
      <c r="B348">
        <v>75338</v>
      </c>
      <c r="C348" t="s">
        <v>709</v>
      </c>
      <c r="D348" s="93" t="s">
        <v>920</v>
      </c>
      <c r="E348" s="94" t="s">
        <v>187</v>
      </c>
      <c r="G348">
        <v>4015</v>
      </c>
      <c r="H348" s="116">
        <f t="shared" si="6"/>
        <v>4015</v>
      </c>
      <c r="I348" s="230">
        <f>IF("generated"=1, "Path=MMRBEM_7_UP, Scaled Offset=4015", 4467.93176744445)</f>
        <v>4467.9317674444501</v>
      </c>
      <c r="J348" t="s">
        <v>248</v>
      </c>
      <c r="AB348" s="21">
        <v>339</v>
      </c>
    </row>
    <row r="349" spans="1:28" ht="15" x14ac:dyDescent="0.25">
      <c r="A349" s="224" t="s">
        <v>129</v>
      </c>
      <c r="B349">
        <v>75339</v>
      </c>
      <c r="C349" t="s">
        <v>710</v>
      </c>
      <c r="D349" s="93" t="s">
        <v>920</v>
      </c>
      <c r="E349" s="94" t="s">
        <v>187</v>
      </c>
      <c r="G349">
        <v>4036</v>
      </c>
      <c r="H349" s="116">
        <f t="shared" si="6"/>
        <v>4036</v>
      </c>
      <c r="I349" s="230">
        <f>IF("generated"=1, "Path=MMRBEM_7_UP, Scaled Offset=4036", 4488.59677076419)</f>
        <v>4488.5967707641903</v>
      </c>
      <c r="J349" t="s">
        <v>248</v>
      </c>
      <c r="AB349" s="21">
        <v>340</v>
      </c>
    </row>
    <row r="350" spans="1:28" ht="15" x14ac:dyDescent="0.25">
      <c r="A350" s="224" t="s">
        <v>129</v>
      </c>
      <c r="B350">
        <v>75340</v>
      </c>
      <c r="C350" t="s">
        <v>711</v>
      </c>
      <c r="D350" s="93" t="s">
        <v>920</v>
      </c>
      <c r="E350" s="94" t="s">
        <v>187</v>
      </c>
      <c r="G350">
        <v>4131.58</v>
      </c>
      <c r="H350" s="116">
        <f t="shared" si="6"/>
        <v>4131.58</v>
      </c>
      <c r="I350" s="230">
        <f>IF("generated"=1, "Path=MMRBEM_7_UP, Scaled Offset=4131.579999999999927240423858165741", 4582.65205730234)</f>
        <v>4582.6520573023399</v>
      </c>
      <c r="J350" t="s">
        <v>248</v>
      </c>
      <c r="AB350" s="21">
        <v>341</v>
      </c>
    </row>
    <row r="351" spans="1:28" ht="15" x14ac:dyDescent="0.25">
      <c r="A351" s="224" t="s">
        <v>129</v>
      </c>
      <c r="B351">
        <v>75341</v>
      </c>
      <c r="C351" t="s">
        <v>712</v>
      </c>
      <c r="D351" s="93" t="s">
        <v>920</v>
      </c>
      <c r="E351" s="94" t="s">
        <v>187</v>
      </c>
      <c r="G351">
        <v>4146.4399999999996</v>
      </c>
      <c r="H351" s="116">
        <f t="shared" si="6"/>
        <v>4146.4399999999996</v>
      </c>
      <c r="I351" s="230">
        <f>IF("generated"=1, "Path=MMRBEM_7_UP, Scaled Offset=4146.4399999999995998223312199115753", 4597.2750072705)</f>
        <v>4597.2750072705003</v>
      </c>
      <c r="J351" t="s">
        <v>248</v>
      </c>
      <c r="AB351" s="21">
        <v>342</v>
      </c>
    </row>
    <row r="352" spans="1:28" ht="15" x14ac:dyDescent="0.25">
      <c r="A352" s="224" t="s">
        <v>129</v>
      </c>
      <c r="B352">
        <v>75342</v>
      </c>
      <c r="C352" t="s">
        <v>713</v>
      </c>
      <c r="D352" s="93" t="s">
        <v>920</v>
      </c>
      <c r="E352" s="94" t="s">
        <v>187</v>
      </c>
      <c r="G352">
        <v>4149.4399999999996</v>
      </c>
      <c r="H352" s="116">
        <f t="shared" si="6"/>
        <v>4149.4399999999996</v>
      </c>
      <c r="I352" s="230">
        <f>IF("generated"=1, "Path=MMRBEM_7_UP, Scaled Offset=4149.4399999999995998223312199115753", 4600.22715060189)</f>
        <v>4600.2271506018897</v>
      </c>
      <c r="J352" t="s">
        <v>248</v>
      </c>
      <c r="AB352" s="21">
        <v>343</v>
      </c>
    </row>
    <row r="353" spans="1:28" ht="15" x14ac:dyDescent="0.25">
      <c r="A353" s="224" t="s">
        <v>129</v>
      </c>
      <c r="B353">
        <v>75343</v>
      </c>
      <c r="C353" t="s">
        <v>714</v>
      </c>
      <c r="D353" s="93" t="s">
        <v>920</v>
      </c>
      <c r="E353" s="94" t="s">
        <v>187</v>
      </c>
      <c r="G353">
        <v>4169.3599999999997</v>
      </c>
      <c r="H353" s="116">
        <f t="shared" si="6"/>
        <v>4169.3599999999997</v>
      </c>
      <c r="I353" s="230">
        <f>IF("generated"=1, "Path=MMRBEM_7_UP, Scaled Offset=4169.3599999999996725819073617458344", 4619.82938232234)</f>
        <v>4619.8293823223403</v>
      </c>
      <c r="J353" t="s">
        <v>248</v>
      </c>
      <c r="AB353" s="21">
        <v>344</v>
      </c>
    </row>
    <row r="354" spans="1:28" ht="15" x14ac:dyDescent="0.25">
      <c r="A354" s="224" t="s">
        <v>129</v>
      </c>
      <c r="B354">
        <v>75344</v>
      </c>
      <c r="C354" t="s">
        <v>715</v>
      </c>
      <c r="D354" s="93" t="s">
        <v>920</v>
      </c>
      <c r="E354" s="94" t="s">
        <v>187</v>
      </c>
      <c r="G354">
        <v>4172.3599999999997</v>
      </c>
      <c r="H354" s="116">
        <f t="shared" si="6"/>
        <v>4172.3599999999997</v>
      </c>
      <c r="I354" s="230">
        <f>IF("generated"=1, "Path=MMRBEM_7_UP, Scaled Offset=4172.3599999999996725819073617458344", 4622.78152565373)</f>
        <v>4622.7815256537297</v>
      </c>
      <c r="J354" t="s">
        <v>248</v>
      </c>
      <c r="AB354" s="21">
        <v>345</v>
      </c>
    </row>
    <row r="355" spans="1:28" ht="15" x14ac:dyDescent="0.25">
      <c r="A355" s="224" t="s">
        <v>129</v>
      </c>
      <c r="B355">
        <v>75345</v>
      </c>
      <c r="C355" t="s">
        <v>716</v>
      </c>
      <c r="D355" s="93" t="s">
        <v>920</v>
      </c>
      <c r="E355" s="94" t="s">
        <v>187</v>
      </c>
      <c r="G355">
        <v>4230.38</v>
      </c>
      <c r="H355" s="116">
        <f t="shared" si="6"/>
        <v>4230.38</v>
      </c>
      <c r="I355" s="230">
        <f>IF("generated"=1, "Path=MMRBEM_7_UP, Scaled Offset=4230.3800000000001091393642127513885", 4679.87597768285)</f>
        <v>4679.8759776828501</v>
      </c>
      <c r="J355" t="s">
        <v>248</v>
      </c>
      <c r="AB355" s="21">
        <v>346</v>
      </c>
    </row>
    <row r="356" spans="1:28" ht="15" x14ac:dyDescent="0.25">
      <c r="A356" s="224" t="s">
        <v>129</v>
      </c>
      <c r="B356">
        <v>75346</v>
      </c>
      <c r="C356" t="s">
        <v>717</v>
      </c>
      <c r="D356" s="93" t="s">
        <v>920</v>
      </c>
      <c r="E356" s="94" t="s">
        <v>187</v>
      </c>
      <c r="G356">
        <v>4265.4799999999996</v>
      </c>
      <c r="H356" s="116">
        <f t="shared" si="6"/>
        <v>4265.4799999999996</v>
      </c>
      <c r="I356" s="230">
        <f>IF("generated"=1, "Path=MMRBEM_7_UP, Scaled Offset=4265.4799999999995634425431489944458", 4714.41605466013)</f>
        <v>4714.4160546601297</v>
      </c>
      <c r="J356" t="s">
        <v>248</v>
      </c>
      <c r="AB356" s="21">
        <v>347</v>
      </c>
    </row>
    <row r="357" spans="1:28" ht="15" x14ac:dyDescent="0.25">
      <c r="A357" s="224" t="s">
        <v>129</v>
      </c>
      <c r="B357">
        <v>75347</v>
      </c>
      <c r="C357" t="s">
        <v>718</v>
      </c>
      <c r="D357" s="93" t="s">
        <v>920</v>
      </c>
      <c r="E357" s="94" t="s">
        <v>187</v>
      </c>
      <c r="G357">
        <v>4268.4799999999996</v>
      </c>
      <c r="H357" s="116">
        <f t="shared" si="6"/>
        <v>4268.4799999999996</v>
      </c>
      <c r="I357" s="230">
        <f>IF("generated"=1, "Path=MMRBEM_7_UP, Scaled Offset=4268.4799999999995634425431489944458", 4717.36819799153)</f>
        <v>4717.36819799153</v>
      </c>
      <c r="J357" t="s">
        <v>248</v>
      </c>
      <c r="AB357" s="21">
        <v>348</v>
      </c>
    </row>
    <row r="358" spans="1:28" ht="15" x14ac:dyDescent="0.25">
      <c r="A358" s="224" t="s">
        <v>129</v>
      </c>
      <c r="B358">
        <v>75348</v>
      </c>
      <c r="C358" t="s">
        <v>719</v>
      </c>
      <c r="D358" s="93" t="s">
        <v>920</v>
      </c>
      <c r="E358" s="94" t="s">
        <v>187</v>
      </c>
      <c r="G358">
        <v>4288.3999999999996</v>
      </c>
      <c r="H358" s="116">
        <f t="shared" si="6"/>
        <v>4288.3999999999996</v>
      </c>
      <c r="I358" s="230">
        <f>IF("generated"=1, "Path=MMRBEM_7_UP, Scaled Offset=4288.3999999999996362021192908287048", 4736.97042971197)</f>
        <v>4736.9704297119697</v>
      </c>
      <c r="J358" t="s">
        <v>248</v>
      </c>
      <c r="AB358" s="21">
        <v>349</v>
      </c>
    </row>
    <row r="359" spans="1:28" ht="15" x14ac:dyDescent="0.25">
      <c r="A359" s="224" t="s">
        <v>129</v>
      </c>
      <c r="B359">
        <v>75349</v>
      </c>
      <c r="C359" t="s">
        <v>720</v>
      </c>
      <c r="D359" s="93" t="s">
        <v>920</v>
      </c>
      <c r="E359" s="94" t="s">
        <v>187</v>
      </c>
      <c r="G359">
        <v>4291.3999999999996</v>
      </c>
      <c r="H359" s="116">
        <f t="shared" si="6"/>
        <v>4291.3999999999996</v>
      </c>
      <c r="I359" s="230">
        <f>IF("generated"=1, "Path=MMRBEM_7_UP, Scaled Offset=4291.3999999999996362021192908287048", 4739.92257304336)</f>
        <v>4739.92257304336</v>
      </c>
      <c r="J359" t="s">
        <v>248</v>
      </c>
      <c r="AB359" s="21">
        <v>350</v>
      </c>
    </row>
    <row r="360" spans="1:28" ht="15" x14ac:dyDescent="0.25">
      <c r="A360" s="224" t="s">
        <v>129</v>
      </c>
      <c r="B360">
        <v>75350</v>
      </c>
      <c r="C360" t="s">
        <v>721</v>
      </c>
      <c r="D360" s="93" t="s">
        <v>920</v>
      </c>
      <c r="E360" s="94" t="s">
        <v>187</v>
      </c>
      <c r="G360">
        <v>4343.82</v>
      </c>
      <c r="H360" s="116">
        <f t="shared" si="6"/>
        <v>4343.82</v>
      </c>
      <c r="I360" s="230">
        <f>IF("generated"=1, "Path=MMRBEM_7_UP, Scaled Offset=4343.8199999999997089616954326629639", 4791.50635752055)</f>
        <v>4791.5063575205504</v>
      </c>
      <c r="J360" t="s">
        <v>248</v>
      </c>
      <c r="AB360" s="21">
        <v>351</v>
      </c>
    </row>
    <row r="361" spans="1:28" ht="15" x14ac:dyDescent="0.25">
      <c r="A361" s="224" t="s">
        <v>129</v>
      </c>
      <c r="B361">
        <v>75351</v>
      </c>
      <c r="C361" t="s">
        <v>722</v>
      </c>
      <c r="D361" s="93" t="s">
        <v>920</v>
      </c>
      <c r="E361" s="94" t="s">
        <v>187</v>
      </c>
      <c r="G361">
        <v>4424</v>
      </c>
      <c r="H361" s="116">
        <f t="shared" si="6"/>
        <v>4424</v>
      </c>
      <c r="I361" s="230">
        <f>IF("generated"=1, "Path=MMRBEM_7_UP, Scaled Offset=4424", 4870.40730829088)</f>
        <v>4870.4073082908799</v>
      </c>
      <c r="J361" t="s">
        <v>248</v>
      </c>
      <c r="AB361" s="21">
        <v>352</v>
      </c>
    </row>
    <row r="362" spans="1:28" ht="15" x14ac:dyDescent="0.25">
      <c r="A362" s="224" t="s">
        <v>129</v>
      </c>
      <c r="B362">
        <v>75352</v>
      </c>
      <c r="C362" t="s">
        <v>723</v>
      </c>
      <c r="D362" s="93" t="s">
        <v>920</v>
      </c>
      <c r="E362" s="94" t="s">
        <v>187</v>
      </c>
      <c r="G362">
        <v>4445</v>
      </c>
      <c r="H362" s="116">
        <f t="shared" si="6"/>
        <v>4445</v>
      </c>
      <c r="I362" s="230">
        <f>IF("generated"=1, "Path=MMRBEM_7_UP, Scaled Offset=4445", 4891.07231161063)</f>
        <v>4891.0723116106301</v>
      </c>
      <c r="J362" t="s">
        <v>248</v>
      </c>
      <c r="AB362" s="21">
        <v>353</v>
      </c>
    </row>
    <row r="363" spans="1:28" ht="15" x14ac:dyDescent="0.25">
      <c r="A363" s="224" t="s">
        <v>129</v>
      </c>
      <c r="B363">
        <v>75353</v>
      </c>
      <c r="C363" t="s">
        <v>724</v>
      </c>
      <c r="D363" s="93" t="s">
        <v>920</v>
      </c>
      <c r="E363" s="94" t="s">
        <v>187</v>
      </c>
      <c r="G363">
        <v>4565</v>
      </c>
      <c r="H363" s="116">
        <f t="shared" si="6"/>
        <v>4565</v>
      </c>
      <c r="I363" s="230">
        <f>IF("generated"=1, "Path=MMRBEM_7_UP, Scaled Offset=4565", 5009.1580448663)</f>
        <v>5009.1580448662999</v>
      </c>
      <c r="J363" t="s">
        <v>248</v>
      </c>
      <c r="AB363" s="21">
        <v>354</v>
      </c>
    </row>
    <row r="364" spans="1:28" ht="15" x14ac:dyDescent="0.25">
      <c r="A364" s="224" t="s">
        <v>129</v>
      </c>
      <c r="B364">
        <v>75354</v>
      </c>
      <c r="C364" t="s">
        <v>725</v>
      </c>
      <c r="D364" s="93" t="s">
        <v>920</v>
      </c>
      <c r="E364" s="94" t="s">
        <v>187</v>
      </c>
      <c r="G364">
        <v>4765</v>
      </c>
      <c r="H364" s="116">
        <f t="shared" si="6"/>
        <v>4765</v>
      </c>
      <c r="I364" s="230">
        <f>IF("generated"=1, "Path=MMRBEM_7_UP, Scaled Offset=4765", 5205.96760029243)</f>
        <v>5205.9676002924298</v>
      </c>
      <c r="J364" t="s">
        <v>248</v>
      </c>
      <c r="AB364" s="21">
        <v>355</v>
      </c>
    </row>
    <row r="365" spans="1:28" ht="15" x14ac:dyDescent="0.25">
      <c r="A365" s="224" t="s">
        <v>129</v>
      </c>
      <c r="B365">
        <v>75355</v>
      </c>
      <c r="C365" t="s">
        <v>726</v>
      </c>
      <c r="D365" s="93" t="s">
        <v>920</v>
      </c>
      <c r="E365" s="94" t="s">
        <v>187</v>
      </c>
      <c r="G365">
        <v>4965</v>
      </c>
      <c r="H365" s="116">
        <f t="shared" si="6"/>
        <v>4965</v>
      </c>
      <c r="I365" s="230">
        <f>IF("generated"=1, "Path=MMRBEM_7_UP, Scaled Offset=4965", 5402.77715571856)</f>
        <v>5402.7771557185597</v>
      </c>
      <c r="J365" t="s">
        <v>248</v>
      </c>
      <c r="AB365" s="21">
        <v>356</v>
      </c>
    </row>
    <row r="366" spans="1:28" ht="15" x14ac:dyDescent="0.25">
      <c r="A366" s="224" t="s">
        <v>129</v>
      </c>
      <c r="B366">
        <v>75356</v>
      </c>
      <c r="C366" t="s">
        <v>727</v>
      </c>
      <c r="D366" s="93" t="s">
        <v>920</v>
      </c>
      <c r="E366" s="94" t="s">
        <v>187</v>
      </c>
      <c r="G366">
        <v>5165</v>
      </c>
      <c r="H366" s="116">
        <f t="shared" si="6"/>
        <v>5165</v>
      </c>
      <c r="I366" s="230">
        <f>IF("generated"=1, "Path=MMRBEM_7_UP, Scaled Offset=5165", 5599.58671114469)</f>
        <v>5599.5867111446896</v>
      </c>
      <c r="J366" t="s">
        <v>248</v>
      </c>
      <c r="AB366" s="21">
        <v>357</v>
      </c>
    </row>
    <row r="367" spans="1:28" ht="15" x14ac:dyDescent="0.25">
      <c r="A367" s="224" t="s">
        <v>129</v>
      </c>
      <c r="B367">
        <v>75357</v>
      </c>
      <c r="C367" t="s">
        <v>728</v>
      </c>
      <c r="D367" s="93" t="s">
        <v>920</v>
      </c>
      <c r="E367" s="94" t="s">
        <v>187</v>
      </c>
      <c r="G367">
        <v>5365</v>
      </c>
      <c r="H367" s="116">
        <f t="shared" si="6"/>
        <v>5365</v>
      </c>
      <c r="I367" s="230">
        <f>IF("generated"=1, "Path=MMRBEM_7_UP, Scaled Offset=5365", 5796.39626657082)</f>
        <v>5796.3962665708204</v>
      </c>
      <c r="J367" t="s">
        <v>248</v>
      </c>
      <c r="AB367" s="21">
        <v>358</v>
      </c>
    </row>
    <row r="368" spans="1:28" ht="15" x14ac:dyDescent="0.25">
      <c r="A368" s="224" t="s">
        <v>129</v>
      </c>
      <c r="B368">
        <v>75358</v>
      </c>
      <c r="C368" t="s">
        <v>729</v>
      </c>
      <c r="D368" s="93" t="s">
        <v>920</v>
      </c>
      <c r="E368" s="94" t="s">
        <v>187</v>
      </c>
      <c r="G368">
        <v>5552.59</v>
      </c>
      <c r="H368" s="116">
        <f t="shared" si="6"/>
        <v>5552.59</v>
      </c>
      <c r="I368" s="230">
        <f>IF("generated"=1, "Path=MMRBEM_7_UP, Scaled Offset=5552.5900000000001455191522836685181", 5980.99378908275)</f>
        <v>5980.9937890827496</v>
      </c>
      <c r="J368" t="s">
        <v>248</v>
      </c>
      <c r="AB368" s="21">
        <v>359</v>
      </c>
    </row>
    <row r="369" spans="1:28" ht="15" x14ac:dyDescent="0.25">
      <c r="A369" s="224" t="s">
        <v>129</v>
      </c>
      <c r="B369">
        <v>75359</v>
      </c>
      <c r="C369" t="s">
        <v>730</v>
      </c>
      <c r="D369" s="93" t="s">
        <v>920</v>
      </c>
      <c r="E369" s="94" t="s">
        <v>187</v>
      </c>
      <c r="G369">
        <v>5596.17</v>
      </c>
      <c r="H369" s="116">
        <f t="shared" si="6"/>
        <v>5596.17</v>
      </c>
      <c r="I369" s="230">
        <f>IF("generated"=1, "Path=MMRBEM_7_UP, Scaled Offset=5596.170000000000072759576141834259", 6023.87859121011)</f>
        <v>6023.8785912101102</v>
      </c>
      <c r="J369" t="s">
        <v>248</v>
      </c>
      <c r="AB369" s="21">
        <v>360</v>
      </c>
    </row>
    <row r="370" spans="1:28" ht="15" x14ac:dyDescent="0.25">
      <c r="A370" s="224" t="s">
        <v>129</v>
      </c>
      <c r="B370">
        <v>75360</v>
      </c>
      <c r="C370" t="s">
        <v>731</v>
      </c>
      <c r="D370" s="93" t="s">
        <v>920</v>
      </c>
      <c r="E370" s="94" t="s">
        <v>187</v>
      </c>
      <c r="G370">
        <v>5651.57</v>
      </c>
      <c r="H370" s="116">
        <f t="shared" si="6"/>
        <v>5651.57</v>
      </c>
      <c r="I370" s="230">
        <f>IF("generated"=1, "Path=MMRBEM_7_UP, Scaled Offset=5651.5699999999997089616954326629639", 6078.39483806314)</f>
        <v>6078.39483806314</v>
      </c>
      <c r="J370" t="s">
        <v>248</v>
      </c>
      <c r="AB370" s="21">
        <v>361</v>
      </c>
    </row>
    <row r="371" spans="1:28" ht="15" x14ac:dyDescent="0.25">
      <c r="A371" s="224" t="s">
        <v>129</v>
      </c>
      <c r="B371">
        <v>75361</v>
      </c>
      <c r="C371" t="s">
        <v>732</v>
      </c>
      <c r="D371" s="93" t="s">
        <v>920</v>
      </c>
      <c r="E371" s="94" t="s">
        <v>187</v>
      </c>
      <c r="G371">
        <v>5681.5</v>
      </c>
      <c r="H371" s="116">
        <f t="shared" si="6"/>
        <v>5681.5</v>
      </c>
      <c r="I371" s="230">
        <f>IF("generated"=1, "Path=MMRBEM_7_UP, Scaled Offset=5681.5", 6107.84738803266)</f>
        <v>6107.8473880326601</v>
      </c>
      <c r="J371" t="s">
        <v>248</v>
      </c>
      <c r="AB371" s="21">
        <v>362</v>
      </c>
    </row>
    <row r="372" spans="1:28" ht="15" x14ac:dyDescent="0.25">
      <c r="A372" s="224" t="s">
        <v>129</v>
      </c>
      <c r="B372">
        <v>75362</v>
      </c>
      <c r="C372" t="s">
        <v>733</v>
      </c>
      <c r="D372" s="93" t="s">
        <v>920</v>
      </c>
      <c r="E372" s="94" t="s">
        <v>187</v>
      </c>
      <c r="G372">
        <v>5727.34</v>
      </c>
      <c r="H372" s="116">
        <f t="shared" si="6"/>
        <v>5727.34</v>
      </c>
      <c r="I372" s="230">
        <f>IF("generated"=1, "Path=MMRBEM_7_UP, Scaled Offset=5727.3400000000001455191522836685181", 6152.95613813633)</f>
        <v>6152.9561381363301</v>
      </c>
      <c r="J372" t="s">
        <v>248</v>
      </c>
      <c r="AB372" s="21">
        <v>363</v>
      </c>
    </row>
    <row r="373" spans="1:28" ht="15" x14ac:dyDescent="0.25">
      <c r="A373" s="224" t="s">
        <v>129</v>
      </c>
      <c r="B373">
        <v>75363</v>
      </c>
      <c r="C373" t="s">
        <v>734</v>
      </c>
      <c r="D373" s="93" t="s">
        <v>920</v>
      </c>
      <c r="E373" s="94" t="s">
        <v>187</v>
      </c>
      <c r="G373">
        <v>5768.3</v>
      </c>
      <c r="H373" s="116">
        <f t="shared" si="6"/>
        <v>5768.3</v>
      </c>
      <c r="I373" s="230">
        <f>IF("generated"=1, "Path=MMRBEM_7_UP, Scaled Offset=5768.3000000000001818989403545856476", 6193.2627350876)</f>
        <v>6193.2627350876</v>
      </c>
      <c r="J373" t="s">
        <v>248</v>
      </c>
      <c r="AB373" s="21">
        <v>364</v>
      </c>
    </row>
    <row r="374" spans="1:28" ht="15" x14ac:dyDescent="0.25">
      <c r="A374" s="224" t="s">
        <v>129</v>
      </c>
      <c r="B374">
        <v>75364</v>
      </c>
      <c r="C374" t="s">
        <v>735</v>
      </c>
      <c r="D374" s="93" t="s">
        <v>920</v>
      </c>
      <c r="E374" s="94" t="s">
        <v>187</v>
      </c>
      <c r="G374">
        <v>5823.46</v>
      </c>
      <c r="H374" s="116">
        <f t="shared" si="6"/>
        <v>5823.46</v>
      </c>
      <c r="I374" s="230">
        <f>IF("generated"=1, "Path=MMRBEM_7_UP, Scaled Offset=5823.4600000000000363797880709171295", 6247.54281047413)</f>
        <v>6247.5428104741304</v>
      </c>
      <c r="J374" t="s">
        <v>248</v>
      </c>
      <c r="AB374" s="21">
        <v>365</v>
      </c>
    </row>
    <row r="375" spans="1:28" ht="15" x14ac:dyDescent="0.25">
      <c r="A375" s="224" t="s">
        <v>129</v>
      </c>
      <c r="B375">
        <v>75365</v>
      </c>
      <c r="C375" t="s">
        <v>736</v>
      </c>
      <c r="D375" s="93" t="s">
        <v>920</v>
      </c>
      <c r="E375" s="94" t="s">
        <v>187</v>
      </c>
      <c r="G375">
        <v>5859.34</v>
      </c>
      <c r="H375" s="116">
        <f t="shared" si="6"/>
        <v>5859.34</v>
      </c>
      <c r="I375" s="230">
        <f>IF("generated"=1, "Path=MMRBEM_7_UP, Scaled Offset=5859.3400000000001455191522836685181", 6282.85044471758)</f>
        <v>6282.8504447175801</v>
      </c>
      <c r="J375" t="s">
        <v>248</v>
      </c>
      <c r="AB375" s="21">
        <v>366</v>
      </c>
    </row>
    <row r="376" spans="1:28" ht="15" x14ac:dyDescent="0.25">
      <c r="A376" s="224" t="s">
        <v>129</v>
      </c>
      <c r="B376">
        <v>75366</v>
      </c>
      <c r="C376" t="s">
        <v>737</v>
      </c>
      <c r="D376" s="93" t="s">
        <v>920</v>
      </c>
      <c r="E376" s="94" t="s">
        <v>187</v>
      </c>
      <c r="G376">
        <v>5946.53</v>
      </c>
      <c r="H376" s="116">
        <f t="shared" si="6"/>
        <v>5946.53</v>
      </c>
      <c r="I376" s="230">
        <f>IF("generated"=1, "Path=MMRBEM_7_UP, Scaled Offset=5946.5299999999997453414835035800934", 6368.54049154565)</f>
        <v>6368.5404915456502</v>
      </c>
      <c r="J376" t="s">
        <v>248</v>
      </c>
      <c r="AB376" s="21">
        <v>367</v>
      </c>
    </row>
    <row r="377" spans="1:28" ht="15" x14ac:dyDescent="0.25">
      <c r="A377" s="224" t="s">
        <v>129</v>
      </c>
      <c r="B377">
        <v>75367</v>
      </c>
      <c r="C377" t="s">
        <v>738</v>
      </c>
      <c r="D377" s="93" t="s">
        <v>920</v>
      </c>
      <c r="E377" s="94" t="s">
        <v>187</v>
      </c>
      <c r="G377">
        <v>5967.53</v>
      </c>
      <c r="H377" s="116">
        <f t="shared" si="6"/>
        <v>5967.53</v>
      </c>
      <c r="I377" s="230">
        <f>IF("generated"=1, "Path=MMRBEM_7_UP, Scaled Offset=5967.5299999999997453414835035800934", 6389.13377739329)</f>
        <v>6389.1337773932901</v>
      </c>
      <c r="J377" t="s">
        <v>248</v>
      </c>
      <c r="AB377" s="21">
        <v>368</v>
      </c>
    </row>
    <row r="378" spans="1:28" ht="15" x14ac:dyDescent="0.25">
      <c r="A378" s="224" t="s">
        <v>129</v>
      </c>
      <c r="B378">
        <v>75368</v>
      </c>
      <c r="C378" t="s">
        <v>739</v>
      </c>
      <c r="D378" s="93" t="s">
        <v>920</v>
      </c>
      <c r="E378" s="94" t="s">
        <v>187</v>
      </c>
      <c r="G378">
        <v>6031.82</v>
      </c>
      <c r="H378" s="116">
        <f t="shared" si="6"/>
        <v>6031.82</v>
      </c>
      <c r="I378" s="230">
        <f>IF("generated"=1, "Path=MMRBEM_7_UP, Scaled Offset=6031.8199999999997089616954326629639", 6452.17865106685)</f>
        <v>6452.1786510668499</v>
      </c>
      <c r="J378" t="s">
        <v>248</v>
      </c>
      <c r="AB378" s="21">
        <v>369</v>
      </c>
    </row>
    <row r="379" spans="1:28" ht="15" x14ac:dyDescent="0.25">
      <c r="A379" s="224" t="s">
        <v>129</v>
      </c>
      <c r="B379">
        <v>75369</v>
      </c>
      <c r="C379" t="s">
        <v>740</v>
      </c>
      <c r="D379" s="93" t="s">
        <v>920</v>
      </c>
      <c r="E379" s="94" t="s">
        <v>187</v>
      </c>
      <c r="G379">
        <v>6046.68</v>
      </c>
      <c r="H379" s="116">
        <f t="shared" si="6"/>
        <v>6046.68</v>
      </c>
      <c r="I379" s="230">
        <f>IF("generated"=1, "Path=MMRBEM_7_UP, Scaled Offset=6046.6800000000002910383045673370361", 6466.7508523857)</f>
        <v>6466.7508523856995</v>
      </c>
      <c r="J379" t="s">
        <v>248</v>
      </c>
      <c r="AB379" s="21">
        <v>370</v>
      </c>
    </row>
    <row r="380" spans="1:28" ht="15" x14ac:dyDescent="0.25">
      <c r="A380" s="224" t="s">
        <v>129</v>
      </c>
      <c r="B380">
        <v>75370</v>
      </c>
      <c r="C380" t="s">
        <v>741</v>
      </c>
      <c r="D380" s="93" t="s">
        <v>920</v>
      </c>
      <c r="E380" s="94" t="s">
        <v>187</v>
      </c>
      <c r="G380">
        <v>6049.68</v>
      </c>
      <c r="H380" s="116">
        <f t="shared" si="6"/>
        <v>6049.68</v>
      </c>
      <c r="I380" s="230">
        <f>IF("generated"=1, "Path=MMRBEM_7_UP, Scaled Offset=6049.6800000000002910383045673370361", 6469.69275036394)</f>
        <v>6469.6927503639399</v>
      </c>
      <c r="J380" t="s">
        <v>248</v>
      </c>
      <c r="AB380" s="21">
        <v>371</v>
      </c>
    </row>
    <row r="381" spans="1:28" ht="15" x14ac:dyDescent="0.25">
      <c r="A381" s="224" t="s">
        <v>129</v>
      </c>
      <c r="B381">
        <v>75371</v>
      </c>
      <c r="C381" t="s">
        <v>742</v>
      </c>
      <c r="D381" s="93" t="s">
        <v>920</v>
      </c>
      <c r="E381" s="94" t="s">
        <v>187</v>
      </c>
      <c r="G381">
        <v>6069.6</v>
      </c>
      <c r="H381" s="116">
        <f t="shared" si="6"/>
        <v>6069.6</v>
      </c>
      <c r="I381" s="230">
        <f>IF("generated"=1, "Path=MMRBEM_7_UP, Scaled Offset=6069.6000000000003637978807091712952", 6489.22695293941)</f>
        <v>6489.2269529394098</v>
      </c>
      <c r="J381" t="s">
        <v>248</v>
      </c>
      <c r="AB381" s="21">
        <v>372</v>
      </c>
    </row>
    <row r="382" spans="1:28" ht="15" x14ac:dyDescent="0.25">
      <c r="A382" s="224" t="s">
        <v>129</v>
      </c>
      <c r="B382">
        <v>75372</v>
      </c>
      <c r="C382" t="s">
        <v>743</v>
      </c>
      <c r="D382" s="93" t="s">
        <v>920</v>
      </c>
      <c r="E382" s="94" t="s">
        <v>187</v>
      </c>
      <c r="G382">
        <v>6072.6</v>
      </c>
      <c r="H382" s="116">
        <f t="shared" si="6"/>
        <v>6072.6</v>
      </c>
      <c r="I382" s="230">
        <f>IF("generated"=1, "Path=MMRBEM_7_UP, Scaled Offset=6072.6000000000003637978807091712952", 6492.16885091765)</f>
        <v>6492.1688509176502</v>
      </c>
      <c r="J382" t="s">
        <v>248</v>
      </c>
      <c r="AB382" s="21">
        <v>373</v>
      </c>
    </row>
    <row r="383" spans="1:28" ht="15" x14ac:dyDescent="0.25">
      <c r="A383" s="224" t="s">
        <v>129</v>
      </c>
      <c r="B383">
        <v>75373</v>
      </c>
      <c r="C383" t="s">
        <v>744</v>
      </c>
      <c r="D383" s="93" t="s">
        <v>920</v>
      </c>
      <c r="E383" s="94" t="s">
        <v>187</v>
      </c>
      <c r="G383">
        <v>6130.62</v>
      </c>
      <c r="H383" s="116">
        <f t="shared" si="6"/>
        <v>6130.62</v>
      </c>
      <c r="I383" s="230">
        <f>IF("generated"=1, "Path=MMRBEM_7_UP, Scaled Offset=6130.6199999999998908606357872486115", 6549.0651578167)</f>
        <v>6549.0651578166999</v>
      </c>
      <c r="J383" t="s">
        <v>248</v>
      </c>
      <c r="AB383" s="21">
        <v>374</v>
      </c>
    </row>
    <row r="384" spans="1:28" ht="15" x14ac:dyDescent="0.25">
      <c r="A384" s="224" t="s">
        <v>129</v>
      </c>
      <c r="B384">
        <v>75374</v>
      </c>
      <c r="C384" t="s">
        <v>745</v>
      </c>
      <c r="D384" s="93" t="s">
        <v>920</v>
      </c>
      <c r="E384" s="94" t="s">
        <v>187</v>
      </c>
      <c r="G384">
        <v>6165.72</v>
      </c>
      <c r="H384" s="116">
        <f t="shared" si="6"/>
        <v>6165.72</v>
      </c>
      <c r="I384" s="230">
        <f>IF("generated"=1, "Path=MMRBEM_7_UP, Scaled Offset=6165.7200000000002546585164964199066", 6583.48536416204)</f>
        <v>6583.4853641620402</v>
      </c>
      <c r="J384" t="s">
        <v>248</v>
      </c>
      <c r="AB384" s="21">
        <v>375</v>
      </c>
    </row>
    <row r="385" spans="1:28" ht="15" x14ac:dyDescent="0.25">
      <c r="A385" s="224" t="s">
        <v>129</v>
      </c>
      <c r="B385">
        <v>75375</v>
      </c>
      <c r="C385" t="s">
        <v>746</v>
      </c>
      <c r="D385" s="93" t="s">
        <v>920</v>
      </c>
      <c r="E385" s="94" t="s">
        <v>187</v>
      </c>
      <c r="G385">
        <v>6168.72</v>
      </c>
      <c r="H385" s="116">
        <f t="shared" ref="H385:H448" si="7">G385+F385</f>
        <v>6168.72</v>
      </c>
      <c r="I385" s="230">
        <f>IF("generated"=1, "Path=MMRBEM_7_UP, Scaled Offset=6168.7200000000002546585164964199066", 6586.42726214028)</f>
        <v>6586.4272621402797</v>
      </c>
      <c r="J385" t="s">
        <v>248</v>
      </c>
      <c r="AB385" s="21">
        <v>376</v>
      </c>
    </row>
    <row r="386" spans="1:28" ht="15" x14ac:dyDescent="0.25">
      <c r="A386" s="224" t="s">
        <v>129</v>
      </c>
      <c r="B386">
        <v>75376</v>
      </c>
      <c r="C386" t="s">
        <v>747</v>
      </c>
      <c r="D386" s="93" t="s">
        <v>920</v>
      </c>
      <c r="E386" s="94" t="s">
        <v>187</v>
      </c>
      <c r="G386">
        <v>6188.64</v>
      </c>
      <c r="H386" s="116">
        <f t="shared" si="7"/>
        <v>6188.64</v>
      </c>
      <c r="I386" s="230">
        <f>IF("generated"=1, "Path=MMRBEM_7_UP, Scaled Offset=6188.6400000000003274180926382541656", 6605.96146471575)</f>
        <v>6605.9614647157496</v>
      </c>
      <c r="J386" t="s">
        <v>248</v>
      </c>
      <c r="AB386" s="21">
        <v>377</v>
      </c>
    </row>
    <row r="387" spans="1:28" ht="15" x14ac:dyDescent="0.25">
      <c r="A387" s="224" t="s">
        <v>129</v>
      </c>
      <c r="B387">
        <v>75377</v>
      </c>
      <c r="C387" t="s">
        <v>748</v>
      </c>
      <c r="D387" s="93" t="s">
        <v>920</v>
      </c>
      <c r="E387" s="94" t="s">
        <v>187</v>
      </c>
      <c r="G387">
        <v>6191.64</v>
      </c>
      <c r="H387" s="116">
        <f t="shared" si="7"/>
        <v>6191.64</v>
      </c>
      <c r="I387" s="230">
        <f>IF("generated"=1, "Path=MMRBEM_7_UP, Scaled Offset=6191.6400000000003274180926382541656", 6608.90336269399)</f>
        <v>6608.9033626939899</v>
      </c>
      <c r="J387" t="s">
        <v>248</v>
      </c>
      <c r="AB387" s="21">
        <v>378</v>
      </c>
    </row>
    <row r="388" spans="1:28" ht="15" x14ac:dyDescent="0.25">
      <c r="A388" s="224" t="s">
        <v>129</v>
      </c>
      <c r="B388">
        <v>75378</v>
      </c>
      <c r="C388" t="s">
        <v>749</v>
      </c>
      <c r="D388" s="93" t="s">
        <v>920</v>
      </c>
      <c r="E388" s="94" t="s">
        <v>187</v>
      </c>
      <c r="G388">
        <v>6244.06</v>
      </c>
      <c r="H388" s="116">
        <f t="shared" si="7"/>
        <v>6244.06</v>
      </c>
      <c r="I388" s="230">
        <f>IF("generated"=1, "Path=MMRBEM_7_UP, Scaled Offset=6244.0600000000004001776687800884247", 6660.30812670034)</f>
        <v>6660.3081267003399</v>
      </c>
      <c r="J388" t="s">
        <v>248</v>
      </c>
      <c r="AB388" s="21">
        <v>379</v>
      </c>
    </row>
    <row r="389" spans="1:28" ht="15" x14ac:dyDescent="0.25">
      <c r="A389" s="224" t="s">
        <v>129</v>
      </c>
      <c r="B389">
        <v>75379</v>
      </c>
      <c r="C389" t="s">
        <v>750</v>
      </c>
      <c r="D389" s="93" t="s">
        <v>920</v>
      </c>
      <c r="E389" s="94" t="s">
        <v>187</v>
      </c>
      <c r="G389">
        <v>6265.06</v>
      </c>
      <c r="H389" s="116">
        <f t="shared" si="7"/>
        <v>6265.06</v>
      </c>
      <c r="I389" s="230">
        <f>IF("generated"=1, "Path=MMRBEM_7_UP, Scaled Offset=6265.0600000000004001776687800884247", 6680.90141254798)</f>
        <v>6680.9014125479798</v>
      </c>
      <c r="J389" t="s">
        <v>248</v>
      </c>
      <c r="AB389" s="21">
        <v>380</v>
      </c>
    </row>
    <row r="390" spans="1:28" ht="15" x14ac:dyDescent="0.25">
      <c r="A390" s="224" t="s">
        <v>129</v>
      </c>
      <c r="B390">
        <v>75380</v>
      </c>
      <c r="C390" t="s">
        <v>751</v>
      </c>
      <c r="D390" s="93" t="s">
        <v>920</v>
      </c>
      <c r="E390" s="94" t="s">
        <v>187</v>
      </c>
      <c r="G390">
        <v>6290</v>
      </c>
      <c r="H390" s="116">
        <f t="shared" si="7"/>
        <v>6290</v>
      </c>
      <c r="I390" s="230">
        <f>IF("generated"=1, "Path=MMRBEM_7_UP, Scaled Offset=6290", 6705.3583910737)</f>
        <v>6705.3583910736997</v>
      </c>
      <c r="J390" t="s">
        <v>248</v>
      </c>
      <c r="AB390" s="21">
        <v>381</v>
      </c>
    </row>
    <row r="391" spans="1:28" ht="15" x14ac:dyDescent="0.25">
      <c r="A391" s="224" t="s">
        <v>129</v>
      </c>
      <c r="B391">
        <v>75381</v>
      </c>
      <c r="C391" t="s">
        <v>752</v>
      </c>
      <c r="D391" s="93" t="s">
        <v>920</v>
      </c>
      <c r="E391" s="94" t="s">
        <v>187</v>
      </c>
      <c r="G391">
        <v>6388.55</v>
      </c>
      <c r="H391" s="116">
        <f t="shared" si="7"/>
        <v>6388.55</v>
      </c>
      <c r="I391" s="230">
        <f>IF("generated"=1, "Path=MMRBEM_7_UP, Scaled Offset=6388.5500000000001818989403545856476", 6803.08890934485)</f>
        <v>6803.0889093448504</v>
      </c>
      <c r="J391" t="s">
        <v>248</v>
      </c>
      <c r="AB391" s="21">
        <v>382</v>
      </c>
    </row>
    <row r="392" spans="1:28" ht="15" x14ac:dyDescent="0.25">
      <c r="A392" s="224" t="s">
        <v>129</v>
      </c>
      <c r="B392">
        <v>75382</v>
      </c>
      <c r="C392" t="s">
        <v>753</v>
      </c>
      <c r="D392" s="93" t="s">
        <v>920</v>
      </c>
      <c r="E392" s="94" t="s">
        <v>187</v>
      </c>
      <c r="G392">
        <v>6414.87</v>
      </c>
      <c r="H392" s="116">
        <f t="shared" si="7"/>
        <v>6414.87</v>
      </c>
      <c r="I392" s="230">
        <f>IF("generated"=1, "Path=MMRBEM_7_UP, Scaled Offset=6414.8699999999998908606357872486115", 6829.34155208468)</f>
        <v>6829.3415520846802</v>
      </c>
      <c r="J392" t="s">
        <v>248</v>
      </c>
      <c r="AB392" s="21">
        <v>383</v>
      </c>
    </row>
    <row r="393" spans="1:28" ht="15" x14ac:dyDescent="0.25">
      <c r="A393" s="224" t="s">
        <v>129</v>
      </c>
      <c r="B393">
        <v>75383</v>
      </c>
      <c r="C393" t="s">
        <v>754</v>
      </c>
      <c r="D393" s="93" t="s">
        <v>920</v>
      </c>
      <c r="E393" s="94" t="s">
        <v>187</v>
      </c>
      <c r="G393">
        <v>6482.58</v>
      </c>
      <c r="H393" s="116">
        <f t="shared" si="7"/>
        <v>6482.58</v>
      </c>
      <c r="I393" s="230">
        <f>IF("generated"=1, "Path=MMRBEM_7_UP, Scaled Offset=6482.579999999999927240423858165741", 6896.87827092641)</f>
        <v>6896.8782709264096</v>
      </c>
      <c r="J393" t="s">
        <v>248</v>
      </c>
      <c r="AB393" s="21">
        <v>384</v>
      </c>
    </row>
    <row r="394" spans="1:28" ht="15" x14ac:dyDescent="0.25">
      <c r="A394" s="224" t="s">
        <v>129</v>
      </c>
      <c r="B394">
        <v>75384</v>
      </c>
      <c r="C394" t="s">
        <v>755</v>
      </c>
      <c r="D394" s="93" t="s">
        <v>920</v>
      </c>
      <c r="E394" s="94" t="s">
        <v>187</v>
      </c>
      <c r="G394">
        <v>6510.99</v>
      </c>
      <c r="H394" s="116">
        <f t="shared" si="7"/>
        <v>6510.99</v>
      </c>
      <c r="I394" s="230">
        <f>IF("generated"=1, "Path=MMRBEM_7_UP, Scaled Offset=6510.9899999999997817212715744972229", 6925.21556500843)</f>
        <v>6925.2155650084296</v>
      </c>
      <c r="J394" t="s">
        <v>248</v>
      </c>
      <c r="AB394" s="21">
        <v>385</v>
      </c>
    </row>
    <row r="395" spans="1:28" ht="15" x14ac:dyDescent="0.25">
      <c r="A395" s="224" t="s">
        <v>129</v>
      </c>
      <c r="B395">
        <v>75385</v>
      </c>
      <c r="C395" t="s">
        <v>756</v>
      </c>
      <c r="D395" s="93" t="s">
        <v>920</v>
      </c>
      <c r="E395" s="94" t="s">
        <v>187</v>
      </c>
      <c r="G395">
        <v>6556.83</v>
      </c>
      <c r="H395" s="116">
        <f t="shared" si="7"/>
        <v>6556.83</v>
      </c>
      <c r="I395" s="230">
        <f>IF("generated"=1, "Path=MMRBEM_7_UP, Scaled Offset=6556.829999999999927240423858165741", 6970.93825281976)</f>
        <v>6970.9382528197602</v>
      </c>
      <c r="J395" t="s">
        <v>248</v>
      </c>
      <c r="AB395" s="21">
        <v>386</v>
      </c>
    </row>
    <row r="396" spans="1:28" ht="15" x14ac:dyDescent="0.25">
      <c r="A396" s="224" t="s">
        <v>129</v>
      </c>
      <c r="B396">
        <v>75386</v>
      </c>
      <c r="C396" t="s">
        <v>757</v>
      </c>
      <c r="D396" s="93" t="s">
        <v>920</v>
      </c>
      <c r="E396" s="94" t="s">
        <v>187</v>
      </c>
      <c r="G396">
        <v>6596.32</v>
      </c>
      <c r="H396" s="116">
        <f t="shared" si="7"/>
        <v>6596.32</v>
      </c>
      <c r="I396" s="230">
        <f>IF("generated"=1, "Path=MMRBEM_7_UP, Scaled Offset=6596.3199999999997089616954326629639", 7010.32719133785)</f>
        <v>7010.3271913378503</v>
      </c>
      <c r="J396" t="s">
        <v>248</v>
      </c>
      <c r="AB396" s="21">
        <v>387</v>
      </c>
    </row>
    <row r="397" spans="1:28" ht="15" x14ac:dyDescent="0.25">
      <c r="A397" s="224" t="s">
        <v>129</v>
      </c>
      <c r="B397">
        <v>75387</v>
      </c>
      <c r="C397" t="s">
        <v>758</v>
      </c>
      <c r="D397" s="93" t="s">
        <v>920</v>
      </c>
      <c r="E397" s="94" t="s">
        <v>187</v>
      </c>
      <c r="G397">
        <v>6647.24</v>
      </c>
      <c r="H397" s="116">
        <f t="shared" si="7"/>
        <v>6647.24</v>
      </c>
      <c r="I397" s="230">
        <f>IF("generated"=1, "Path=MMRBEM_7_UP, Scaled Offset=6647.2399999999997817212715744972229", 7061.11687858377)</f>
        <v>7061.1168785837699</v>
      </c>
      <c r="J397" t="s">
        <v>248</v>
      </c>
      <c r="AB397" s="21">
        <v>388</v>
      </c>
    </row>
    <row r="398" spans="1:28" ht="15" x14ac:dyDescent="0.25">
      <c r="A398" s="224" t="s">
        <v>129</v>
      </c>
      <c r="B398">
        <v>75388</v>
      </c>
      <c r="C398" t="s">
        <v>759</v>
      </c>
      <c r="D398" s="93" t="s">
        <v>920</v>
      </c>
      <c r="E398" s="94" t="s">
        <v>187</v>
      </c>
      <c r="G398">
        <v>6708.66</v>
      </c>
      <c r="H398" s="116">
        <f t="shared" si="7"/>
        <v>6708.66</v>
      </c>
      <c r="I398" s="230">
        <f>IF("generated"=1, "Path=MMRBEM_7_UP, Scaled Offset=6708.6599999999998544808477163314819", 7122.37969458228)</f>
        <v>7122.3796945822796</v>
      </c>
      <c r="J398" t="s">
        <v>248</v>
      </c>
      <c r="AB398" s="21">
        <v>389</v>
      </c>
    </row>
    <row r="399" spans="1:28" ht="15" x14ac:dyDescent="0.25">
      <c r="A399" s="224" t="s">
        <v>129</v>
      </c>
      <c r="B399">
        <v>75389</v>
      </c>
      <c r="C399" t="s">
        <v>760</v>
      </c>
      <c r="D399" s="93" t="s">
        <v>920</v>
      </c>
      <c r="E399" s="94" t="s">
        <v>187</v>
      </c>
      <c r="G399">
        <v>6858.66</v>
      </c>
      <c r="H399" s="116">
        <f t="shared" si="7"/>
        <v>6858.66</v>
      </c>
      <c r="I399" s="230">
        <f>IF("generated"=1, "Path=MMRBEM_7_UP, Scaled Offset=6858.6599999999998544808477163314819", 7271.99581961934)</f>
        <v>7271.9958196193402</v>
      </c>
      <c r="J399" t="s">
        <v>248</v>
      </c>
      <c r="AB399" s="21">
        <v>390</v>
      </c>
    </row>
    <row r="400" spans="1:28" ht="15" x14ac:dyDescent="0.25">
      <c r="A400" s="224" t="s">
        <v>129</v>
      </c>
      <c r="B400">
        <v>75390</v>
      </c>
      <c r="C400" t="s">
        <v>761</v>
      </c>
      <c r="D400" s="93" t="s">
        <v>920</v>
      </c>
      <c r="E400" s="94" t="s">
        <v>187</v>
      </c>
      <c r="G400">
        <v>6949</v>
      </c>
      <c r="H400" s="116">
        <f t="shared" si="7"/>
        <v>6949</v>
      </c>
      <c r="I400" s="230">
        <f>IF("generated"=1, "Path=MMRBEM_7_UP, Scaled Offset=6949", 7362.104624525)</f>
        <v>7362.104624525</v>
      </c>
      <c r="J400" t="s">
        <v>248</v>
      </c>
      <c r="AB400" s="21">
        <v>391</v>
      </c>
    </row>
    <row r="401" spans="1:28" ht="15" x14ac:dyDescent="0.25">
      <c r="A401" s="224" t="s">
        <v>129</v>
      </c>
      <c r="B401">
        <v>75391</v>
      </c>
      <c r="C401" t="s">
        <v>762</v>
      </c>
      <c r="D401" s="93" t="s">
        <v>920</v>
      </c>
      <c r="E401" s="94" t="s">
        <v>187</v>
      </c>
      <c r="G401">
        <v>7069</v>
      </c>
      <c r="H401" s="116">
        <f t="shared" si="7"/>
        <v>7069</v>
      </c>
      <c r="I401" s="230">
        <f>IF("generated"=1, "Path=MMRBEM_7_UP, Scaled Offset=7069", 7481.79752455465)</f>
        <v>7481.7975245546504</v>
      </c>
      <c r="J401" t="s">
        <v>248</v>
      </c>
      <c r="AB401" s="21">
        <v>392</v>
      </c>
    </row>
    <row r="402" spans="1:28" ht="15" x14ac:dyDescent="0.25">
      <c r="A402" s="224" t="s">
        <v>129</v>
      </c>
      <c r="B402">
        <v>75392</v>
      </c>
      <c r="C402" t="s">
        <v>763</v>
      </c>
      <c r="D402" s="93" t="s">
        <v>920</v>
      </c>
      <c r="E402" s="94" t="s">
        <v>187</v>
      </c>
      <c r="G402">
        <v>7090</v>
      </c>
      <c r="H402" s="116">
        <f t="shared" si="7"/>
        <v>7090</v>
      </c>
      <c r="I402" s="230">
        <f>IF("generated"=1, "Path=MMRBEM_7_UP, Scaled Offset=7090", 7502.74378205984)</f>
        <v>7502.7437820598398</v>
      </c>
      <c r="J402" t="s">
        <v>248</v>
      </c>
      <c r="AB402" s="21">
        <v>393</v>
      </c>
    </row>
    <row r="403" spans="1:28" ht="15" x14ac:dyDescent="0.25">
      <c r="A403" s="224" t="s">
        <v>129</v>
      </c>
      <c r="B403">
        <v>75393</v>
      </c>
      <c r="C403" t="s">
        <v>764</v>
      </c>
      <c r="D403" s="93" t="s">
        <v>920</v>
      </c>
      <c r="E403" s="94" t="s">
        <v>187</v>
      </c>
      <c r="G403">
        <v>7186.28</v>
      </c>
      <c r="H403" s="116">
        <f t="shared" si="7"/>
        <v>7186.28</v>
      </c>
      <c r="I403" s="230">
        <f>IF("generated"=1, "Path=MMRBEM_7_UP, Scaled Offset=7186.2799999999997453414835035800934", 7598.77738551696)</f>
        <v>7598.7773855169598</v>
      </c>
      <c r="J403" t="s">
        <v>248</v>
      </c>
      <c r="AB403" s="21">
        <v>394</v>
      </c>
    </row>
    <row r="404" spans="1:28" ht="15" x14ac:dyDescent="0.25">
      <c r="A404" s="224" t="s">
        <v>129</v>
      </c>
      <c r="B404">
        <v>75394</v>
      </c>
      <c r="C404" t="s">
        <v>765</v>
      </c>
      <c r="D404" s="93" t="s">
        <v>920</v>
      </c>
      <c r="E404" s="94" t="s">
        <v>187</v>
      </c>
      <c r="G404">
        <v>7201.14</v>
      </c>
      <c r="H404" s="116">
        <f t="shared" si="7"/>
        <v>7201.14</v>
      </c>
      <c r="I404" s="230">
        <f>IF("generated"=1, "Path=MMRBEM_7_UP, Scaled Offset=7201.1400000000003274180926382541656", 7613.59935630397)</f>
        <v>7613.5993563039701</v>
      </c>
      <c r="J404" t="s">
        <v>248</v>
      </c>
      <c r="AB404" s="21">
        <v>395</v>
      </c>
    </row>
    <row r="405" spans="1:28" ht="15" x14ac:dyDescent="0.25">
      <c r="A405" s="224" t="s">
        <v>129</v>
      </c>
      <c r="B405">
        <v>75395</v>
      </c>
      <c r="C405" t="s">
        <v>766</v>
      </c>
      <c r="D405" s="93" t="s">
        <v>920</v>
      </c>
      <c r="E405" s="94" t="s">
        <v>187</v>
      </c>
      <c r="G405">
        <v>7204.14</v>
      </c>
      <c r="H405" s="116">
        <f t="shared" si="7"/>
        <v>7204.14</v>
      </c>
      <c r="I405" s="230">
        <f>IF("generated"=1, "Path=MMRBEM_7_UP, Scaled Offset=7204.1400000000003274180926382541656", 7616.59167880471)</f>
        <v>7616.5916788047098</v>
      </c>
      <c r="J405" t="s">
        <v>248</v>
      </c>
      <c r="AB405" s="21">
        <v>396</v>
      </c>
    </row>
    <row r="406" spans="1:28" ht="15" x14ac:dyDescent="0.25">
      <c r="A406" s="224" t="s">
        <v>129</v>
      </c>
      <c r="B406">
        <v>75396</v>
      </c>
      <c r="C406" t="s">
        <v>767</v>
      </c>
      <c r="D406" s="93" t="s">
        <v>920</v>
      </c>
      <c r="E406" s="94" t="s">
        <v>187</v>
      </c>
      <c r="G406">
        <v>7224.06</v>
      </c>
      <c r="H406" s="116">
        <f t="shared" si="7"/>
        <v>7224.06</v>
      </c>
      <c r="I406" s="230">
        <f>IF("generated"=1, "Path=MMRBEM_7_UP, Scaled Offset=7224.0600000000004001776687800884247", 7636.46070020963)</f>
        <v>7636.46070020963</v>
      </c>
      <c r="J406" t="s">
        <v>248</v>
      </c>
      <c r="AB406" s="21">
        <v>397</v>
      </c>
    </row>
    <row r="407" spans="1:28" ht="15" x14ac:dyDescent="0.25">
      <c r="A407" s="224" t="s">
        <v>129</v>
      </c>
      <c r="B407">
        <v>75397</v>
      </c>
      <c r="C407" t="s">
        <v>768</v>
      </c>
      <c r="D407" s="93" t="s">
        <v>920</v>
      </c>
      <c r="E407" s="94" t="s">
        <v>187</v>
      </c>
      <c r="G407">
        <v>7227.06</v>
      </c>
      <c r="H407" s="116">
        <f t="shared" si="7"/>
        <v>7227.06</v>
      </c>
      <c r="I407" s="230">
        <f>IF("generated"=1, "Path=MMRBEM_7_UP, Scaled Offset=7227.0600000000004001776687800884247", 7639.45302271037)</f>
        <v>7639.4530227103696</v>
      </c>
      <c r="J407" t="s">
        <v>248</v>
      </c>
      <c r="AB407" s="21">
        <v>398</v>
      </c>
    </row>
    <row r="408" spans="1:28" ht="15" x14ac:dyDescent="0.25">
      <c r="A408" s="224" t="s">
        <v>129</v>
      </c>
      <c r="B408">
        <v>75398</v>
      </c>
      <c r="C408" t="s">
        <v>769</v>
      </c>
      <c r="D408" s="93" t="s">
        <v>920</v>
      </c>
      <c r="E408" s="94" t="s">
        <v>187</v>
      </c>
      <c r="G408">
        <v>7285.08</v>
      </c>
      <c r="H408" s="116">
        <f t="shared" si="7"/>
        <v>7285.08</v>
      </c>
      <c r="I408" s="230">
        <f>IF("generated"=1, "Path=MMRBEM_7_UP, Scaled Offset=7285.079999999999927240423858165741", 7697.32453987471)</f>
        <v>7697.3245398747104</v>
      </c>
      <c r="J408" t="s">
        <v>248</v>
      </c>
      <c r="AB408" s="21">
        <v>399</v>
      </c>
    </row>
    <row r="409" spans="1:28" ht="15" x14ac:dyDescent="0.25">
      <c r="A409" s="224" t="s">
        <v>129</v>
      </c>
      <c r="B409">
        <v>75399</v>
      </c>
      <c r="C409" t="s">
        <v>770</v>
      </c>
      <c r="D409" s="93" t="s">
        <v>920</v>
      </c>
      <c r="E409" s="94" t="s">
        <v>187</v>
      </c>
      <c r="G409">
        <v>7320.18</v>
      </c>
      <c r="H409" s="116">
        <f t="shared" si="7"/>
        <v>7320.18</v>
      </c>
      <c r="I409" s="230">
        <f>IF("generated"=1, "Path=MMRBEM_7_UP, Scaled Offset=7320.1800000000002910383045673370361", 7732.33471313338)</f>
        <v>7732.3347131333803</v>
      </c>
      <c r="J409" t="s">
        <v>248</v>
      </c>
      <c r="AB409" s="21">
        <v>400</v>
      </c>
    </row>
    <row r="410" spans="1:28" ht="15" x14ac:dyDescent="0.25">
      <c r="A410" s="224" t="s">
        <v>129</v>
      </c>
      <c r="B410">
        <v>75400</v>
      </c>
      <c r="C410" t="s">
        <v>771</v>
      </c>
      <c r="D410" s="93" t="s">
        <v>920</v>
      </c>
      <c r="E410" s="94" t="s">
        <v>187</v>
      </c>
      <c r="G410">
        <v>7323.18</v>
      </c>
      <c r="H410" s="116">
        <f t="shared" si="7"/>
        <v>7323.18</v>
      </c>
      <c r="I410" s="230">
        <f>IF("generated"=1, "Path=MMRBEM_7_UP, Scaled Offset=7323.1800000000002910383045673370361", 7735.32703563412)</f>
        <v>7735.32703563412</v>
      </c>
      <c r="J410" t="s">
        <v>248</v>
      </c>
      <c r="AB410" s="21">
        <v>401</v>
      </c>
    </row>
    <row r="411" spans="1:28" ht="15" x14ac:dyDescent="0.25">
      <c r="A411" s="224" t="s">
        <v>129</v>
      </c>
      <c r="B411">
        <v>75401</v>
      </c>
      <c r="C411" t="s">
        <v>772</v>
      </c>
      <c r="D411" s="93" t="s">
        <v>920</v>
      </c>
      <c r="E411" s="94" t="s">
        <v>187</v>
      </c>
      <c r="G411">
        <v>7343.1</v>
      </c>
      <c r="H411" s="116">
        <f t="shared" si="7"/>
        <v>7343.1</v>
      </c>
      <c r="I411" s="230">
        <f>IF("generated"=1, "Path=MMRBEM_7_UP, Scaled Offset=7343.1000000000003637978807091712952", 7755.19605703904)</f>
        <v>7755.1960570390402</v>
      </c>
      <c r="J411" t="s">
        <v>248</v>
      </c>
      <c r="AB411" s="21">
        <v>402</v>
      </c>
    </row>
    <row r="412" spans="1:28" ht="15" x14ac:dyDescent="0.25">
      <c r="A412" s="224" t="s">
        <v>129</v>
      </c>
      <c r="B412">
        <v>75402</v>
      </c>
      <c r="C412" t="s">
        <v>773</v>
      </c>
      <c r="D412" s="93" t="s">
        <v>920</v>
      </c>
      <c r="E412" s="94" t="s">
        <v>187</v>
      </c>
      <c r="G412">
        <v>7346.1</v>
      </c>
      <c r="H412" s="116">
        <f t="shared" si="7"/>
        <v>7346.1</v>
      </c>
      <c r="I412" s="230">
        <f>IF("generated"=1, "Path=MMRBEM_7_UP, Scaled Offset=7346.1000000000003637978807091712952", 7758.18837953978)</f>
        <v>7758.1883795397798</v>
      </c>
      <c r="J412" t="s">
        <v>248</v>
      </c>
      <c r="AB412" s="21">
        <v>403</v>
      </c>
    </row>
    <row r="413" spans="1:28" ht="15" x14ac:dyDescent="0.25">
      <c r="A413" s="224" t="s">
        <v>129</v>
      </c>
      <c r="B413">
        <v>75403</v>
      </c>
      <c r="C413" t="s">
        <v>774</v>
      </c>
      <c r="D413" s="93" t="s">
        <v>920</v>
      </c>
      <c r="E413" s="94" t="s">
        <v>187</v>
      </c>
      <c r="G413">
        <v>7398.52</v>
      </c>
      <c r="H413" s="116">
        <f t="shared" si="7"/>
        <v>7398.52</v>
      </c>
      <c r="I413" s="230">
        <f>IF("generated"=1, "Path=MMRBEM_7_UP, Scaled Offset=7398.5200000000004365574568510055542", 7810.47422803607)</f>
        <v>7810.4742280360697</v>
      </c>
      <c r="J413" t="s">
        <v>248</v>
      </c>
      <c r="AB413" s="21">
        <v>404</v>
      </c>
    </row>
    <row r="414" spans="1:28" ht="15" x14ac:dyDescent="0.25">
      <c r="A414" s="224" t="s">
        <v>129</v>
      </c>
      <c r="B414">
        <v>75404</v>
      </c>
      <c r="C414" t="s">
        <v>775</v>
      </c>
      <c r="D414" s="93" t="s">
        <v>920</v>
      </c>
      <c r="E414" s="94" t="s">
        <v>187</v>
      </c>
      <c r="G414">
        <v>7479</v>
      </c>
      <c r="H414" s="116">
        <f t="shared" si="7"/>
        <v>7479</v>
      </c>
      <c r="I414" s="230">
        <f>IF("generated"=1, "Path=MMRBEM_7_UP, Scaled Offset=7479", 7890.74826632262)</f>
        <v>7890.7482663226201</v>
      </c>
      <c r="J414" t="s">
        <v>248</v>
      </c>
      <c r="AB414" s="21">
        <v>405</v>
      </c>
    </row>
    <row r="415" spans="1:28" ht="15" x14ac:dyDescent="0.25">
      <c r="A415" s="224" t="s">
        <v>129</v>
      </c>
      <c r="B415">
        <v>75405</v>
      </c>
      <c r="C415" t="s">
        <v>776</v>
      </c>
      <c r="D415" s="93" t="s">
        <v>920</v>
      </c>
      <c r="E415" s="94" t="s">
        <v>187</v>
      </c>
      <c r="G415">
        <v>7500</v>
      </c>
      <c r="H415" s="116">
        <f t="shared" si="7"/>
        <v>7500</v>
      </c>
      <c r="I415" s="230">
        <f>IF("generated"=1, "Path=MMRBEM_7_UP, Scaled Offset=7500", 7911.69452382781)</f>
        <v>7911.6945238278104</v>
      </c>
      <c r="J415" t="s">
        <v>248</v>
      </c>
      <c r="AB415" s="21">
        <v>406</v>
      </c>
    </row>
    <row r="416" spans="1:28" ht="15" x14ac:dyDescent="0.25">
      <c r="A416" s="224" t="s">
        <v>129</v>
      </c>
      <c r="B416">
        <v>75406</v>
      </c>
      <c r="C416" t="s">
        <v>777</v>
      </c>
      <c r="D416" s="93" t="s">
        <v>920</v>
      </c>
      <c r="E416" s="94" t="s">
        <v>187</v>
      </c>
      <c r="G416">
        <v>7620</v>
      </c>
      <c r="H416" s="116">
        <f t="shared" si="7"/>
        <v>7620</v>
      </c>
      <c r="I416" s="230">
        <f>IF("generated"=1, "Path=MMRBEM_7_UP, Scaled Offset=7620", 8031.14919590763)</f>
        <v>8031.1491959076302</v>
      </c>
      <c r="J416" t="s">
        <v>248</v>
      </c>
      <c r="AB416" s="21">
        <v>407</v>
      </c>
    </row>
    <row r="417" spans="1:28" ht="15" x14ac:dyDescent="0.25">
      <c r="A417" s="224" t="s">
        <v>129</v>
      </c>
      <c r="B417">
        <v>75407</v>
      </c>
      <c r="C417" t="s">
        <v>778</v>
      </c>
      <c r="D417" s="93" t="s">
        <v>920</v>
      </c>
      <c r="E417" s="94" t="s">
        <v>187</v>
      </c>
      <c r="G417">
        <v>7782</v>
      </c>
      <c r="H417" s="116">
        <f t="shared" si="7"/>
        <v>7782</v>
      </c>
      <c r="I417" s="230">
        <f>IF("generated"=1, "Path=MMRBEM_7_UP, Scaled Offset=7782", 8190.16174908947)</f>
        <v>8190.1617490894696</v>
      </c>
      <c r="J417" t="s">
        <v>248</v>
      </c>
      <c r="AB417" s="21">
        <v>408</v>
      </c>
    </row>
    <row r="418" spans="1:28" ht="15" x14ac:dyDescent="0.25">
      <c r="A418" s="224" t="s">
        <v>129</v>
      </c>
      <c r="B418">
        <v>75408</v>
      </c>
      <c r="C418" t="s">
        <v>779</v>
      </c>
      <c r="D418" s="93" t="s">
        <v>920</v>
      </c>
      <c r="E418" s="94" t="s">
        <v>187</v>
      </c>
      <c r="G418">
        <v>7902</v>
      </c>
      <c r="H418" s="116">
        <f t="shared" si="7"/>
        <v>7902</v>
      </c>
      <c r="I418" s="230">
        <f>IF("generated"=1, "Path=MMRBEM_7_UP, Scaled Offset=7902", 8307.94882552046)</f>
        <v>8307.9488255204596</v>
      </c>
      <c r="J418" t="s">
        <v>248</v>
      </c>
      <c r="AB418" s="21">
        <v>409</v>
      </c>
    </row>
    <row r="419" spans="1:28" ht="15" x14ac:dyDescent="0.25">
      <c r="A419" s="224" t="s">
        <v>129</v>
      </c>
      <c r="B419">
        <v>75409</v>
      </c>
      <c r="C419" t="s">
        <v>780</v>
      </c>
      <c r="D419" s="93" t="s">
        <v>920</v>
      </c>
      <c r="E419" s="94" t="s">
        <v>187</v>
      </c>
      <c r="G419">
        <v>7923</v>
      </c>
      <c r="H419" s="116">
        <f t="shared" si="7"/>
        <v>7923</v>
      </c>
      <c r="I419" s="230">
        <f>IF("generated"=1, "Path=MMRBEM_7_UP, Scaled Offset=7923", 8328.56156389588)</f>
        <v>8328.5615638958807</v>
      </c>
      <c r="J419" t="s">
        <v>248</v>
      </c>
      <c r="AB419" s="21">
        <v>410</v>
      </c>
    </row>
    <row r="420" spans="1:28" ht="15" x14ac:dyDescent="0.25">
      <c r="A420" s="224" t="s">
        <v>129</v>
      </c>
      <c r="B420">
        <v>75410</v>
      </c>
      <c r="C420" t="s">
        <v>781</v>
      </c>
      <c r="D420" s="93" t="s">
        <v>920</v>
      </c>
      <c r="E420" s="94" t="s">
        <v>187</v>
      </c>
      <c r="G420">
        <v>8019.17</v>
      </c>
      <c r="H420" s="116">
        <f t="shared" si="7"/>
        <v>8019.17</v>
      </c>
      <c r="I420" s="230">
        <f>IF("generated"=1, "Path=MMRBEM_7_UP, Scaled Offset=8019.170000000000072759576141834259", 8422.95809006562)</f>
        <v>8422.9580900656201</v>
      </c>
      <c r="J420" t="s">
        <v>248</v>
      </c>
      <c r="AB420" s="21">
        <v>411</v>
      </c>
    </row>
    <row r="421" spans="1:28" ht="15" x14ac:dyDescent="0.25">
      <c r="A421" s="224" t="s">
        <v>129</v>
      </c>
      <c r="B421">
        <v>75411</v>
      </c>
      <c r="C421" t="s">
        <v>782</v>
      </c>
      <c r="D421" s="93" t="s">
        <v>920</v>
      </c>
      <c r="E421" s="94" t="s">
        <v>187</v>
      </c>
      <c r="G421">
        <v>8034.03</v>
      </c>
      <c r="H421" s="116">
        <f t="shared" si="7"/>
        <v>8034.03</v>
      </c>
      <c r="I421" s="230">
        <f>IF("generated"=1, "Path=MMRBEM_7_UP, Scaled Offset=8034.0299999999997453414835035800934", 8437.54405636365)</f>
        <v>8437.5440563636494</v>
      </c>
      <c r="J421" t="s">
        <v>248</v>
      </c>
      <c r="AB421" s="21">
        <v>412</v>
      </c>
    </row>
    <row r="422" spans="1:28" ht="15" x14ac:dyDescent="0.25">
      <c r="A422" s="224" t="s">
        <v>129</v>
      </c>
      <c r="B422">
        <v>75412</v>
      </c>
      <c r="C422" t="s">
        <v>783</v>
      </c>
      <c r="D422" s="93" t="s">
        <v>920</v>
      </c>
      <c r="E422" s="94" t="s">
        <v>187</v>
      </c>
      <c r="G422">
        <v>8037.03</v>
      </c>
      <c r="H422" s="116">
        <f t="shared" si="7"/>
        <v>8037.03</v>
      </c>
      <c r="I422" s="230">
        <f>IF("generated"=1, "Path=MMRBEM_7_UP, Scaled Offset=8037.0299999999997453414835035800934", 8440.48873327443)</f>
        <v>8440.4887332744293</v>
      </c>
      <c r="J422" t="s">
        <v>248</v>
      </c>
      <c r="AB422" s="21">
        <v>413</v>
      </c>
    </row>
    <row r="423" spans="1:28" ht="15" x14ac:dyDescent="0.25">
      <c r="A423" s="224" t="s">
        <v>129</v>
      </c>
      <c r="B423">
        <v>75413</v>
      </c>
      <c r="C423" t="s">
        <v>784</v>
      </c>
      <c r="D423" s="93" t="s">
        <v>920</v>
      </c>
      <c r="E423" s="94" t="s">
        <v>187</v>
      </c>
      <c r="G423">
        <v>8056.95</v>
      </c>
      <c r="H423" s="116">
        <f t="shared" si="7"/>
        <v>8056.95</v>
      </c>
      <c r="I423" s="230">
        <f>IF("generated"=1, "Path=MMRBEM_7_UP, Scaled Offset=8056.9499999999998181010596454143524", 8460.04138796197)</f>
        <v>8460.04138796197</v>
      </c>
      <c r="J423" t="s">
        <v>248</v>
      </c>
      <c r="AB423" s="21">
        <v>414</v>
      </c>
    </row>
    <row r="424" spans="1:28" ht="15" x14ac:dyDescent="0.25">
      <c r="A424" s="224" t="s">
        <v>129</v>
      </c>
      <c r="B424">
        <v>75414</v>
      </c>
      <c r="C424" t="s">
        <v>785</v>
      </c>
      <c r="D424" s="93" t="s">
        <v>920</v>
      </c>
      <c r="E424" s="94" t="s">
        <v>187</v>
      </c>
      <c r="G424">
        <v>8059.95</v>
      </c>
      <c r="H424" s="116">
        <f t="shared" si="7"/>
        <v>8059.95</v>
      </c>
      <c r="I424" s="230">
        <f>IF("generated"=1, "Path=MMRBEM_7_UP, Scaled Offset=8059.9499999999998181010596454143524", 8462.98606487275)</f>
        <v>8462.9860648727499</v>
      </c>
      <c r="J424" t="s">
        <v>248</v>
      </c>
      <c r="AB424" s="21">
        <v>415</v>
      </c>
    </row>
    <row r="425" spans="1:28" ht="15" x14ac:dyDescent="0.25">
      <c r="A425" s="224" t="s">
        <v>129</v>
      </c>
      <c r="B425">
        <v>75415</v>
      </c>
      <c r="C425" t="s">
        <v>786</v>
      </c>
      <c r="D425" s="93" t="s">
        <v>920</v>
      </c>
      <c r="E425" s="94" t="s">
        <v>187</v>
      </c>
      <c r="G425">
        <v>8117.97</v>
      </c>
      <c r="H425" s="116">
        <f t="shared" si="7"/>
        <v>8117.97</v>
      </c>
      <c r="I425" s="230">
        <f>IF("generated"=1, "Path=MMRBEM_7_UP, Scaled Offset=8117.9700000000002546585164964199066", 8519.93611632713)</f>
        <v>8519.9361163271296</v>
      </c>
      <c r="J425" t="s">
        <v>248</v>
      </c>
      <c r="AB425" s="21">
        <v>416</v>
      </c>
    </row>
    <row r="426" spans="1:28" ht="15" x14ac:dyDescent="0.25">
      <c r="A426" s="224" t="s">
        <v>129</v>
      </c>
      <c r="B426">
        <v>75416</v>
      </c>
      <c r="C426" t="s">
        <v>787</v>
      </c>
      <c r="D426" s="93" t="s">
        <v>920</v>
      </c>
      <c r="E426" s="94" t="s">
        <v>187</v>
      </c>
      <c r="G426">
        <v>8153.07</v>
      </c>
      <c r="H426" s="116">
        <f t="shared" si="7"/>
        <v>8153.07</v>
      </c>
      <c r="I426" s="230">
        <f>IF("generated"=1, "Path=MMRBEM_7_UP, Scaled Offset=8153.0699999999997089616954326629639", 8554.3888361832)</f>
        <v>8554.3888361831996</v>
      </c>
      <c r="J426" t="s">
        <v>248</v>
      </c>
      <c r="AB426" s="21">
        <v>417</v>
      </c>
    </row>
    <row r="427" spans="1:28" ht="15" x14ac:dyDescent="0.25">
      <c r="A427" s="224" t="s">
        <v>129</v>
      </c>
      <c r="B427">
        <v>75417</v>
      </c>
      <c r="C427" t="s">
        <v>788</v>
      </c>
      <c r="D427" s="93" t="s">
        <v>920</v>
      </c>
      <c r="E427" s="94" t="s">
        <v>187</v>
      </c>
      <c r="G427">
        <v>8156.07</v>
      </c>
      <c r="H427" s="116">
        <f t="shared" si="7"/>
        <v>8156.07</v>
      </c>
      <c r="I427" s="230">
        <f>IF("generated"=1, "Path=MMRBEM_7_UP, Scaled Offset=8156.0699999999997089616954326629639", 8557.33351309397)</f>
        <v>8557.3335130939704</v>
      </c>
      <c r="J427" t="s">
        <v>248</v>
      </c>
      <c r="AB427" s="21">
        <v>418</v>
      </c>
    </row>
    <row r="428" spans="1:28" ht="15" x14ac:dyDescent="0.25">
      <c r="A428" s="224" t="s">
        <v>129</v>
      </c>
      <c r="B428">
        <v>75418</v>
      </c>
      <c r="C428" t="s">
        <v>789</v>
      </c>
      <c r="D428" s="93" t="s">
        <v>920</v>
      </c>
      <c r="E428" s="94" t="s">
        <v>187</v>
      </c>
      <c r="G428">
        <v>8175.99</v>
      </c>
      <c r="H428" s="116">
        <f t="shared" si="7"/>
        <v>8175.99</v>
      </c>
      <c r="I428" s="230">
        <f>IF("generated"=1, "Path=MMRBEM_7_UP, Scaled Offset=8175.9899999999997817212715744972229", 8576.88616778152)</f>
        <v>8576.8861677815203</v>
      </c>
      <c r="J428" t="s">
        <v>248</v>
      </c>
      <c r="AB428" s="21">
        <v>419</v>
      </c>
    </row>
    <row r="429" spans="1:28" ht="15" x14ac:dyDescent="0.25">
      <c r="A429" s="224" t="s">
        <v>129</v>
      </c>
      <c r="B429">
        <v>75419</v>
      </c>
      <c r="C429" t="s">
        <v>790</v>
      </c>
      <c r="D429" s="93" t="s">
        <v>920</v>
      </c>
      <c r="E429" s="94" t="s">
        <v>187</v>
      </c>
      <c r="G429">
        <v>8178.99</v>
      </c>
      <c r="H429" s="116">
        <f t="shared" si="7"/>
        <v>8178.99</v>
      </c>
      <c r="I429" s="230">
        <f>IF("generated"=1, "Path=MMRBEM_7_UP, Scaled Offset=8178.9899999999997817212715744972229", 8579.83084469229)</f>
        <v>8579.8308446922892</v>
      </c>
      <c r="J429" t="s">
        <v>248</v>
      </c>
      <c r="AB429" s="21">
        <v>420</v>
      </c>
    </row>
    <row r="430" spans="1:28" ht="15" x14ac:dyDescent="0.25">
      <c r="A430" s="224" t="s">
        <v>129</v>
      </c>
      <c r="B430">
        <v>75420</v>
      </c>
      <c r="C430" t="s">
        <v>791</v>
      </c>
      <c r="D430" s="93" t="s">
        <v>920</v>
      </c>
      <c r="E430" s="94" t="s">
        <v>187</v>
      </c>
      <c r="G430">
        <v>8231.41</v>
      </c>
      <c r="H430" s="116">
        <f t="shared" si="7"/>
        <v>8231.41</v>
      </c>
      <c r="I430" s="230">
        <f>IF("generated"=1, "Path=MMRBEM_7_UP, Scaled Offset=8231.4099999999998544808477163314819", 8631.28416591323)</f>
        <v>8631.28416591323</v>
      </c>
      <c r="J430" t="s">
        <v>248</v>
      </c>
      <c r="AB430" s="21">
        <v>421</v>
      </c>
    </row>
    <row r="431" spans="1:28" ht="15" x14ac:dyDescent="0.25">
      <c r="A431" s="224" t="s">
        <v>129</v>
      </c>
      <c r="B431">
        <v>75421</v>
      </c>
      <c r="C431" t="s">
        <v>792</v>
      </c>
      <c r="D431" s="93" t="s">
        <v>920</v>
      </c>
      <c r="E431" s="94" t="s">
        <v>187</v>
      </c>
      <c r="G431">
        <v>8312</v>
      </c>
      <c r="H431" s="116">
        <f t="shared" si="7"/>
        <v>8312</v>
      </c>
      <c r="I431" s="230">
        <f>IF("generated"=1, "Path=MMRBEM_7_UP, Scaled Offset=8312", 8710.38800332634)</f>
        <v>8710.3880033263395</v>
      </c>
      <c r="J431" t="s">
        <v>248</v>
      </c>
      <c r="AB431" s="21">
        <v>422</v>
      </c>
    </row>
    <row r="432" spans="1:28" ht="15" x14ac:dyDescent="0.25">
      <c r="A432" s="224" t="s">
        <v>129</v>
      </c>
      <c r="B432">
        <v>75422</v>
      </c>
      <c r="C432" t="s">
        <v>793</v>
      </c>
      <c r="D432" s="93" t="s">
        <v>920</v>
      </c>
      <c r="E432" s="94" t="s">
        <v>187</v>
      </c>
      <c r="G432">
        <v>8333</v>
      </c>
      <c r="H432" s="116">
        <f t="shared" si="7"/>
        <v>8333</v>
      </c>
      <c r="I432" s="230">
        <f>IF("generated"=1, "Path=MMRBEM_7_UP, Scaled Offset=8333", 8731.00074170176)</f>
        <v>8731.0007417017605</v>
      </c>
      <c r="J432" t="s">
        <v>248</v>
      </c>
      <c r="AB432" s="21">
        <v>423</v>
      </c>
    </row>
    <row r="433" spans="1:28" ht="15" x14ac:dyDescent="0.25">
      <c r="A433" s="224" t="s">
        <v>129</v>
      </c>
      <c r="B433">
        <v>75423</v>
      </c>
      <c r="C433" t="s">
        <v>794</v>
      </c>
      <c r="D433" s="93" t="s">
        <v>920</v>
      </c>
      <c r="E433" s="94" t="s">
        <v>187</v>
      </c>
      <c r="G433">
        <v>8453</v>
      </c>
      <c r="H433" s="116">
        <f t="shared" si="7"/>
        <v>8453</v>
      </c>
      <c r="I433" s="230">
        <f>IF("generated"=1, "Path=MMRBEM_7_UP, Scaled Offset=8453", 8848.78781813275)</f>
        <v>8848.7878181327505</v>
      </c>
      <c r="J433" t="s">
        <v>248</v>
      </c>
      <c r="AB433" s="21">
        <v>424</v>
      </c>
    </row>
    <row r="434" spans="1:28" ht="15" x14ac:dyDescent="0.25">
      <c r="A434" s="224" t="s">
        <v>129</v>
      </c>
      <c r="B434">
        <v>75424</v>
      </c>
      <c r="C434" t="s">
        <v>795</v>
      </c>
      <c r="D434" s="93" t="s">
        <v>920</v>
      </c>
      <c r="E434" s="94" t="s">
        <v>187</v>
      </c>
      <c r="G434">
        <v>8653</v>
      </c>
      <c r="H434" s="116">
        <f t="shared" si="7"/>
        <v>8653</v>
      </c>
      <c r="I434" s="230">
        <f>IF("generated"=1, "Path=MMRBEM_7_UP, Scaled Offset=8653", 9045.0996121844)</f>
        <v>9045.0996121844</v>
      </c>
      <c r="J434" t="s">
        <v>248</v>
      </c>
      <c r="AB434" s="21">
        <v>425</v>
      </c>
    </row>
    <row r="435" spans="1:28" ht="15" x14ac:dyDescent="0.25">
      <c r="A435" s="224" t="s">
        <v>129</v>
      </c>
      <c r="B435">
        <v>75425</v>
      </c>
      <c r="C435" t="s">
        <v>796</v>
      </c>
      <c r="D435" s="93" t="s">
        <v>920</v>
      </c>
      <c r="E435" s="94" t="s">
        <v>187</v>
      </c>
      <c r="G435">
        <v>8853</v>
      </c>
      <c r="H435" s="116">
        <f t="shared" si="7"/>
        <v>8853</v>
      </c>
      <c r="I435" s="230">
        <f>IF("generated"=1, "Path=MMRBEM_7_UP, Scaled Offset=8853", 9241.41140623606)</f>
        <v>9241.4114062360604</v>
      </c>
      <c r="J435" t="s">
        <v>248</v>
      </c>
      <c r="AB435" s="21">
        <v>426</v>
      </c>
    </row>
    <row r="436" spans="1:28" ht="15" x14ac:dyDescent="0.25">
      <c r="A436" s="224" t="s">
        <v>129</v>
      </c>
      <c r="B436">
        <v>75426</v>
      </c>
      <c r="C436" t="s">
        <v>797</v>
      </c>
      <c r="D436" s="93" t="s">
        <v>920</v>
      </c>
      <c r="E436" s="94" t="s">
        <v>187</v>
      </c>
      <c r="G436">
        <v>9052</v>
      </c>
      <c r="H436" s="116">
        <f t="shared" si="7"/>
        <v>9052</v>
      </c>
      <c r="I436" s="230">
        <f>IF("generated"=1, "Path=MMRBEM_7_UP, Scaled Offset=9052", 9436.74164131745)</f>
        <v>9436.7416413174506</v>
      </c>
      <c r="J436" t="s">
        <v>248</v>
      </c>
      <c r="AB436" s="21">
        <v>427</v>
      </c>
    </row>
    <row r="437" spans="1:28" ht="15" x14ac:dyDescent="0.25">
      <c r="A437" s="224" t="s">
        <v>129</v>
      </c>
      <c r="B437">
        <v>75427</v>
      </c>
      <c r="C437" t="s">
        <v>798</v>
      </c>
      <c r="D437" s="93" t="s">
        <v>920</v>
      </c>
      <c r="E437" s="94" t="s">
        <v>187</v>
      </c>
      <c r="G437">
        <v>9172</v>
      </c>
      <c r="H437" s="116">
        <f t="shared" si="7"/>
        <v>9172</v>
      </c>
      <c r="I437" s="230">
        <f>IF("generated"=1, "Path=MMRBEM_7_UP, Scaled Offset=9172", 9554.52871774844)</f>
        <v>9554.5287177484406</v>
      </c>
      <c r="J437" t="s">
        <v>248</v>
      </c>
      <c r="AB437" s="21">
        <v>428</v>
      </c>
    </row>
    <row r="438" spans="1:28" ht="15" x14ac:dyDescent="0.25">
      <c r="A438" s="224" t="s">
        <v>129</v>
      </c>
      <c r="B438">
        <v>75428</v>
      </c>
      <c r="C438" t="s">
        <v>799</v>
      </c>
      <c r="D438" s="93" t="s">
        <v>920</v>
      </c>
      <c r="E438" s="94" t="s">
        <v>187</v>
      </c>
      <c r="G438">
        <v>9193</v>
      </c>
      <c r="H438" s="116">
        <f t="shared" si="7"/>
        <v>9193</v>
      </c>
      <c r="I438" s="230">
        <f>IF("generated"=1, "Path=MMRBEM_7_UP, Scaled Offset=9193", 9575.14145612386)</f>
        <v>9575.1414561238598</v>
      </c>
      <c r="J438" t="s">
        <v>248</v>
      </c>
      <c r="AB438" s="21">
        <v>429</v>
      </c>
    </row>
    <row r="439" spans="1:28" ht="15" x14ac:dyDescent="0.25">
      <c r="A439" s="224" t="s">
        <v>129</v>
      </c>
      <c r="B439">
        <v>75429</v>
      </c>
      <c r="C439" t="s">
        <v>800</v>
      </c>
      <c r="D439" s="93" t="s">
        <v>920</v>
      </c>
      <c r="E439" s="94" t="s">
        <v>187</v>
      </c>
      <c r="G439">
        <v>9288.7099999999991</v>
      </c>
      <c r="H439" s="116">
        <f t="shared" si="7"/>
        <v>9288.7099999999991</v>
      </c>
      <c r="I439" s="230">
        <f>IF("generated"=1, "Path=MMRBEM_7_UP, Scaled Offset=9288.7099999999991268850862979888916", 9669.08646516728)</f>
        <v>9669.08646516728</v>
      </c>
      <c r="J439" t="s">
        <v>248</v>
      </c>
      <c r="AB439" s="21">
        <v>430</v>
      </c>
    </row>
    <row r="440" spans="1:28" ht="15" x14ac:dyDescent="0.25">
      <c r="A440" s="224" t="s">
        <v>129</v>
      </c>
      <c r="B440">
        <v>75430</v>
      </c>
      <c r="C440" t="s">
        <v>801</v>
      </c>
      <c r="D440" s="93" t="s">
        <v>920</v>
      </c>
      <c r="E440" s="94" t="s">
        <v>187</v>
      </c>
      <c r="G440">
        <v>9303.57</v>
      </c>
      <c r="H440" s="116">
        <f t="shared" si="7"/>
        <v>9303.57</v>
      </c>
      <c r="I440" s="230">
        <f>IF("generated"=1, "Path=MMRBEM_7_UP, Scaled Offset=9303.5699999999997089616954326629639", 9683.67243146532)</f>
        <v>9683.6724314653202</v>
      </c>
      <c r="J440" t="s">
        <v>248</v>
      </c>
      <c r="AB440" s="21">
        <v>431</v>
      </c>
    </row>
    <row r="441" spans="1:28" ht="15" x14ac:dyDescent="0.25">
      <c r="A441" s="224" t="s">
        <v>129</v>
      </c>
      <c r="B441">
        <v>75431</v>
      </c>
      <c r="C441" t="s">
        <v>802</v>
      </c>
      <c r="D441" s="93" t="s">
        <v>920</v>
      </c>
      <c r="E441" s="94" t="s">
        <v>187</v>
      </c>
      <c r="G441">
        <v>9306.57</v>
      </c>
      <c r="H441" s="116">
        <f t="shared" si="7"/>
        <v>9306.57</v>
      </c>
      <c r="I441" s="230">
        <f>IF("generated"=1, "Path=MMRBEM_7_UP, Scaled Offset=9306.5699999999997089616954326629639", 9686.61710837609)</f>
        <v>9686.6171083760892</v>
      </c>
      <c r="J441" t="s">
        <v>248</v>
      </c>
      <c r="AB441" s="21">
        <v>432</v>
      </c>
    </row>
    <row r="442" spans="1:28" ht="15" x14ac:dyDescent="0.25">
      <c r="A442" s="224" t="s">
        <v>129</v>
      </c>
      <c r="B442">
        <v>75432</v>
      </c>
      <c r="C442" t="s">
        <v>803</v>
      </c>
      <c r="D442" s="93" t="s">
        <v>920</v>
      </c>
      <c r="E442" s="94" t="s">
        <v>187</v>
      </c>
      <c r="G442">
        <v>9326.49</v>
      </c>
      <c r="H442" s="116">
        <f t="shared" si="7"/>
        <v>9326.49</v>
      </c>
      <c r="I442" s="230">
        <f>IF("generated"=1, "Path=MMRBEM_7_UP, Scaled Offset=9326.4899999999997817212715744972229", 9706.16976306364)</f>
        <v>9706.1697630636409</v>
      </c>
      <c r="J442" t="s">
        <v>248</v>
      </c>
      <c r="AB442" s="21">
        <v>433</v>
      </c>
    </row>
    <row r="443" spans="1:28" ht="15" x14ac:dyDescent="0.25">
      <c r="A443" s="224" t="s">
        <v>129</v>
      </c>
      <c r="B443">
        <v>75433</v>
      </c>
      <c r="C443" t="s">
        <v>804</v>
      </c>
      <c r="D443" s="93" t="s">
        <v>920</v>
      </c>
      <c r="E443" s="94" t="s">
        <v>187</v>
      </c>
      <c r="G443">
        <v>9329.49</v>
      </c>
      <c r="H443" s="116">
        <f t="shared" si="7"/>
        <v>9329.49</v>
      </c>
      <c r="I443" s="230">
        <f>IF("generated"=1, "Path=MMRBEM_7_UP, Scaled Offset=9329.4899999999997817212715744972229", 9709.11443997441)</f>
        <v>9709.1144399744098</v>
      </c>
      <c r="J443" t="s">
        <v>248</v>
      </c>
      <c r="AB443" s="21">
        <v>434</v>
      </c>
    </row>
    <row r="444" spans="1:28" ht="15" x14ac:dyDescent="0.25">
      <c r="A444" s="224" t="s">
        <v>129</v>
      </c>
      <c r="B444">
        <v>75434</v>
      </c>
      <c r="C444" t="s">
        <v>805</v>
      </c>
      <c r="D444" s="93" t="s">
        <v>920</v>
      </c>
      <c r="E444" s="94" t="s">
        <v>187</v>
      </c>
      <c r="G444">
        <v>9387.51</v>
      </c>
      <c r="H444" s="116">
        <f t="shared" si="7"/>
        <v>9387.51</v>
      </c>
      <c r="I444" s="230">
        <f>IF("generated"=1, "Path=MMRBEM_7_UP, Scaled Offset=9387.5100000000002182787284255027771", 9766.0644914288)</f>
        <v>9766.0644914288005</v>
      </c>
      <c r="J444" t="s">
        <v>248</v>
      </c>
      <c r="AB444" s="21">
        <v>435</v>
      </c>
    </row>
    <row r="445" spans="1:28" ht="15" x14ac:dyDescent="0.25">
      <c r="A445" s="224" t="s">
        <v>129</v>
      </c>
      <c r="B445">
        <v>75435</v>
      </c>
      <c r="C445" t="s">
        <v>806</v>
      </c>
      <c r="D445" s="93" t="s">
        <v>920</v>
      </c>
      <c r="E445" s="94" t="s">
        <v>187</v>
      </c>
      <c r="G445">
        <v>9422.61</v>
      </c>
      <c r="H445" s="116">
        <f t="shared" si="7"/>
        <v>9422.61</v>
      </c>
      <c r="I445" s="230">
        <f>IF("generated"=1, "Path=MMRBEM_7_UP, Scaled Offset=9422.6100000000005820766091346740723", 9800.51721128486)</f>
        <v>9800.5172112848595</v>
      </c>
      <c r="J445" t="s">
        <v>248</v>
      </c>
      <c r="AB445" s="21">
        <v>436</v>
      </c>
    </row>
    <row r="446" spans="1:28" ht="15" x14ac:dyDescent="0.25">
      <c r="A446" s="224" t="s">
        <v>129</v>
      </c>
      <c r="B446">
        <v>75436</v>
      </c>
      <c r="C446" t="s">
        <v>807</v>
      </c>
      <c r="D446" s="93" t="s">
        <v>920</v>
      </c>
      <c r="E446" s="94" t="s">
        <v>187</v>
      </c>
      <c r="G446">
        <v>9425.61</v>
      </c>
      <c r="H446" s="116">
        <f t="shared" si="7"/>
        <v>9425.61</v>
      </c>
      <c r="I446" s="230">
        <f>IF("generated"=1, "Path=MMRBEM_7_UP, Scaled Offset=9425.6100000000005820766091346740723", 9803.46188819563)</f>
        <v>9803.4618881956303</v>
      </c>
      <c r="J446" t="s">
        <v>248</v>
      </c>
      <c r="AB446" s="21">
        <v>437</v>
      </c>
    </row>
    <row r="447" spans="1:28" ht="15" x14ac:dyDescent="0.25">
      <c r="A447" s="224" t="s">
        <v>129</v>
      </c>
      <c r="B447">
        <v>75437</v>
      </c>
      <c r="C447" t="s">
        <v>808</v>
      </c>
      <c r="D447" s="93" t="s">
        <v>920</v>
      </c>
      <c r="E447" s="94" t="s">
        <v>187</v>
      </c>
      <c r="G447">
        <v>9445.5300000000007</v>
      </c>
      <c r="H447" s="116">
        <f t="shared" si="7"/>
        <v>9445.5300000000007</v>
      </c>
      <c r="I447" s="230">
        <f>IF("generated"=1, "Path=MMRBEM_7_UP, Scaled Offset=9445.5300000000006548361852765083313", 9823.01454288318)</f>
        <v>9823.0145428831802</v>
      </c>
      <c r="J447" t="s">
        <v>248</v>
      </c>
      <c r="AB447" s="21">
        <v>438</v>
      </c>
    </row>
    <row r="448" spans="1:28" ht="15" x14ac:dyDescent="0.25">
      <c r="A448" s="224" t="s">
        <v>129</v>
      </c>
      <c r="B448">
        <v>75438</v>
      </c>
      <c r="C448" t="s">
        <v>809</v>
      </c>
      <c r="D448" s="93" t="s">
        <v>920</v>
      </c>
      <c r="E448" s="94" t="s">
        <v>187</v>
      </c>
      <c r="G448">
        <v>9448.5300000000007</v>
      </c>
      <c r="H448" s="116">
        <f t="shared" si="7"/>
        <v>9448.5300000000007</v>
      </c>
      <c r="I448" s="230">
        <f>IF("generated"=1, "Path=MMRBEM_7_UP, Scaled Offset=9448.5300000000006548361852765083313", 9825.95921979395)</f>
        <v>9825.9592197939492</v>
      </c>
      <c r="J448" t="s">
        <v>248</v>
      </c>
      <c r="AB448" s="21">
        <v>439</v>
      </c>
    </row>
    <row r="449" spans="1:28" ht="15" x14ac:dyDescent="0.25">
      <c r="A449" s="224" t="s">
        <v>129</v>
      </c>
      <c r="B449">
        <v>75439</v>
      </c>
      <c r="C449" t="s">
        <v>810</v>
      </c>
      <c r="D449" s="93" t="s">
        <v>920</v>
      </c>
      <c r="E449" s="94" t="s">
        <v>187</v>
      </c>
      <c r="G449">
        <v>9500.9500000000007</v>
      </c>
      <c r="H449" s="116">
        <f t="shared" ref="H449:H511" si="8">G449+F449</f>
        <v>9500.9500000000007</v>
      </c>
      <c r="I449" s="230">
        <f>IF("generated"=1, "Path=MMRBEM_7_UP, Scaled Offset=9500.9500000000007275957614183425903", 9877.41254101489)</f>
        <v>9877.4125410148899</v>
      </c>
      <c r="J449" t="s">
        <v>248</v>
      </c>
      <c r="AB449" s="21">
        <v>440</v>
      </c>
    </row>
    <row r="450" spans="1:28" ht="15" x14ac:dyDescent="0.25">
      <c r="A450" s="224" t="s">
        <v>129</v>
      </c>
      <c r="B450">
        <v>75440</v>
      </c>
      <c r="C450" t="s">
        <v>811</v>
      </c>
      <c r="D450" s="93" t="s">
        <v>920</v>
      </c>
      <c r="E450" s="94" t="s">
        <v>187</v>
      </c>
      <c r="G450">
        <v>9580</v>
      </c>
      <c r="H450" s="116">
        <f t="shared" si="8"/>
        <v>9580</v>
      </c>
      <c r="I450" s="230">
        <f>IF("generated"=1, "Path=MMRBEM_7_UP, Scaled Offset=9580", 9955.00477761381)</f>
        <v>9955.0047776138108</v>
      </c>
      <c r="J450" t="s">
        <v>248</v>
      </c>
      <c r="AB450" s="21">
        <v>441</v>
      </c>
    </row>
    <row r="451" spans="1:28" ht="15" x14ac:dyDescent="0.25">
      <c r="A451" s="224" t="s">
        <v>129</v>
      </c>
      <c r="B451">
        <v>75441</v>
      </c>
      <c r="C451" t="s">
        <v>812</v>
      </c>
      <c r="D451" s="93" t="s">
        <v>920</v>
      </c>
      <c r="E451" s="94" t="s">
        <v>187</v>
      </c>
      <c r="G451">
        <v>9601</v>
      </c>
      <c r="H451" s="116">
        <f t="shared" si="8"/>
        <v>9601</v>
      </c>
      <c r="I451" s="230">
        <f>IF("generated"=1, "Path=MMRBEM_7_UP, Scaled Offset=9601", 9975.61751598923)</f>
        <v>9975.61751598923</v>
      </c>
      <c r="J451" t="s">
        <v>248</v>
      </c>
      <c r="AB451" s="21">
        <v>442</v>
      </c>
    </row>
    <row r="452" spans="1:28" ht="15" x14ac:dyDescent="0.25">
      <c r="A452" s="224" t="s">
        <v>129</v>
      </c>
      <c r="B452">
        <v>75442</v>
      </c>
      <c r="C452" t="s">
        <v>813</v>
      </c>
      <c r="D452" s="93" t="s">
        <v>920</v>
      </c>
      <c r="E452" s="94" t="s">
        <v>187</v>
      </c>
      <c r="G452">
        <v>9721</v>
      </c>
      <c r="H452" s="116">
        <f t="shared" si="8"/>
        <v>9721</v>
      </c>
      <c r="I452" s="230">
        <f>IF("generated"=1, "Path=MMRBEM_7_UP, Scaled Offset=9721", 10093.4045924202)</f>
        <v>10093.4045924202</v>
      </c>
      <c r="J452" t="s">
        <v>248</v>
      </c>
      <c r="AB452" s="21">
        <v>443</v>
      </c>
    </row>
    <row r="453" spans="1:28" ht="15" x14ac:dyDescent="0.25">
      <c r="A453" s="224" t="s">
        <v>129</v>
      </c>
      <c r="B453">
        <v>75443</v>
      </c>
      <c r="C453" t="s">
        <v>814</v>
      </c>
      <c r="D453" s="93" t="s">
        <v>920</v>
      </c>
      <c r="E453" s="94" t="s">
        <v>187</v>
      </c>
      <c r="G453">
        <v>9757</v>
      </c>
      <c r="H453" s="116">
        <f t="shared" si="8"/>
        <v>9757</v>
      </c>
      <c r="I453" s="230">
        <f>IF("generated"=1, "Path=MMRBEM_7_UP, Scaled Offset=9757", 10128.7407153495)</f>
        <v>10128.740715349501</v>
      </c>
      <c r="J453" t="s">
        <v>248</v>
      </c>
      <c r="AB453" s="21">
        <v>444</v>
      </c>
    </row>
    <row r="454" spans="1:28" ht="15" x14ac:dyDescent="0.25">
      <c r="A454" s="224" t="s">
        <v>129</v>
      </c>
      <c r="B454">
        <v>75444</v>
      </c>
      <c r="C454" t="s">
        <v>815</v>
      </c>
      <c r="D454" s="93" t="s">
        <v>920</v>
      </c>
      <c r="E454" s="94" t="s">
        <v>187</v>
      </c>
      <c r="G454">
        <v>9877</v>
      </c>
      <c r="H454" s="116">
        <f t="shared" si="8"/>
        <v>9877</v>
      </c>
      <c r="I454" s="230">
        <f>IF("generated"=1, "Path=MMRBEM_7_UP, Scaled Offset=9877", 10246.5277917805)</f>
        <v>10246.5277917805</v>
      </c>
      <c r="J454" t="s">
        <v>248</v>
      </c>
      <c r="AB454" s="21">
        <v>445</v>
      </c>
    </row>
    <row r="455" spans="1:28" ht="15" x14ac:dyDescent="0.25">
      <c r="A455" s="224" t="s">
        <v>129</v>
      </c>
      <c r="B455">
        <v>75445</v>
      </c>
      <c r="C455" t="s">
        <v>816</v>
      </c>
      <c r="D455" s="93" t="s">
        <v>920</v>
      </c>
      <c r="E455" s="94" t="s">
        <v>187</v>
      </c>
      <c r="G455">
        <v>9898</v>
      </c>
      <c r="H455" s="116">
        <f t="shared" si="8"/>
        <v>9898</v>
      </c>
      <c r="I455" s="230">
        <f>IF("generated"=1, "Path=MMRBEM_7_UP, Scaled Offset=9898", 10267.1405301559)</f>
        <v>10267.140530155901</v>
      </c>
      <c r="J455" t="s">
        <v>248</v>
      </c>
      <c r="AB455" s="21">
        <v>446</v>
      </c>
    </row>
    <row r="456" spans="1:28" ht="15" x14ac:dyDescent="0.25">
      <c r="A456" s="224" t="s">
        <v>129</v>
      </c>
      <c r="B456">
        <v>75446</v>
      </c>
      <c r="C456" t="s">
        <v>817</v>
      </c>
      <c r="D456" s="93" t="s">
        <v>920</v>
      </c>
      <c r="E456" s="94" t="s">
        <v>187</v>
      </c>
      <c r="G456">
        <v>9993.56</v>
      </c>
      <c r="H456" s="116">
        <f t="shared" si="8"/>
        <v>9993.56</v>
      </c>
      <c r="I456" s="230">
        <f>IF("generated"=1, "Path=MMRBEM_7_UP, Scaled Offset=9993.5599999999994906829670071601868", 10360.9383053538)</f>
        <v>10360.9383053538</v>
      </c>
      <c r="J456" t="s">
        <v>248</v>
      </c>
      <c r="AB456" s="21">
        <v>447</v>
      </c>
    </row>
    <row r="457" spans="1:28" ht="15" x14ac:dyDescent="0.25">
      <c r="A457" s="224" t="s">
        <v>129</v>
      </c>
      <c r="B457">
        <v>75447</v>
      </c>
      <c r="C457" t="s">
        <v>818</v>
      </c>
      <c r="D457" s="93" t="s">
        <v>920</v>
      </c>
      <c r="E457" s="94" t="s">
        <v>187</v>
      </c>
      <c r="G457">
        <v>10008.42</v>
      </c>
      <c r="H457" s="116">
        <f t="shared" si="8"/>
        <v>10008.42</v>
      </c>
      <c r="I457" s="230">
        <f>IF("generated"=1, "Path=MMRBEM_7_UP, Scaled Offset=10008.420000000000072759576141834259", 10375.5242716518)</f>
        <v>10375.524271651801</v>
      </c>
      <c r="J457" t="s">
        <v>248</v>
      </c>
      <c r="AB457" s="21">
        <v>448</v>
      </c>
    </row>
    <row r="458" spans="1:28" ht="15" x14ac:dyDescent="0.25">
      <c r="A458" s="224" t="s">
        <v>129</v>
      </c>
      <c r="B458">
        <v>75448</v>
      </c>
      <c r="C458" t="s">
        <v>819</v>
      </c>
      <c r="D458" s="93" t="s">
        <v>920</v>
      </c>
      <c r="E458" s="94" t="s">
        <v>187</v>
      </c>
      <c r="G458">
        <v>10011.42</v>
      </c>
      <c r="H458" s="116">
        <f t="shared" si="8"/>
        <v>10011.42</v>
      </c>
      <c r="I458" s="230">
        <f>IF("generated"=1, "Path=MMRBEM_7_UP, Scaled Offset=10011.420000000000072759576141834259", 10378.4689485626)</f>
        <v>10378.4689485626</v>
      </c>
      <c r="J458" t="s">
        <v>248</v>
      </c>
      <c r="AB458" s="21">
        <v>449</v>
      </c>
    </row>
    <row r="459" spans="1:28" ht="15" x14ac:dyDescent="0.25">
      <c r="A459" s="224" t="s">
        <v>129</v>
      </c>
      <c r="B459">
        <v>75449</v>
      </c>
      <c r="C459" t="s">
        <v>820</v>
      </c>
      <c r="D459" s="93" t="s">
        <v>920</v>
      </c>
      <c r="E459" s="94" t="s">
        <v>187</v>
      </c>
      <c r="G459">
        <v>10031.34</v>
      </c>
      <c r="H459" s="116">
        <f t="shared" si="8"/>
        <v>10031.34</v>
      </c>
      <c r="I459" s="230">
        <f>IF("generated"=1, "Path=MMRBEM_7_UP, Scaled Offset=10031.340000000000145519152283668518", 10398.0216032501)</f>
        <v>10398.021603250099</v>
      </c>
      <c r="J459" t="s">
        <v>248</v>
      </c>
      <c r="AB459" s="21">
        <v>450</v>
      </c>
    </row>
    <row r="460" spans="1:28" ht="15" x14ac:dyDescent="0.25">
      <c r="A460" s="224" t="s">
        <v>129</v>
      </c>
      <c r="B460">
        <v>75450</v>
      </c>
      <c r="C460" t="s">
        <v>821</v>
      </c>
      <c r="D460" s="93" t="s">
        <v>920</v>
      </c>
      <c r="E460" s="94" t="s">
        <v>187</v>
      </c>
      <c r="G460">
        <v>10034.34</v>
      </c>
      <c r="H460" s="116">
        <f t="shared" si="8"/>
        <v>10034.34</v>
      </c>
      <c r="I460" s="230">
        <f>IF("generated"=1, "Path=MMRBEM_7_UP, Scaled Offset=10034.340000000000145519152283668518", 10400.9662801609)</f>
        <v>10400.966280160899</v>
      </c>
      <c r="J460" t="s">
        <v>248</v>
      </c>
      <c r="AB460" s="21">
        <v>451</v>
      </c>
    </row>
    <row r="461" spans="1:28" ht="15" x14ac:dyDescent="0.25">
      <c r="A461" s="224" t="s">
        <v>129</v>
      </c>
      <c r="B461">
        <v>75451</v>
      </c>
      <c r="C461" t="s">
        <v>822</v>
      </c>
      <c r="D461" s="93" t="s">
        <v>920</v>
      </c>
      <c r="E461" s="94" t="s">
        <v>187</v>
      </c>
      <c r="G461">
        <v>10092.36</v>
      </c>
      <c r="H461" s="116">
        <f t="shared" si="8"/>
        <v>10092.36</v>
      </c>
      <c r="I461" s="230">
        <f>IF("generated"=1, "Path=MMRBEM_7_UP, Scaled Offset=10092.360000000000582076609134674072", 10457.9163316153)</f>
        <v>10457.916331615301</v>
      </c>
      <c r="J461" t="s">
        <v>248</v>
      </c>
      <c r="AB461" s="21">
        <v>452</v>
      </c>
    </row>
    <row r="462" spans="1:28" ht="15" x14ac:dyDescent="0.25">
      <c r="A462" s="224" t="s">
        <v>129</v>
      </c>
      <c r="B462">
        <v>75452</v>
      </c>
      <c r="C462" t="s">
        <v>823</v>
      </c>
      <c r="D462" s="93" t="s">
        <v>920</v>
      </c>
      <c r="E462" s="94" t="s">
        <v>187</v>
      </c>
      <c r="G462">
        <v>10127.459999999999</v>
      </c>
      <c r="H462" s="116">
        <f t="shared" si="8"/>
        <v>10127.459999999999</v>
      </c>
      <c r="I462" s="230">
        <f>IF("generated"=1, "Path=MMRBEM_7_UP, Scaled Offset=10127.459999999999126885086297988892", 10492.3690514713)</f>
        <v>10492.3690514713</v>
      </c>
      <c r="J462" t="s">
        <v>248</v>
      </c>
      <c r="AB462" s="21">
        <v>453</v>
      </c>
    </row>
    <row r="463" spans="1:28" ht="15" x14ac:dyDescent="0.25">
      <c r="A463" s="224" t="s">
        <v>129</v>
      </c>
      <c r="B463">
        <v>75453</v>
      </c>
      <c r="C463" t="s">
        <v>824</v>
      </c>
      <c r="D463" s="93" t="s">
        <v>920</v>
      </c>
      <c r="E463" s="94" t="s">
        <v>187</v>
      </c>
      <c r="G463">
        <v>10130.459999999999</v>
      </c>
      <c r="H463" s="116">
        <f t="shared" si="8"/>
        <v>10130.459999999999</v>
      </c>
      <c r="I463" s="230">
        <f>IF("generated"=1, "Path=MMRBEM_7_UP, Scaled Offset=10130.459999999999126885086297988892", 10495.3137283821)</f>
        <v>10495.3137283821</v>
      </c>
      <c r="J463" t="s">
        <v>248</v>
      </c>
      <c r="AB463" s="21">
        <v>454</v>
      </c>
    </row>
    <row r="464" spans="1:28" ht="15" x14ac:dyDescent="0.25">
      <c r="A464" s="224" t="s">
        <v>129</v>
      </c>
      <c r="B464">
        <v>75454</v>
      </c>
      <c r="C464" t="s">
        <v>825</v>
      </c>
      <c r="D464" s="93" t="s">
        <v>920</v>
      </c>
      <c r="E464" s="94" t="s">
        <v>187</v>
      </c>
      <c r="G464">
        <v>10150.379999999999</v>
      </c>
      <c r="H464" s="116">
        <f t="shared" si="8"/>
        <v>10150.379999999999</v>
      </c>
      <c r="I464" s="230">
        <f>IF("generated"=1, "Path=MMRBEM_7_UP, Scaled Offset=10150.379999999999199644662439823151", 10514.8663830697)</f>
        <v>10514.866383069701</v>
      </c>
      <c r="J464" t="s">
        <v>248</v>
      </c>
      <c r="AB464" s="21">
        <v>455</v>
      </c>
    </row>
    <row r="465" spans="1:28" ht="15" x14ac:dyDescent="0.25">
      <c r="A465" s="224" t="s">
        <v>129</v>
      </c>
      <c r="B465">
        <v>75455</v>
      </c>
      <c r="C465" t="s">
        <v>826</v>
      </c>
      <c r="D465" s="93" t="s">
        <v>920</v>
      </c>
      <c r="E465" s="94" t="s">
        <v>187</v>
      </c>
      <c r="G465">
        <v>10153.379999999999</v>
      </c>
      <c r="H465" s="116">
        <f t="shared" si="8"/>
        <v>10153.379999999999</v>
      </c>
      <c r="I465" s="230">
        <f>IF("generated"=1, "Path=MMRBEM_7_UP, Scaled Offset=10153.379999999999199644662439823151", 10517.8110599804)</f>
        <v>10517.8110599804</v>
      </c>
      <c r="J465" t="s">
        <v>248</v>
      </c>
      <c r="AB465" s="21">
        <v>456</v>
      </c>
    </row>
    <row r="466" spans="1:28" ht="15" x14ac:dyDescent="0.25">
      <c r="A466" s="224" t="s">
        <v>129</v>
      </c>
      <c r="B466">
        <v>75456</v>
      </c>
      <c r="C466" t="s">
        <v>827</v>
      </c>
      <c r="D466" s="93" t="s">
        <v>920</v>
      </c>
      <c r="E466" s="94" t="s">
        <v>187</v>
      </c>
      <c r="G466">
        <v>10205.799999999999</v>
      </c>
      <c r="H466" s="116">
        <f t="shared" si="8"/>
        <v>10205.799999999999</v>
      </c>
      <c r="I466" s="230">
        <f>IF("generated"=1, "Path=MMRBEM_7_UP, Scaled Offset=10205.79999999999927240423858165741", 10569.2643812014)</f>
        <v>10569.264381201399</v>
      </c>
      <c r="J466" t="s">
        <v>248</v>
      </c>
      <c r="AB466" s="21">
        <v>457</v>
      </c>
    </row>
    <row r="467" spans="1:28" ht="15" x14ac:dyDescent="0.25">
      <c r="A467" s="224" t="s">
        <v>129</v>
      </c>
      <c r="B467">
        <v>75457</v>
      </c>
      <c r="C467" t="s">
        <v>828</v>
      </c>
      <c r="D467" s="93" t="s">
        <v>920</v>
      </c>
      <c r="E467" s="94" t="s">
        <v>187</v>
      </c>
      <c r="G467">
        <v>10285</v>
      </c>
      <c r="H467" s="116">
        <f t="shared" si="8"/>
        <v>10285</v>
      </c>
      <c r="I467" s="230">
        <f>IF("generated"=1, "Path=MMRBEM_7_UP, Scaled Offset=10285", 10647.0038516458)</f>
        <v>10647.003851645801</v>
      </c>
      <c r="J467" t="s">
        <v>248</v>
      </c>
      <c r="AB467" s="21">
        <v>458</v>
      </c>
    </row>
    <row r="468" spans="1:28" ht="15" x14ac:dyDescent="0.25">
      <c r="A468" s="224" t="s">
        <v>129</v>
      </c>
      <c r="B468">
        <v>75458</v>
      </c>
      <c r="C468" t="s">
        <v>829</v>
      </c>
      <c r="D468" s="93" t="s">
        <v>920</v>
      </c>
      <c r="E468" s="94" t="s">
        <v>187</v>
      </c>
      <c r="G468">
        <v>10306</v>
      </c>
      <c r="H468" s="116">
        <f t="shared" si="8"/>
        <v>10306</v>
      </c>
      <c r="I468" s="230">
        <f>IF("generated"=1, "Path=MMRBEM_7_UP, Scaled Offset=10306", 10667.6165900213)</f>
        <v>10667.6165900213</v>
      </c>
      <c r="J468" t="s">
        <v>248</v>
      </c>
      <c r="AB468" s="21">
        <v>459</v>
      </c>
    </row>
    <row r="469" spans="1:28" ht="15" x14ac:dyDescent="0.25">
      <c r="A469" s="224" t="s">
        <v>129</v>
      </c>
      <c r="B469">
        <v>75459</v>
      </c>
      <c r="C469" t="s">
        <v>830</v>
      </c>
      <c r="D469" s="93" t="s">
        <v>920</v>
      </c>
      <c r="E469" s="94" t="s">
        <v>187</v>
      </c>
      <c r="G469">
        <v>10436</v>
      </c>
      <c r="H469" s="116">
        <f t="shared" si="8"/>
        <v>10436</v>
      </c>
      <c r="I469" s="230">
        <f>IF("generated"=1, "Path=MMRBEM_7_UP, Scaled Offset=10436", 10795.2192561548)</f>
        <v>10795.2192561548</v>
      </c>
      <c r="J469" t="s">
        <v>248</v>
      </c>
      <c r="AB469" s="21">
        <v>460</v>
      </c>
    </row>
    <row r="470" spans="1:28" ht="15" x14ac:dyDescent="0.25">
      <c r="A470" s="224" t="s">
        <v>129</v>
      </c>
      <c r="B470">
        <v>75460</v>
      </c>
      <c r="C470" t="s">
        <v>831</v>
      </c>
      <c r="D470" s="93" t="s">
        <v>920</v>
      </c>
      <c r="E470" s="94" t="s">
        <v>187</v>
      </c>
      <c r="G470">
        <v>10636</v>
      </c>
      <c r="H470" s="116">
        <f t="shared" si="8"/>
        <v>10636</v>
      </c>
      <c r="I470" s="230">
        <f>IF("generated"=1, "Path=MMRBEM_7_UP, Scaled Offset=10636", 10991.5310502065)</f>
        <v>10991.5310502065</v>
      </c>
      <c r="J470" t="s">
        <v>248</v>
      </c>
      <c r="AB470" s="21">
        <v>461</v>
      </c>
    </row>
    <row r="471" spans="1:28" ht="15" x14ac:dyDescent="0.25">
      <c r="A471" s="224" t="s">
        <v>129</v>
      </c>
      <c r="B471">
        <v>75461</v>
      </c>
      <c r="C471" t="s">
        <v>832</v>
      </c>
      <c r="D471" s="93" t="s">
        <v>920</v>
      </c>
      <c r="E471" s="94" t="s">
        <v>187</v>
      </c>
      <c r="G471">
        <v>10836</v>
      </c>
      <c r="H471" s="116">
        <f t="shared" si="8"/>
        <v>10836</v>
      </c>
      <c r="I471" s="230">
        <f>IF("generated"=1, "Path=MMRBEM_7_UP, Scaled Offset=10836", 11187.8428442581)</f>
        <v>11187.842844258101</v>
      </c>
      <c r="J471" t="s">
        <v>248</v>
      </c>
      <c r="AB471" s="21">
        <v>462</v>
      </c>
    </row>
    <row r="472" spans="1:28" ht="15" x14ac:dyDescent="0.25">
      <c r="A472" s="224" t="s">
        <v>129</v>
      </c>
      <c r="B472">
        <v>75462</v>
      </c>
      <c r="C472" t="s">
        <v>833</v>
      </c>
      <c r="D472" s="93" t="s">
        <v>920</v>
      </c>
      <c r="E472" s="94" t="s">
        <v>187</v>
      </c>
      <c r="G472">
        <v>11036</v>
      </c>
      <c r="H472" s="116">
        <f t="shared" si="8"/>
        <v>11036</v>
      </c>
      <c r="I472" s="230">
        <f>IF("generated"=1, "Path=MMRBEM_7_UP, Scaled Offset=11036", 11384.1546383098)</f>
        <v>11384.154638309799</v>
      </c>
      <c r="J472" t="s">
        <v>248</v>
      </c>
      <c r="AB472" s="21">
        <v>463</v>
      </c>
    </row>
    <row r="473" spans="1:28" ht="15" x14ac:dyDescent="0.25">
      <c r="A473" s="224" t="s">
        <v>129</v>
      </c>
      <c r="B473">
        <v>75463</v>
      </c>
      <c r="C473" t="s">
        <v>834</v>
      </c>
      <c r="D473" s="93" t="s">
        <v>920</v>
      </c>
      <c r="E473" s="94" t="s">
        <v>187</v>
      </c>
      <c r="G473">
        <v>11236</v>
      </c>
      <c r="H473" s="116">
        <f t="shared" si="8"/>
        <v>11236</v>
      </c>
      <c r="I473" s="230">
        <f>IF("generated"=1, "Path=MMRBEM_7_UP, Scaled Offset=11236", 11580.4664323614)</f>
        <v>11580.4664323614</v>
      </c>
      <c r="J473" t="s">
        <v>248</v>
      </c>
      <c r="AB473" s="21">
        <v>464</v>
      </c>
    </row>
    <row r="474" spans="1:28" ht="15" x14ac:dyDescent="0.25">
      <c r="A474" s="224" t="s">
        <v>129</v>
      </c>
      <c r="B474">
        <v>75464</v>
      </c>
      <c r="C474" t="s">
        <v>835</v>
      </c>
      <c r="D474" s="93" t="s">
        <v>920</v>
      </c>
      <c r="E474" s="94" t="s">
        <v>187</v>
      </c>
      <c r="G474">
        <v>11429</v>
      </c>
      <c r="H474" s="116">
        <f t="shared" si="8"/>
        <v>11429</v>
      </c>
      <c r="I474" s="230">
        <f>IF("generated"=1, "Path=MMRBEM_7_UP, Scaled Offset=11429", 11769.9073136213)</f>
        <v>11769.907313621299</v>
      </c>
      <c r="J474" t="s">
        <v>248</v>
      </c>
      <c r="AB474" s="21">
        <v>465</v>
      </c>
    </row>
    <row r="475" spans="1:28" ht="15" x14ac:dyDescent="0.25">
      <c r="A475" s="224" t="s">
        <v>129</v>
      </c>
      <c r="B475">
        <v>75465</v>
      </c>
      <c r="C475" t="s">
        <v>836</v>
      </c>
      <c r="D475" s="93" t="s">
        <v>920</v>
      </c>
      <c r="E475" s="94" t="s">
        <v>187</v>
      </c>
      <c r="G475">
        <v>11559</v>
      </c>
      <c r="H475" s="116">
        <f t="shared" si="8"/>
        <v>11559</v>
      </c>
      <c r="I475" s="230">
        <f>IF("generated"=1, "Path=MMRBEM_7_UP, Scaled Offset=11559", 11897.5099797548)</f>
        <v>11897.509979754799</v>
      </c>
      <c r="J475" t="s">
        <v>248</v>
      </c>
      <c r="AB475" s="21">
        <v>466</v>
      </c>
    </row>
    <row r="476" spans="1:28" ht="15" x14ac:dyDescent="0.25">
      <c r="A476" s="224" t="s">
        <v>129</v>
      </c>
      <c r="B476">
        <v>75466</v>
      </c>
      <c r="C476" t="s">
        <v>837</v>
      </c>
      <c r="D476" s="93" t="s">
        <v>920</v>
      </c>
      <c r="E476" s="94" t="s">
        <v>187</v>
      </c>
      <c r="G476">
        <v>11580</v>
      </c>
      <c r="H476" s="116">
        <f t="shared" si="8"/>
        <v>11580</v>
      </c>
      <c r="I476" s="230">
        <f>IF("generated"=1, "Path=MMRBEM_7_UP, Scaled Offset=11580", 11918.1227181303)</f>
        <v>11918.1227181303</v>
      </c>
      <c r="J476" t="s">
        <v>248</v>
      </c>
      <c r="AB476" s="21">
        <v>467</v>
      </c>
    </row>
    <row r="477" spans="1:28" ht="15" x14ac:dyDescent="0.25">
      <c r="A477" s="224" t="s">
        <v>129</v>
      </c>
      <c r="B477">
        <v>75467</v>
      </c>
      <c r="C477" t="s">
        <v>838</v>
      </c>
      <c r="D477" s="93" t="s">
        <v>920</v>
      </c>
      <c r="E477" s="94" t="s">
        <v>187</v>
      </c>
      <c r="G477">
        <v>11674.85</v>
      </c>
      <c r="H477" s="116">
        <f t="shared" si="8"/>
        <v>11674.85</v>
      </c>
      <c r="I477" s="230">
        <f>IF("generated"=1, "Path=MMRBEM_7_UP, Scaled Offset=11674.850000000000363797880709171295", 12011.2235864593)</f>
        <v>12011.2235864593</v>
      </c>
      <c r="J477" t="s">
        <v>248</v>
      </c>
      <c r="AB477" s="21">
        <v>468</v>
      </c>
    </row>
    <row r="478" spans="1:28" ht="15" x14ac:dyDescent="0.25">
      <c r="A478" s="224" t="s">
        <v>129</v>
      </c>
      <c r="B478">
        <v>75468</v>
      </c>
      <c r="C478" t="s">
        <v>839</v>
      </c>
      <c r="D478" s="93" t="s">
        <v>920</v>
      </c>
      <c r="E478" s="94" t="s">
        <v>187</v>
      </c>
      <c r="G478">
        <v>11689.71</v>
      </c>
      <c r="H478" s="116">
        <f t="shared" si="8"/>
        <v>11689.71</v>
      </c>
      <c r="I478" s="230">
        <f>IF("generated"=1, "Path=MMRBEM_7_UP, Scaled Offset=11689.709999999999126885086297988892", 12025.8095527573)</f>
        <v>12025.8095527573</v>
      </c>
      <c r="J478" t="s">
        <v>248</v>
      </c>
      <c r="AB478" s="21">
        <v>469</v>
      </c>
    </row>
    <row r="479" spans="1:28" ht="15" x14ac:dyDescent="0.25">
      <c r="A479" s="224" t="s">
        <v>129</v>
      </c>
      <c r="B479">
        <v>75469</v>
      </c>
      <c r="C479" t="s">
        <v>841</v>
      </c>
      <c r="D479" s="93" t="s">
        <v>920</v>
      </c>
      <c r="E479" s="94" t="s">
        <v>187</v>
      </c>
      <c r="G479">
        <v>11692.71</v>
      </c>
      <c r="H479" s="116">
        <f t="shared" si="8"/>
        <v>11692.71</v>
      </c>
      <c r="I479" s="230">
        <f>IF("generated"=1, "Path=MMRBEM_7_UP, Scaled Offset=11692.709999999999126885086297988892", 12028.7542296681)</f>
        <v>12028.7542296681</v>
      </c>
      <c r="J479" t="s">
        <v>248</v>
      </c>
      <c r="AB479" s="21">
        <v>470</v>
      </c>
    </row>
    <row r="480" spans="1:28" ht="15" x14ac:dyDescent="0.25">
      <c r="A480" s="224" t="s">
        <v>129</v>
      </c>
      <c r="B480">
        <v>75470</v>
      </c>
      <c r="C480" t="s">
        <v>840</v>
      </c>
      <c r="D480" s="93" t="s">
        <v>920</v>
      </c>
      <c r="E480" s="94" t="s">
        <v>187</v>
      </c>
      <c r="G480">
        <v>11712.63</v>
      </c>
      <c r="H480" s="116">
        <f t="shared" si="8"/>
        <v>11712.63</v>
      </c>
      <c r="I480" s="230">
        <f>IF("generated"=1, "Path=MMRBEM_7_UP, Scaled Offset=11712.629999999999199644662439823151", 12048.3068843556)</f>
        <v>12048.306884355599</v>
      </c>
      <c r="J480" t="s">
        <v>248</v>
      </c>
      <c r="AB480" s="21">
        <v>471</v>
      </c>
    </row>
    <row r="481" spans="1:28" ht="15" x14ac:dyDescent="0.25">
      <c r="A481" s="224" t="s">
        <v>129</v>
      </c>
      <c r="B481">
        <v>75471</v>
      </c>
      <c r="C481" t="s">
        <v>842</v>
      </c>
      <c r="D481" s="93" t="s">
        <v>920</v>
      </c>
      <c r="E481" s="94" t="s">
        <v>187</v>
      </c>
      <c r="G481">
        <v>11715.63</v>
      </c>
      <c r="H481" s="116">
        <f t="shared" si="8"/>
        <v>11715.63</v>
      </c>
      <c r="I481" s="230">
        <f>IF("generated"=1, "Path=MMRBEM_7_UP, Scaled Offset=11715.629999999999199644662439823151", 12051.2515612664)</f>
        <v>12051.251561266399</v>
      </c>
      <c r="J481" t="s">
        <v>248</v>
      </c>
      <c r="AB481" s="21">
        <v>472</v>
      </c>
    </row>
    <row r="482" spans="1:28" ht="15" x14ac:dyDescent="0.25">
      <c r="A482" s="224" t="s">
        <v>129</v>
      </c>
      <c r="B482">
        <v>75472</v>
      </c>
      <c r="C482" t="s">
        <v>843</v>
      </c>
      <c r="D482" s="93" t="s">
        <v>920</v>
      </c>
      <c r="E482" s="94" t="s">
        <v>187</v>
      </c>
      <c r="G482">
        <v>11773.65</v>
      </c>
      <c r="H482" s="116">
        <f t="shared" si="8"/>
        <v>11773.65</v>
      </c>
      <c r="I482" s="230">
        <f>IF("generated"=1, "Path=MMRBEM_7_UP, Scaled Offset=11773.649999999999636202119290828705", 12108.2016127208)</f>
        <v>12108.201612720801</v>
      </c>
      <c r="J482" t="s">
        <v>248</v>
      </c>
      <c r="AB482" s="21">
        <v>473</v>
      </c>
    </row>
    <row r="483" spans="1:28" ht="15" x14ac:dyDescent="0.25">
      <c r="A483" s="224" t="s">
        <v>129</v>
      </c>
      <c r="B483">
        <v>75473</v>
      </c>
      <c r="C483" t="s">
        <v>844</v>
      </c>
      <c r="D483" s="93" t="s">
        <v>920</v>
      </c>
      <c r="E483" s="94" t="s">
        <v>187</v>
      </c>
      <c r="G483">
        <v>11808.75</v>
      </c>
      <c r="H483" s="116">
        <f t="shared" si="8"/>
        <v>11808.75</v>
      </c>
      <c r="I483" s="230">
        <f>IF("generated"=1, "Path=MMRBEM_7_UP, Scaled Offset=11808.75", 12142.6543325768)</f>
        <v>12142.6543325768</v>
      </c>
      <c r="J483" t="s">
        <v>248</v>
      </c>
      <c r="AB483" s="21">
        <v>474</v>
      </c>
    </row>
    <row r="484" spans="1:28" ht="15" x14ac:dyDescent="0.25">
      <c r="A484" s="224" t="s">
        <v>129</v>
      </c>
      <c r="B484">
        <v>75474</v>
      </c>
      <c r="C484" t="s">
        <v>845</v>
      </c>
      <c r="D484" s="93" t="s">
        <v>920</v>
      </c>
      <c r="E484" s="94" t="s">
        <v>187</v>
      </c>
      <c r="G484">
        <v>11811.75</v>
      </c>
      <c r="H484" s="116">
        <f t="shared" si="8"/>
        <v>11811.75</v>
      </c>
      <c r="I484" s="230">
        <f>IF("generated"=1, "Path=MMRBEM_7_UP, Scaled Offset=11811.75", 12145.5990094876)</f>
        <v>12145.5990094876</v>
      </c>
      <c r="J484" t="s">
        <v>248</v>
      </c>
      <c r="AB484" s="21">
        <v>475</v>
      </c>
    </row>
    <row r="485" spans="1:28" ht="15" x14ac:dyDescent="0.25">
      <c r="A485" s="224" t="s">
        <v>129</v>
      </c>
      <c r="B485">
        <v>75475</v>
      </c>
      <c r="C485" t="s">
        <v>846</v>
      </c>
      <c r="D485" s="93" t="s">
        <v>920</v>
      </c>
      <c r="E485" s="94" t="s">
        <v>187</v>
      </c>
      <c r="G485">
        <v>11831.67</v>
      </c>
      <c r="H485" s="116">
        <f t="shared" si="8"/>
        <v>11831.67</v>
      </c>
      <c r="I485" s="230">
        <f>IF("generated"=1, "Path=MMRBEM_7_UP, Scaled Offset=11831.670000000000072759576141834259", 12165.1516641752)</f>
        <v>12165.1516641752</v>
      </c>
      <c r="J485" t="s">
        <v>248</v>
      </c>
      <c r="AB485" s="21">
        <v>476</v>
      </c>
    </row>
    <row r="486" spans="1:28" ht="15" x14ac:dyDescent="0.25">
      <c r="A486" s="224" t="s">
        <v>129</v>
      </c>
      <c r="B486">
        <v>75476</v>
      </c>
      <c r="C486" t="s">
        <v>847</v>
      </c>
      <c r="D486" s="93" t="s">
        <v>920</v>
      </c>
      <c r="E486" s="94" t="s">
        <v>187</v>
      </c>
      <c r="G486">
        <v>11834.67</v>
      </c>
      <c r="H486" s="116">
        <f t="shared" si="8"/>
        <v>11834.67</v>
      </c>
      <c r="I486" s="230">
        <f>IF("generated"=1, "Path=MMRBEM_7_UP, Scaled Offset=11834.670000000000072759576141834259", 12168.0963410859)</f>
        <v>12168.0963410859</v>
      </c>
      <c r="J486" t="s">
        <v>248</v>
      </c>
      <c r="AB486" s="21">
        <v>477</v>
      </c>
    </row>
    <row r="487" spans="1:28" ht="15" x14ac:dyDescent="0.25">
      <c r="A487" s="224" t="s">
        <v>129</v>
      </c>
      <c r="B487">
        <v>75477</v>
      </c>
      <c r="C487" t="s">
        <v>848</v>
      </c>
      <c r="D487" s="93" t="s">
        <v>920</v>
      </c>
      <c r="E487" s="94" t="s">
        <v>187</v>
      </c>
      <c r="G487">
        <v>11887.09</v>
      </c>
      <c r="H487" s="116">
        <f t="shared" si="8"/>
        <v>11887.09</v>
      </c>
      <c r="I487" s="230">
        <f>IF("generated"=1, "Path=MMRBEM_7_UP, Scaled Offset=11887.090000000000145519152283668518", 12219.5496623069)</f>
        <v>12219.549662306899</v>
      </c>
      <c r="J487" t="s">
        <v>248</v>
      </c>
      <c r="AB487" s="21">
        <v>478</v>
      </c>
    </row>
    <row r="488" spans="1:28" ht="15" x14ac:dyDescent="0.25">
      <c r="A488" s="224" t="s">
        <v>129</v>
      </c>
      <c r="B488">
        <v>75478</v>
      </c>
      <c r="C488" t="s">
        <v>849</v>
      </c>
      <c r="D488" s="93" t="s">
        <v>920</v>
      </c>
      <c r="E488" s="94" t="s">
        <v>187</v>
      </c>
      <c r="G488">
        <v>11967</v>
      </c>
      <c r="H488" s="116">
        <f t="shared" si="8"/>
        <v>11967</v>
      </c>
      <c r="I488" s="230">
        <f>IF("generated"=1, "Path=MMRBEM_7_UP, Scaled Offset=11967", 12297.9860396202)</f>
        <v>12297.9860396202</v>
      </c>
      <c r="J488" t="s">
        <v>248</v>
      </c>
      <c r="AB488" s="21">
        <v>479</v>
      </c>
    </row>
    <row r="489" spans="1:28" ht="15" x14ac:dyDescent="0.25">
      <c r="A489" s="224" t="s">
        <v>129</v>
      </c>
      <c r="B489">
        <v>75479</v>
      </c>
      <c r="C489" t="s">
        <v>850</v>
      </c>
      <c r="D489" s="93" t="s">
        <v>920</v>
      </c>
      <c r="E489" s="94" t="s">
        <v>187</v>
      </c>
      <c r="G489">
        <v>11988</v>
      </c>
      <c r="H489" s="116">
        <f t="shared" si="8"/>
        <v>11988</v>
      </c>
      <c r="I489" s="230">
        <f>IF("generated"=1, "Path=MMRBEM_7_UP, Scaled Offset=11988", 12318.5987779956)</f>
        <v>12318.598777995599</v>
      </c>
      <c r="J489" t="s">
        <v>248</v>
      </c>
      <c r="AB489" s="21">
        <v>480</v>
      </c>
    </row>
    <row r="490" spans="1:28" ht="15" x14ac:dyDescent="0.25">
      <c r="A490" s="224" t="s">
        <v>129</v>
      </c>
      <c r="B490">
        <v>75480</v>
      </c>
      <c r="C490" t="s">
        <v>851</v>
      </c>
      <c r="D490" s="93" t="s">
        <v>920</v>
      </c>
      <c r="E490" s="94" t="s">
        <v>187</v>
      </c>
      <c r="G490">
        <v>12108</v>
      </c>
      <c r="H490" s="116">
        <f t="shared" si="8"/>
        <v>12108</v>
      </c>
      <c r="I490" s="230">
        <f>IF("generated"=1, "Path=MMRBEM_7_UP, Scaled Offset=12108", 12436.3858544266)</f>
        <v>12436.3858544266</v>
      </c>
      <c r="J490" t="s">
        <v>248</v>
      </c>
      <c r="AB490" s="21">
        <v>481</v>
      </c>
    </row>
    <row r="491" spans="1:28" ht="15" x14ac:dyDescent="0.25">
      <c r="A491" s="224" t="s">
        <v>129</v>
      </c>
      <c r="B491">
        <v>75481</v>
      </c>
      <c r="C491" t="s">
        <v>852</v>
      </c>
      <c r="D491" s="93" t="s">
        <v>920</v>
      </c>
      <c r="E491" s="94" t="s">
        <v>187</v>
      </c>
      <c r="G491">
        <v>12275</v>
      </c>
      <c r="H491" s="116">
        <f t="shared" si="8"/>
        <v>12275</v>
      </c>
      <c r="I491" s="230">
        <f>IF("generated"=1, "Path=MMRBEM_7_UP, Scaled Offset=12275", 12600.3062024598)</f>
        <v>12600.3062024598</v>
      </c>
      <c r="J491" t="s">
        <v>248</v>
      </c>
      <c r="AB491" s="21">
        <v>482</v>
      </c>
    </row>
    <row r="492" spans="1:28" ht="15" x14ac:dyDescent="0.25">
      <c r="A492" s="224" t="s">
        <v>129</v>
      </c>
      <c r="B492">
        <v>75482</v>
      </c>
      <c r="C492" t="s">
        <v>853</v>
      </c>
      <c r="D492" s="93" t="s">
        <v>920</v>
      </c>
      <c r="E492" s="94" t="s">
        <v>187</v>
      </c>
      <c r="G492">
        <v>12395</v>
      </c>
      <c r="H492" s="116">
        <f t="shared" si="8"/>
        <v>12395</v>
      </c>
      <c r="I492" s="230">
        <f>IF("generated"=1, "Path=MMRBEM_7_UP, Scaled Offset=12395", 12718.0932788907)</f>
        <v>12718.093278890699</v>
      </c>
      <c r="J492" t="s">
        <v>248</v>
      </c>
      <c r="AB492" s="21">
        <v>483</v>
      </c>
    </row>
    <row r="493" spans="1:28" ht="15" x14ac:dyDescent="0.25">
      <c r="A493" s="224" t="s">
        <v>129</v>
      </c>
      <c r="B493">
        <v>75483</v>
      </c>
      <c r="C493" t="s">
        <v>854</v>
      </c>
      <c r="D493" s="93" t="s">
        <v>920</v>
      </c>
      <c r="E493" s="94" t="s">
        <v>187</v>
      </c>
      <c r="G493">
        <v>12416</v>
      </c>
      <c r="H493" s="116">
        <f t="shared" si="8"/>
        <v>12416</v>
      </c>
      <c r="I493" s="230">
        <f>IF("generated"=1, "Path=MMRBEM_7_UP, Scaled Offset=12416", 12738.7060172662)</f>
        <v>12738.7060172662</v>
      </c>
      <c r="J493" t="s">
        <v>248</v>
      </c>
      <c r="AB493" s="21">
        <v>484</v>
      </c>
    </row>
    <row r="494" spans="1:28" ht="15" x14ac:dyDescent="0.25">
      <c r="A494" s="224" t="s">
        <v>129</v>
      </c>
      <c r="B494">
        <v>75484</v>
      </c>
      <c r="C494" t="s">
        <v>855</v>
      </c>
      <c r="D494" s="93" t="s">
        <v>920</v>
      </c>
      <c r="E494" s="94" t="s">
        <v>187</v>
      </c>
      <c r="G494">
        <v>12511.71</v>
      </c>
      <c r="H494" s="116">
        <f t="shared" si="8"/>
        <v>12511.71</v>
      </c>
      <c r="I494" s="230">
        <f>IF("generated"=1, "Path=MMRBEM_7_UP, Scaled Offset=12511.709999999999126885086297988892", 12832.6510263096)</f>
        <v>12832.651026309601</v>
      </c>
      <c r="J494" t="s">
        <v>248</v>
      </c>
      <c r="AB494" s="21">
        <v>485</v>
      </c>
    </row>
    <row r="495" spans="1:28" ht="15" x14ac:dyDescent="0.25">
      <c r="A495" s="224" t="s">
        <v>129</v>
      </c>
      <c r="B495">
        <v>75485</v>
      </c>
      <c r="C495" t="s">
        <v>856</v>
      </c>
      <c r="D495" s="93" t="s">
        <v>920</v>
      </c>
      <c r="E495" s="94" t="s">
        <v>187</v>
      </c>
      <c r="G495">
        <v>12526.57</v>
      </c>
      <c r="H495" s="116">
        <f t="shared" si="8"/>
        <v>12526.57</v>
      </c>
      <c r="I495" s="230">
        <f>IF("generated"=1, "Path=MMRBEM_7_UP, Scaled Offset=12526.569999999999708961695432662964", 12847.2369926076)</f>
        <v>12847.236992607601</v>
      </c>
      <c r="J495" t="s">
        <v>248</v>
      </c>
      <c r="AB495" s="21">
        <v>486</v>
      </c>
    </row>
    <row r="496" spans="1:28" ht="15" x14ac:dyDescent="0.25">
      <c r="A496" s="224" t="s">
        <v>129</v>
      </c>
      <c r="B496">
        <v>75486</v>
      </c>
      <c r="C496" t="s">
        <v>857</v>
      </c>
      <c r="D496" s="93" t="s">
        <v>920</v>
      </c>
      <c r="E496" s="94" t="s">
        <v>187</v>
      </c>
      <c r="G496">
        <v>12529.57</v>
      </c>
      <c r="H496" s="116">
        <f t="shared" si="8"/>
        <v>12529.57</v>
      </c>
      <c r="I496" s="230">
        <f>IF("generated"=1, "Path=MMRBEM_7_UP, Scaled Offset=12529.569999999999708961695432662964", 12850.1816695184)</f>
        <v>12850.181669518401</v>
      </c>
      <c r="J496" t="s">
        <v>248</v>
      </c>
      <c r="AB496" s="21">
        <v>487</v>
      </c>
    </row>
    <row r="497" spans="1:28" ht="15" x14ac:dyDescent="0.25">
      <c r="A497" s="224" t="s">
        <v>129</v>
      </c>
      <c r="B497">
        <v>75487</v>
      </c>
      <c r="C497" t="s">
        <v>858</v>
      </c>
      <c r="D497" s="93" t="s">
        <v>920</v>
      </c>
      <c r="E497" s="94" t="s">
        <v>187</v>
      </c>
      <c r="G497">
        <v>12549.49</v>
      </c>
      <c r="H497" s="116">
        <f t="shared" si="8"/>
        <v>12549.49</v>
      </c>
      <c r="I497" s="230">
        <f>IF("generated"=1, "Path=MMRBEM_7_UP, Scaled Offset=12549.489999999999781721271574497223", 12869.7343242059)</f>
        <v>12869.7343242059</v>
      </c>
      <c r="J497" t="s">
        <v>248</v>
      </c>
      <c r="AB497" s="21">
        <v>488</v>
      </c>
    </row>
    <row r="498" spans="1:28" ht="15" x14ac:dyDescent="0.25">
      <c r="A498" s="224" t="s">
        <v>129</v>
      </c>
      <c r="B498">
        <v>75488</v>
      </c>
      <c r="C498" t="s">
        <v>859</v>
      </c>
      <c r="D498" s="93" t="s">
        <v>920</v>
      </c>
      <c r="E498" s="94" t="s">
        <v>187</v>
      </c>
      <c r="G498">
        <v>12552.49</v>
      </c>
      <c r="H498" s="116">
        <f t="shared" si="8"/>
        <v>12552.49</v>
      </c>
      <c r="I498" s="230">
        <f>IF("generated"=1, "Path=MMRBEM_7_UP, Scaled Offset=12552.489999999999781721271574497223", 12872.6790011167)</f>
        <v>12872.6790011167</v>
      </c>
      <c r="J498" t="s">
        <v>248</v>
      </c>
      <c r="AB498" s="21">
        <v>489</v>
      </c>
    </row>
    <row r="499" spans="1:28" ht="15" x14ac:dyDescent="0.25">
      <c r="A499" s="224" t="s">
        <v>129</v>
      </c>
      <c r="B499">
        <v>75489</v>
      </c>
      <c r="C499" t="s">
        <v>860</v>
      </c>
      <c r="D499" s="93" t="s">
        <v>920</v>
      </c>
      <c r="E499" s="94" t="s">
        <v>187</v>
      </c>
      <c r="G499">
        <v>12610.51</v>
      </c>
      <c r="H499" s="116">
        <f t="shared" si="8"/>
        <v>12610.51</v>
      </c>
      <c r="I499" s="230">
        <f>IF("generated"=1, "Path=MMRBEM_7_UP, Scaled Offset=12610.510000000000218278728425502777", 12929.6290525711)</f>
        <v>12929.629052571099</v>
      </c>
      <c r="J499" t="s">
        <v>248</v>
      </c>
      <c r="AB499" s="21">
        <v>490</v>
      </c>
    </row>
    <row r="500" spans="1:28" ht="15" x14ac:dyDescent="0.25">
      <c r="A500" s="224" t="s">
        <v>129</v>
      </c>
      <c r="B500">
        <v>75490</v>
      </c>
      <c r="C500" t="s">
        <v>861</v>
      </c>
      <c r="D500" s="93" t="s">
        <v>920</v>
      </c>
      <c r="E500" s="94" t="s">
        <v>187</v>
      </c>
      <c r="G500">
        <v>12645.61</v>
      </c>
      <c r="H500" s="116">
        <f t="shared" si="8"/>
        <v>12645.61</v>
      </c>
      <c r="I500" s="230">
        <f>IF("generated"=1, "Path=MMRBEM_7_UP, Scaled Offset=12645.610000000000582076609134674072", 12964.0817724272)</f>
        <v>12964.0817724272</v>
      </c>
      <c r="J500" t="s">
        <v>248</v>
      </c>
      <c r="AB500" s="21">
        <v>491</v>
      </c>
    </row>
    <row r="501" spans="1:28" ht="15" x14ac:dyDescent="0.25">
      <c r="A501" s="224" t="s">
        <v>129</v>
      </c>
      <c r="B501">
        <v>75491</v>
      </c>
      <c r="C501" t="s">
        <v>862</v>
      </c>
      <c r="D501" s="93" t="s">
        <v>920</v>
      </c>
      <c r="E501" s="94" t="s">
        <v>187</v>
      </c>
      <c r="G501">
        <v>12648.61</v>
      </c>
      <c r="H501" s="116">
        <f t="shared" si="8"/>
        <v>12648.61</v>
      </c>
      <c r="I501" s="230">
        <f>IF("generated"=1, "Path=MMRBEM_7_UP, Scaled Offset=12648.610000000000582076609134674072", 12967.0264493379)</f>
        <v>12967.0264493379</v>
      </c>
      <c r="J501" t="s">
        <v>248</v>
      </c>
      <c r="AB501" s="21">
        <v>492</v>
      </c>
    </row>
    <row r="502" spans="1:28" ht="15" x14ac:dyDescent="0.25">
      <c r="A502" s="224" t="s">
        <v>129</v>
      </c>
      <c r="B502">
        <v>75492</v>
      </c>
      <c r="C502" t="s">
        <v>863</v>
      </c>
      <c r="D502" s="93" t="s">
        <v>920</v>
      </c>
      <c r="E502" s="94" t="s">
        <v>187</v>
      </c>
      <c r="G502">
        <v>12668.53</v>
      </c>
      <c r="H502" s="116">
        <f t="shared" si="8"/>
        <v>12668.53</v>
      </c>
      <c r="I502" s="230">
        <f>IF("generated"=1, "Path=MMRBEM_7_UP, Scaled Offset=12668.530000000000654836185276508331", 12986.5791040255)</f>
        <v>12986.579104025501</v>
      </c>
      <c r="J502" t="s">
        <v>248</v>
      </c>
      <c r="AB502" s="21">
        <v>493</v>
      </c>
    </row>
    <row r="503" spans="1:28" ht="15" x14ac:dyDescent="0.25">
      <c r="A503" s="224" t="s">
        <v>129</v>
      </c>
      <c r="B503">
        <v>75493</v>
      </c>
      <c r="C503" t="s">
        <v>864</v>
      </c>
      <c r="D503" s="93" t="s">
        <v>920</v>
      </c>
      <c r="E503" s="94" t="s">
        <v>187</v>
      </c>
      <c r="G503">
        <v>12671.53</v>
      </c>
      <c r="H503" s="116">
        <f t="shared" si="8"/>
        <v>12671.53</v>
      </c>
      <c r="I503" s="230">
        <f>IF("generated"=1, "Path=MMRBEM_7_UP, Scaled Offset=12671.530000000000654836185276508331", 12989.5237809363)</f>
        <v>12989.523780936301</v>
      </c>
      <c r="J503" t="s">
        <v>248</v>
      </c>
      <c r="AB503" s="21">
        <v>494</v>
      </c>
    </row>
    <row r="504" spans="1:28" ht="15" x14ac:dyDescent="0.25">
      <c r="A504" s="224" t="s">
        <v>129</v>
      </c>
      <c r="B504">
        <v>75494</v>
      </c>
      <c r="C504" t="s">
        <v>865</v>
      </c>
      <c r="D504" s="93" t="s">
        <v>920</v>
      </c>
      <c r="E504" s="94" t="s">
        <v>187</v>
      </c>
      <c r="G504">
        <v>12723.95</v>
      </c>
      <c r="H504" s="116">
        <f t="shared" si="8"/>
        <v>12723.95</v>
      </c>
      <c r="I504" s="230">
        <f>IF("generated"=1, "Path=MMRBEM_7_UP, Scaled Offset=12723.95000000000072759576141834259", 13040.9771021572)</f>
        <v>13040.9771021572</v>
      </c>
      <c r="J504" t="s">
        <v>248</v>
      </c>
      <c r="AB504" s="21">
        <v>495</v>
      </c>
    </row>
    <row r="505" spans="1:28" ht="15" x14ac:dyDescent="0.25">
      <c r="A505" s="224" t="s">
        <v>129</v>
      </c>
      <c r="B505">
        <v>75495</v>
      </c>
      <c r="C505" t="s">
        <v>866</v>
      </c>
      <c r="D505" s="93" t="s">
        <v>920</v>
      </c>
      <c r="E505" s="94" t="s">
        <v>187</v>
      </c>
      <c r="G505">
        <v>12805</v>
      </c>
      <c r="H505" s="116">
        <f t="shared" si="8"/>
        <v>12805</v>
      </c>
      <c r="I505" s="230">
        <f>IF("generated"=1, "Path=MMRBEM_7_UP, Scaled Offset=12805", 13120.5324566966)</f>
        <v>13120.532456696599</v>
      </c>
      <c r="J505" t="s">
        <v>248</v>
      </c>
      <c r="AB505" s="21">
        <v>496</v>
      </c>
    </row>
    <row r="506" spans="1:28" ht="15" x14ac:dyDescent="0.25">
      <c r="A506" s="224" t="s">
        <v>129</v>
      </c>
      <c r="B506">
        <v>75496</v>
      </c>
      <c r="C506" t="s">
        <v>867</v>
      </c>
      <c r="D506" s="93" t="s">
        <v>920</v>
      </c>
      <c r="E506" s="94" t="s">
        <v>187</v>
      </c>
      <c r="G506">
        <v>12826</v>
      </c>
      <c r="H506" s="116">
        <f t="shared" si="8"/>
        <v>12826</v>
      </c>
      <c r="I506" s="230">
        <f>IF("generated"=1, "Path=MMRBEM_7_UP, Scaled Offset=12826", 13141.1451950721)</f>
        <v>13141.1451950721</v>
      </c>
      <c r="J506" t="s">
        <v>248</v>
      </c>
      <c r="AB506" s="21">
        <v>497</v>
      </c>
    </row>
    <row r="507" spans="1:28" ht="15" x14ac:dyDescent="0.25">
      <c r="A507" s="224" t="s">
        <v>129</v>
      </c>
      <c r="B507">
        <v>75497</v>
      </c>
      <c r="C507" t="s">
        <v>868</v>
      </c>
      <c r="D507" s="93" t="s">
        <v>920</v>
      </c>
      <c r="E507" s="94" t="s">
        <v>187</v>
      </c>
      <c r="G507">
        <v>12946</v>
      </c>
      <c r="H507" s="116">
        <f t="shared" si="8"/>
        <v>12946</v>
      </c>
      <c r="I507" s="230">
        <f>IF("generated"=1, "Path=MMRBEM_7_UP, Scaled Offset=12946", 13258.932271503)</f>
        <v>13258.932271502999</v>
      </c>
      <c r="J507" t="s">
        <v>248</v>
      </c>
      <c r="AB507" s="21">
        <v>498</v>
      </c>
    </row>
    <row r="508" spans="1:28" ht="15" x14ac:dyDescent="0.25">
      <c r="A508" s="224" t="s">
        <v>129</v>
      </c>
      <c r="B508">
        <v>75498</v>
      </c>
      <c r="C508" t="s">
        <v>869</v>
      </c>
      <c r="D508" s="93" t="s">
        <v>920</v>
      </c>
      <c r="E508" s="94" t="s">
        <v>187</v>
      </c>
      <c r="G508">
        <v>13100</v>
      </c>
      <c r="H508" s="116">
        <f t="shared" si="8"/>
        <v>13100</v>
      </c>
      <c r="I508" s="230">
        <f>IF("generated"=1, "Path=MMRBEM_7_UP, Scaled Offset=13100", 13410.0923529228)</f>
        <v>13410.0923529228</v>
      </c>
      <c r="J508" t="s">
        <v>248</v>
      </c>
      <c r="AB508" s="21">
        <v>499</v>
      </c>
    </row>
    <row r="509" spans="1:28" ht="15" x14ac:dyDescent="0.25">
      <c r="A509" s="224" t="s">
        <v>129</v>
      </c>
      <c r="B509">
        <v>75499</v>
      </c>
      <c r="C509" t="s">
        <v>870</v>
      </c>
      <c r="D509" s="93" t="s">
        <v>920</v>
      </c>
      <c r="E509" s="94" t="s">
        <v>187</v>
      </c>
      <c r="G509">
        <v>13280</v>
      </c>
      <c r="H509" s="116">
        <f t="shared" si="8"/>
        <v>13280</v>
      </c>
      <c r="I509" s="230">
        <f>IF("generated"=1, "Path=MMRBEM_7_UP, Scaled Offset=13280", 13586.7729675693)</f>
        <v>13586.772967569301</v>
      </c>
      <c r="J509" t="s">
        <v>248</v>
      </c>
      <c r="AB509" s="21">
        <v>500</v>
      </c>
    </row>
    <row r="510" spans="1:28" ht="15" x14ac:dyDescent="0.25">
      <c r="A510" s="224" t="s">
        <v>129</v>
      </c>
      <c r="B510">
        <v>75500</v>
      </c>
      <c r="C510" t="s">
        <v>871</v>
      </c>
      <c r="D510" s="93" t="s">
        <v>920</v>
      </c>
      <c r="E510" s="94" t="s">
        <v>187</v>
      </c>
      <c r="G510">
        <v>13437</v>
      </c>
      <c r="H510" s="116">
        <f t="shared" si="8"/>
        <v>13437</v>
      </c>
      <c r="I510" s="230">
        <f>IF("generated"=1, "Path=MMRBEM_7_UP, Scaled Offset=13437", 13740.8777258998)</f>
        <v>13740.8777258998</v>
      </c>
      <c r="J510" t="s">
        <v>248</v>
      </c>
      <c r="AB510" s="21">
        <v>501</v>
      </c>
    </row>
    <row r="511" spans="1:28" ht="15" x14ac:dyDescent="0.25">
      <c r="A511" s="224" t="s">
        <v>129</v>
      </c>
      <c r="B511">
        <v>75501</v>
      </c>
      <c r="C511" t="s">
        <v>872</v>
      </c>
      <c r="D511" s="93" t="s">
        <v>920</v>
      </c>
      <c r="E511" s="94" t="s">
        <v>187</v>
      </c>
      <c r="G511">
        <v>13557</v>
      </c>
      <c r="H511" s="116">
        <f t="shared" si="8"/>
        <v>13557</v>
      </c>
      <c r="I511" s="230">
        <f>IF("generated"=1, "Path=MMRBEM_7_UP, Scaled Offset=13557", 13858.6648023308)</f>
        <v>13858.664802330801</v>
      </c>
      <c r="J511" t="s">
        <v>248</v>
      </c>
      <c r="AB511" s="21">
        <v>502</v>
      </c>
    </row>
    <row r="512" spans="1:28" ht="15" x14ac:dyDescent="0.25">
      <c r="A512" s="224" t="s">
        <v>129</v>
      </c>
      <c r="B512">
        <v>75502</v>
      </c>
      <c r="C512" t="s">
        <v>873</v>
      </c>
      <c r="D512" s="93" t="s">
        <v>920</v>
      </c>
      <c r="E512" s="94" t="s">
        <v>187</v>
      </c>
      <c r="G512">
        <v>13578</v>
      </c>
      <c r="H512" s="116">
        <f t="shared" ref="H512:H555" si="9">G512+F512</f>
        <v>13578</v>
      </c>
      <c r="I512" s="230">
        <f>IF("generated"=1, "Path=MMRBEM_7_UP, Scaled Offset=13578", 13879.2775407063)</f>
        <v>13879.2775407063</v>
      </c>
      <c r="J512" t="s">
        <v>248</v>
      </c>
      <c r="AB512" s="21">
        <v>503</v>
      </c>
    </row>
    <row r="513" spans="1:28" ht="15" x14ac:dyDescent="0.25">
      <c r="A513" s="224" t="s">
        <v>129</v>
      </c>
      <c r="B513">
        <v>75503</v>
      </c>
      <c r="C513" t="s">
        <v>874</v>
      </c>
      <c r="D513" s="93" t="s">
        <v>920</v>
      </c>
      <c r="E513" s="94" t="s">
        <v>187</v>
      </c>
      <c r="G513">
        <v>13674</v>
      </c>
      <c r="H513" s="116">
        <f t="shared" si="9"/>
        <v>13674</v>
      </c>
      <c r="I513" s="230">
        <f>IF("generated"=1, "Path=MMRBEM_7_UP, Scaled Offset=13674", 13973.5072018511)</f>
        <v>13973.5072018511</v>
      </c>
      <c r="J513" t="s">
        <v>248</v>
      </c>
      <c r="AB513" s="21">
        <v>504</v>
      </c>
    </row>
    <row r="514" spans="1:28" ht="15" x14ac:dyDescent="0.25">
      <c r="A514" s="224" t="s">
        <v>129</v>
      </c>
      <c r="B514">
        <v>75504</v>
      </c>
      <c r="C514" t="s">
        <v>875</v>
      </c>
      <c r="D514" s="93" t="s">
        <v>920</v>
      </c>
      <c r="E514" s="94" t="s">
        <v>187</v>
      </c>
      <c r="G514">
        <v>13688.86</v>
      </c>
      <c r="H514" s="116">
        <f t="shared" si="9"/>
        <v>13688.86</v>
      </c>
      <c r="I514" s="230">
        <f>IF("generated"=1, "Path=MMRBEM_7_UP, Scaled Offset=13688.860000000000582076609134674072", 13988.0931681491)</f>
        <v>13988.0931681491</v>
      </c>
      <c r="J514" t="s">
        <v>248</v>
      </c>
      <c r="AB514" s="21">
        <v>505</v>
      </c>
    </row>
    <row r="515" spans="1:28" ht="15" x14ac:dyDescent="0.25">
      <c r="A515" s="224" t="s">
        <v>129</v>
      </c>
      <c r="B515">
        <v>75505</v>
      </c>
      <c r="C515" t="s">
        <v>876</v>
      </c>
      <c r="D515" s="93" t="s">
        <v>920</v>
      </c>
      <c r="E515" s="94" t="s">
        <v>187</v>
      </c>
      <c r="G515">
        <v>13691.86</v>
      </c>
      <c r="H515" s="116">
        <f t="shared" si="9"/>
        <v>13691.86</v>
      </c>
      <c r="I515" s="230">
        <f>IF("generated"=1, "Path=MMRBEM_7_UP, Scaled Offset=13691.860000000000582076609134674072", 13991.0378450599)</f>
        <v>13991.0378450599</v>
      </c>
      <c r="J515" t="s">
        <v>248</v>
      </c>
      <c r="AB515" s="21">
        <v>506</v>
      </c>
    </row>
    <row r="516" spans="1:28" ht="15" x14ac:dyDescent="0.25">
      <c r="A516" s="224" t="s">
        <v>129</v>
      </c>
      <c r="B516">
        <v>75506</v>
      </c>
      <c r="C516" t="s">
        <v>877</v>
      </c>
      <c r="D516" s="93" t="s">
        <v>920</v>
      </c>
      <c r="E516" s="94" t="s">
        <v>187</v>
      </c>
      <c r="G516">
        <v>13711.78</v>
      </c>
      <c r="H516" s="116">
        <f t="shared" si="9"/>
        <v>13711.78</v>
      </c>
      <c r="I516" s="230">
        <f>IF("generated"=1, "Path=MMRBEM_7_UP, Scaled Offset=13711.780000000000654836185276508331", 14010.5904997474)</f>
        <v>14010.590499747401</v>
      </c>
      <c r="J516" t="s">
        <v>248</v>
      </c>
      <c r="AB516" s="21">
        <v>507</v>
      </c>
    </row>
    <row r="517" spans="1:28" ht="15" x14ac:dyDescent="0.25">
      <c r="A517" s="224" t="s">
        <v>129</v>
      </c>
      <c r="B517">
        <v>75507</v>
      </c>
      <c r="C517" t="s">
        <v>878</v>
      </c>
      <c r="D517" s="93" t="s">
        <v>920</v>
      </c>
      <c r="E517" s="94" t="s">
        <v>187</v>
      </c>
      <c r="G517">
        <v>13714.78</v>
      </c>
      <c r="H517" s="116">
        <f t="shared" si="9"/>
        <v>13714.78</v>
      </c>
      <c r="I517" s="230">
        <f>IF("generated"=1, "Path=MMRBEM_7_UP, Scaled Offset=13714.780000000000654836185276508331", 14013.5351766582)</f>
        <v>14013.535176658201</v>
      </c>
      <c r="J517" t="s">
        <v>248</v>
      </c>
      <c r="AB517" s="21">
        <v>508</v>
      </c>
    </row>
    <row r="518" spans="1:28" ht="15" x14ac:dyDescent="0.25">
      <c r="A518" s="224" t="s">
        <v>129</v>
      </c>
      <c r="B518">
        <v>75508</v>
      </c>
      <c r="C518" t="s">
        <v>879</v>
      </c>
      <c r="D518" s="93" t="s">
        <v>920</v>
      </c>
      <c r="E518" s="94" t="s">
        <v>187</v>
      </c>
      <c r="G518">
        <v>13772.8</v>
      </c>
      <c r="H518" s="116">
        <f t="shared" si="9"/>
        <v>13772.8</v>
      </c>
      <c r="I518" s="230">
        <f>IF("generated"=1, "Path=MMRBEM_7_UP, Scaled Offset=13772.79999999999927240423858165741", 14070.4852281126)</f>
        <v>14070.4852281126</v>
      </c>
      <c r="J518" t="s">
        <v>248</v>
      </c>
      <c r="AB518" s="21">
        <v>509</v>
      </c>
    </row>
    <row r="519" spans="1:28" ht="15" x14ac:dyDescent="0.25">
      <c r="A519" s="224" t="s">
        <v>129</v>
      </c>
      <c r="B519">
        <v>75509</v>
      </c>
      <c r="C519" t="s">
        <v>880</v>
      </c>
      <c r="D519" s="93" t="s">
        <v>920</v>
      </c>
      <c r="E519" s="94" t="s">
        <v>187</v>
      </c>
      <c r="G519">
        <v>13807.9</v>
      </c>
      <c r="H519" s="116">
        <f t="shared" si="9"/>
        <v>13807.9</v>
      </c>
      <c r="I519" s="230">
        <f>IF("generated"=1, "Path=MMRBEM_7_UP, Scaled Offset=13807.899999999999636202119290828705", 14104.9379479686)</f>
        <v>14104.937947968599</v>
      </c>
      <c r="J519" t="s">
        <v>248</v>
      </c>
      <c r="AB519" s="21">
        <v>510</v>
      </c>
    </row>
    <row r="520" spans="1:28" ht="15" x14ac:dyDescent="0.25">
      <c r="A520" s="224" t="s">
        <v>129</v>
      </c>
      <c r="B520">
        <v>75510</v>
      </c>
      <c r="C520" t="s">
        <v>881</v>
      </c>
      <c r="D520" s="93" t="s">
        <v>920</v>
      </c>
      <c r="E520" s="94" t="s">
        <v>187</v>
      </c>
      <c r="G520">
        <v>13810.9</v>
      </c>
      <c r="H520" s="116">
        <f t="shared" si="9"/>
        <v>13810.9</v>
      </c>
      <c r="I520" s="230">
        <f>IF("generated"=1, "Path=MMRBEM_7_UP, Scaled Offset=13810.899999999999636202119290828705", 14107.8826248794)</f>
        <v>14107.882624879399</v>
      </c>
      <c r="J520" t="s">
        <v>248</v>
      </c>
      <c r="AB520" s="21">
        <v>511</v>
      </c>
    </row>
    <row r="521" spans="1:28" ht="15" x14ac:dyDescent="0.25">
      <c r="A521" s="224" t="s">
        <v>129</v>
      </c>
      <c r="B521">
        <v>75511</v>
      </c>
      <c r="C521" t="s">
        <v>882</v>
      </c>
      <c r="D521" s="93" t="s">
        <v>920</v>
      </c>
      <c r="E521" s="94" t="s">
        <v>187</v>
      </c>
      <c r="G521">
        <v>13830.82</v>
      </c>
      <c r="H521" s="116">
        <f t="shared" si="9"/>
        <v>13830.82</v>
      </c>
      <c r="I521" s="230">
        <f>IF("generated"=1, "Path=MMRBEM_7_UP, Scaled Offset=13830.819999999999708961695432662964", 14127.435279567)</f>
        <v>14127.435279567</v>
      </c>
      <c r="J521" t="s">
        <v>248</v>
      </c>
      <c r="AB521" s="21">
        <v>512</v>
      </c>
    </row>
    <row r="522" spans="1:28" ht="15" x14ac:dyDescent="0.25">
      <c r="A522" s="224" t="s">
        <v>129</v>
      </c>
      <c r="B522">
        <v>75512</v>
      </c>
      <c r="C522" t="s">
        <v>883</v>
      </c>
      <c r="D522" s="93" t="s">
        <v>920</v>
      </c>
      <c r="E522" s="94" t="s">
        <v>187</v>
      </c>
      <c r="G522">
        <v>13833.82</v>
      </c>
      <c r="H522" s="116">
        <f t="shared" si="9"/>
        <v>13833.82</v>
      </c>
      <c r="I522" s="230">
        <f>IF("generated"=1, "Path=MMRBEM_7_UP, Scaled Offset=13833.819999999999708961695432662964", 14130.3799564777)</f>
        <v>14130.3799564777</v>
      </c>
      <c r="J522" t="s">
        <v>248</v>
      </c>
      <c r="AB522" s="21">
        <v>513</v>
      </c>
    </row>
    <row r="523" spans="1:28" ht="15" x14ac:dyDescent="0.25">
      <c r="A523" s="224" t="s">
        <v>129</v>
      </c>
      <c r="B523">
        <v>75513</v>
      </c>
      <c r="C523" t="s">
        <v>884</v>
      </c>
      <c r="D523" s="93" t="s">
        <v>920</v>
      </c>
      <c r="E523" s="94" t="s">
        <v>187</v>
      </c>
      <c r="G523">
        <v>13886.24</v>
      </c>
      <c r="H523" s="116">
        <f t="shared" si="9"/>
        <v>13886.24</v>
      </c>
      <c r="I523" s="230">
        <f>IF("generated"=1, "Path=MMRBEM_7_UP, Scaled Offset=13886.239999999999781721271574497223", 14181.8332776987)</f>
        <v>14181.833277698701</v>
      </c>
      <c r="J523" t="s">
        <v>248</v>
      </c>
      <c r="AB523" s="21">
        <v>514</v>
      </c>
    </row>
    <row r="524" spans="1:28" ht="15" x14ac:dyDescent="0.25">
      <c r="A524" s="224" t="s">
        <v>129</v>
      </c>
      <c r="B524">
        <v>75514</v>
      </c>
      <c r="C524" t="s">
        <v>885</v>
      </c>
      <c r="D524" s="93" t="s">
        <v>920</v>
      </c>
      <c r="E524" s="94" t="s">
        <v>187</v>
      </c>
      <c r="G524">
        <v>13967</v>
      </c>
      <c r="H524" s="116">
        <f t="shared" si="9"/>
        <v>13967</v>
      </c>
      <c r="I524" s="230">
        <f>IF("generated"=1, "Path=MMRBEM_7_UP, Scaled Offset=13967", 14261.1039801367)</f>
        <v>14261.103980136701</v>
      </c>
      <c r="J524" t="s">
        <v>248</v>
      </c>
      <c r="AB524" s="21">
        <v>515</v>
      </c>
    </row>
    <row r="525" spans="1:28" ht="15" x14ac:dyDescent="0.25">
      <c r="A525" s="224" t="s">
        <v>129</v>
      </c>
      <c r="B525">
        <v>75515</v>
      </c>
      <c r="C525" t="s">
        <v>886</v>
      </c>
      <c r="D525" s="93" t="s">
        <v>920</v>
      </c>
      <c r="E525" s="94" t="s">
        <v>187</v>
      </c>
      <c r="G525">
        <v>13988</v>
      </c>
      <c r="H525" s="116">
        <f t="shared" si="9"/>
        <v>13988</v>
      </c>
      <c r="I525" s="230">
        <f>IF("generated"=1, "Path=MMRBEM_7_UP, Scaled Offset=13988", 14281.7167185121)</f>
        <v>14281.7167185121</v>
      </c>
      <c r="J525" t="s">
        <v>248</v>
      </c>
      <c r="AB525" s="21">
        <v>516</v>
      </c>
    </row>
    <row r="526" spans="1:28" ht="15" x14ac:dyDescent="0.25">
      <c r="A526" s="224" t="s">
        <v>129</v>
      </c>
      <c r="B526">
        <v>75516</v>
      </c>
      <c r="C526" t="s">
        <v>887</v>
      </c>
      <c r="D526" s="93" t="s">
        <v>920</v>
      </c>
      <c r="E526" s="94" t="s">
        <v>187</v>
      </c>
      <c r="G526">
        <v>14108</v>
      </c>
      <c r="H526" s="116">
        <f t="shared" si="9"/>
        <v>14108</v>
      </c>
      <c r="I526" s="230">
        <f>IF("generated"=1, "Path=MMRBEM_7_UP, Scaled Offset=14108", 14399.5037949431)</f>
        <v>14399.503794943101</v>
      </c>
      <c r="J526" t="s">
        <v>248</v>
      </c>
      <c r="AB526" s="21">
        <v>517</v>
      </c>
    </row>
    <row r="527" spans="1:28" ht="15" x14ac:dyDescent="0.25">
      <c r="A527" s="224" t="s">
        <v>129</v>
      </c>
      <c r="B527">
        <v>75517</v>
      </c>
      <c r="C527" t="s">
        <v>888</v>
      </c>
      <c r="D527" s="93" t="s">
        <v>920</v>
      </c>
      <c r="E527" s="94" t="s">
        <v>187</v>
      </c>
      <c r="G527">
        <v>14247</v>
      </c>
      <c r="H527" s="116">
        <f t="shared" si="9"/>
        <v>14247</v>
      </c>
      <c r="I527" s="230">
        <f>IF("generated"=1, "Path=MMRBEM_7_UP, Scaled Offset=14247", 14535.940491809)</f>
        <v>14535.940491809</v>
      </c>
      <c r="J527" t="s">
        <v>248</v>
      </c>
      <c r="AB527" s="21">
        <v>518</v>
      </c>
    </row>
    <row r="528" spans="1:28" ht="15" x14ac:dyDescent="0.25">
      <c r="A528" s="224" t="s">
        <v>129</v>
      </c>
      <c r="B528">
        <v>75518</v>
      </c>
      <c r="C528" t="s">
        <v>889</v>
      </c>
      <c r="D528" s="93" t="s">
        <v>920</v>
      </c>
      <c r="E528" s="94" t="s">
        <v>187</v>
      </c>
      <c r="G528">
        <v>14397</v>
      </c>
      <c r="H528" s="116">
        <f t="shared" si="9"/>
        <v>14397</v>
      </c>
      <c r="I528" s="230">
        <f>IF("generated"=1, "Path=MMRBEM_7_UP, Scaled Offset=14397", 14683.1743373478)</f>
        <v>14683.1743373478</v>
      </c>
      <c r="J528" t="s">
        <v>248</v>
      </c>
      <c r="AB528" s="21">
        <v>519</v>
      </c>
    </row>
    <row r="529" spans="1:28" ht="15" x14ac:dyDescent="0.25">
      <c r="A529" s="224" t="s">
        <v>129</v>
      </c>
      <c r="B529">
        <v>75519</v>
      </c>
      <c r="C529" t="s">
        <v>890</v>
      </c>
      <c r="D529" s="93" t="s">
        <v>920</v>
      </c>
      <c r="E529" s="94" t="s">
        <v>187</v>
      </c>
      <c r="G529">
        <v>14517</v>
      </c>
      <c r="H529" s="116">
        <f t="shared" si="9"/>
        <v>14517</v>
      </c>
      <c r="I529" s="230">
        <f>IF("generated"=1, "Path=MMRBEM_7_UP, Scaled Offset=14517", 14800.9614137788)</f>
        <v>14800.961413778799</v>
      </c>
      <c r="J529" t="s">
        <v>248</v>
      </c>
      <c r="AB529" s="21">
        <v>520</v>
      </c>
    </row>
    <row r="530" spans="1:28" ht="15" x14ac:dyDescent="0.25">
      <c r="A530" s="224" t="s">
        <v>129</v>
      </c>
      <c r="B530">
        <v>75520</v>
      </c>
      <c r="C530" t="s">
        <v>891</v>
      </c>
      <c r="D530" s="93" t="s">
        <v>920</v>
      </c>
      <c r="E530" s="94" t="s">
        <v>187</v>
      </c>
      <c r="G530">
        <v>14538</v>
      </c>
      <c r="H530" s="116">
        <f t="shared" si="9"/>
        <v>14538</v>
      </c>
      <c r="I530" s="230">
        <f>IF("generated"=1, "Path=MMRBEM_7_UP, Scaled Offset=14538", 14821.5741521542)</f>
        <v>14821.5741521542</v>
      </c>
      <c r="J530" t="s">
        <v>248</v>
      </c>
      <c r="AB530" s="21">
        <v>521</v>
      </c>
    </row>
    <row r="531" spans="1:28" ht="15" x14ac:dyDescent="0.25">
      <c r="A531" s="224" t="s">
        <v>129</v>
      </c>
      <c r="B531">
        <v>75521</v>
      </c>
      <c r="C531" t="s">
        <v>892</v>
      </c>
      <c r="D531" s="93" t="s">
        <v>920</v>
      </c>
      <c r="E531" s="94" t="s">
        <v>187</v>
      </c>
      <c r="G531">
        <v>14633.6</v>
      </c>
      <c r="H531" s="116">
        <f t="shared" si="9"/>
        <v>14633.6</v>
      </c>
      <c r="I531" s="230">
        <f>IF("generated"=1, "Path=MMRBEM_7_UP, Scaled Offset=14633.600000000000363797880709171295", 14915.4111897109)</f>
        <v>14915.4111897109</v>
      </c>
      <c r="J531" t="s">
        <v>248</v>
      </c>
      <c r="AB531" s="21">
        <v>522</v>
      </c>
    </row>
    <row r="532" spans="1:28" ht="15" x14ac:dyDescent="0.25">
      <c r="A532" s="224" t="s">
        <v>129</v>
      </c>
      <c r="B532">
        <v>75522</v>
      </c>
      <c r="C532" t="s">
        <v>893</v>
      </c>
      <c r="D532" s="93" t="s">
        <v>920</v>
      </c>
      <c r="E532" s="94" t="s">
        <v>187</v>
      </c>
      <c r="G532">
        <v>14648.46</v>
      </c>
      <c r="H532" s="116">
        <f t="shared" si="9"/>
        <v>14648.46</v>
      </c>
      <c r="I532" s="230">
        <f>IF("generated"=1, "Path=MMRBEM_7_UP, Scaled Offset=14648.459999999999126885086297988892", 14929.9971560089)</f>
        <v>14929.9971560089</v>
      </c>
      <c r="J532" t="s">
        <v>248</v>
      </c>
      <c r="AB532" s="21">
        <v>523</v>
      </c>
    </row>
    <row r="533" spans="1:28" ht="15" x14ac:dyDescent="0.25">
      <c r="A533" s="224" t="s">
        <v>129</v>
      </c>
      <c r="B533">
        <v>75523</v>
      </c>
      <c r="C533" t="s">
        <v>894</v>
      </c>
      <c r="D533" s="93" t="s">
        <v>920</v>
      </c>
      <c r="E533" s="94" t="s">
        <v>187</v>
      </c>
      <c r="G533">
        <v>14651.46</v>
      </c>
      <c r="H533" s="116">
        <f t="shared" si="9"/>
        <v>14651.46</v>
      </c>
      <c r="I533" s="230">
        <f>IF("generated"=1, "Path=MMRBEM_7_UP, Scaled Offset=14651.459999999999126885086297988892", 14932.9418329197)</f>
        <v>14932.9418329197</v>
      </c>
      <c r="J533" t="s">
        <v>248</v>
      </c>
      <c r="AB533" s="21">
        <v>524</v>
      </c>
    </row>
    <row r="534" spans="1:28" ht="15" x14ac:dyDescent="0.25">
      <c r="A534" s="224" t="s">
        <v>129</v>
      </c>
      <c r="B534">
        <v>75524</v>
      </c>
      <c r="C534" t="s">
        <v>895</v>
      </c>
      <c r="D534" s="93" t="s">
        <v>920</v>
      </c>
      <c r="E534" s="94" t="s">
        <v>187</v>
      </c>
      <c r="G534">
        <v>14671.38</v>
      </c>
      <c r="H534" s="116">
        <f t="shared" si="9"/>
        <v>14671.38</v>
      </c>
      <c r="I534" s="230">
        <f>IF("generated"=1, "Path=MMRBEM_7_UP, Scaled Offset=14671.379999999999199644662439823151", 14952.4944876072)</f>
        <v>14952.4944876072</v>
      </c>
      <c r="J534" t="s">
        <v>248</v>
      </c>
      <c r="AB534" s="21">
        <v>525</v>
      </c>
    </row>
    <row r="535" spans="1:28" ht="15" x14ac:dyDescent="0.25">
      <c r="A535" s="224" t="s">
        <v>129</v>
      </c>
      <c r="B535">
        <v>75525</v>
      </c>
      <c r="C535" t="s">
        <v>896</v>
      </c>
      <c r="D535" s="93" t="s">
        <v>920</v>
      </c>
      <c r="E535" s="94" t="s">
        <v>187</v>
      </c>
      <c r="G535">
        <v>14674.38</v>
      </c>
      <c r="H535" s="116">
        <f t="shared" si="9"/>
        <v>14674.38</v>
      </c>
      <c r="I535" s="230">
        <f>IF("generated"=1, "Path=MMRBEM_7_UP, Scaled Offset=14674.379999999999199644662439823151", 14955.439164518)</f>
        <v>14955.439164518</v>
      </c>
      <c r="J535" t="s">
        <v>248</v>
      </c>
      <c r="AB535" s="21">
        <v>526</v>
      </c>
    </row>
    <row r="536" spans="1:28" ht="15" x14ac:dyDescent="0.25">
      <c r="A536" s="224" t="s">
        <v>129</v>
      </c>
      <c r="B536">
        <v>75526</v>
      </c>
      <c r="C536" t="s">
        <v>897</v>
      </c>
      <c r="D536" s="93" t="s">
        <v>920</v>
      </c>
      <c r="E536" s="94" t="s">
        <v>187</v>
      </c>
      <c r="G536">
        <v>14732.4</v>
      </c>
      <c r="H536" s="116">
        <f t="shared" si="9"/>
        <v>14732.4</v>
      </c>
      <c r="I536" s="230">
        <f>IF("generated"=1, "Path=MMRBEM_7_UP, Scaled Offset=14732.399999999999636202119290828705", 15012.3892159724)</f>
        <v>15012.3892159724</v>
      </c>
      <c r="J536" t="s">
        <v>248</v>
      </c>
      <c r="AB536" s="21">
        <v>527</v>
      </c>
    </row>
    <row r="537" spans="1:28" ht="15" x14ac:dyDescent="0.25">
      <c r="A537" s="224" t="s">
        <v>129</v>
      </c>
      <c r="B537">
        <v>75527</v>
      </c>
      <c r="C537" t="s">
        <v>898</v>
      </c>
      <c r="D537" s="93" t="s">
        <v>920</v>
      </c>
      <c r="E537" s="94" t="s">
        <v>187</v>
      </c>
      <c r="G537">
        <v>14767.5</v>
      </c>
      <c r="H537" s="116">
        <f t="shared" si="9"/>
        <v>14767.5</v>
      </c>
      <c r="I537" s="230">
        <f>IF("generated"=1, "Path=MMRBEM_7_UP, Scaled Offset=14767.5", 15046.8419358285)</f>
        <v>15046.841935828499</v>
      </c>
      <c r="J537" t="s">
        <v>248</v>
      </c>
      <c r="AB537" s="21">
        <v>528</v>
      </c>
    </row>
    <row r="538" spans="1:28" ht="15" x14ac:dyDescent="0.25">
      <c r="A538" s="224" t="s">
        <v>129</v>
      </c>
      <c r="B538">
        <v>75528</v>
      </c>
      <c r="C538" t="s">
        <v>899</v>
      </c>
      <c r="D538" s="93" t="s">
        <v>920</v>
      </c>
      <c r="E538" s="94" t="s">
        <v>187</v>
      </c>
      <c r="G538">
        <v>14770.5</v>
      </c>
      <c r="H538" s="116">
        <f t="shared" si="9"/>
        <v>14770.5</v>
      </c>
      <c r="I538" s="230">
        <f>IF("generated"=1, "Path=MMRBEM_7_UP, Scaled Offset=14770.5", 15049.7866127392)</f>
        <v>15049.786612739201</v>
      </c>
      <c r="J538" t="s">
        <v>248</v>
      </c>
      <c r="AB538" s="21">
        <v>529</v>
      </c>
    </row>
    <row r="539" spans="1:28" ht="15" x14ac:dyDescent="0.25">
      <c r="A539" s="224" t="s">
        <v>129</v>
      </c>
      <c r="B539">
        <v>75529</v>
      </c>
      <c r="C539" t="s">
        <v>900</v>
      </c>
      <c r="D539" s="93" t="s">
        <v>920</v>
      </c>
      <c r="E539" s="94" t="s">
        <v>187</v>
      </c>
      <c r="G539">
        <v>14790.42</v>
      </c>
      <c r="H539" s="116">
        <f t="shared" si="9"/>
        <v>14790.42</v>
      </c>
      <c r="I539" s="230">
        <f>IF("generated"=1, "Path=MMRBEM_7_UP, Scaled Offset=14790.420000000000072759576141834259", 15069.3392674268)</f>
        <v>15069.3392674268</v>
      </c>
      <c r="J539" t="s">
        <v>248</v>
      </c>
      <c r="AB539" s="21">
        <v>530</v>
      </c>
    </row>
    <row r="540" spans="1:28" ht="15" x14ac:dyDescent="0.25">
      <c r="A540" s="224" t="s">
        <v>129</v>
      </c>
      <c r="B540">
        <v>75530</v>
      </c>
      <c r="C540" t="s">
        <v>901</v>
      </c>
      <c r="D540" s="93" t="s">
        <v>920</v>
      </c>
      <c r="E540" s="94" t="s">
        <v>187</v>
      </c>
      <c r="G540">
        <v>14793.42</v>
      </c>
      <c r="H540" s="116">
        <f t="shared" si="9"/>
        <v>14793.42</v>
      </c>
      <c r="I540" s="230">
        <f>IF("generated"=1, "Path=MMRBEM_7_UP, Scaled Offset=14793.420000000000072759576141834259", 15072.2839443375)</f>
        <v>15072.2839443375</v>
      </c>
      <c r="J540" t="s">
        <v>248</v>
      </c>
      <c r="AB540" s="21">
        <v>531</v>
      </c>
    </row>
    <row r="541" spans="1:28" ht="15" x14ac:dyDescent="0.25">
      <c r="A541" s="224" t="s">
        <v>129</v>
      </c>
      <c r="B541">
        <v>75531</v>
      </c>
      <c r="C541" t="s">
        <v>902</v>
      </c>
      <c r="D541" s="93" t="s">
        <v>920</v>
      </c>
      <c r="E541" s="94" t="s">
        <v>187</v>
      </c>
      <c r="G541">
        <v>14845.84</v>
      </c>
      <c r="H541" s="116">
        <f t="shared" si="9"/>
        <v>14845.84</v>
      </c>
      <c r="I541" s="230">
        <f>IF("generated"=1, "Path=MMRBEM_7_UP, Scaled Offset=14845.840000000000145519152283668518", 15123.7372655585)</f>
        <v>15123.7372655585</v>
      </c>
      <c r="J541" t="s">
        <v>248</v>
      </c>
      <c r="AB541" s="21">
        <v>532</v>
      </c>
    </row>
    <row r="542" spans="1:28" ht="15" x14ac:dyDescent="0.25">
      <c r="A542" s="224" t="s">
        <v>129</v>
      </c>
      <c r="B542">
        <v>75532</v>
      </c>
      <c r="C542" t="s">
        <v>903</v>
      </c>
      <c r="D542" s="93" t="s">
        <v>920</v>
      </c>
      <c r="E542" s="94" t="s">
        <v>187</v>
      </c>
      <c r="G542">
        <v>14895.8</v>
      </c>
      <c r="H542" s="116">
        <f t="shared" si="9"/>
        <v>14895.8</v>
      </c>
      <c r="I542" s="230">
        <f>IF("generated"=1, "Path=MMRBEM_7_UP, Scaled Offset=14895.79999999999927240423858165741", 15172.7759517126)</f>
        <v>15172.7759517126</v>
      </c>
      <c r="J542" t="s">
        <v>248</v>
      </c>
      <c r="AB542" s="21">
        <v>533</v>
      </c>
    </row>
    <row r="543" spans="1:28" ht="15" x14ac:dyDescent="0.25">
      <c r="A543" s="224" t="s">
        <v>129</v>
      </c>
      <c r="B543">
        <v>75533</v>
      </c>
      <c r="C543" t="s">
        <v>904</v>
      </c>
      <c r="D543" s="93" t="s">
        <v>920</v>
      </c>
      <c r="E543" s="94" t="s">
        <v>187</v>
      </c>
      <c r="G543">
        <v>14916.8</v>
      </c>
      <c r="H543" s="116">
        <f t="shared" si="9"/>
        <v>14916.8</v>
      </c>
      <c r="I543" s="230">
        <f>IF("generated"=1, "Path=MMRBEM_7_UP, Scaled Offset=14916.79999999999927240423858165741", 15193.388690088)</f>
        <v>15193.388690088001</v>
      </c>
      <c r="J543" t="s">
        <v>248</v>
      </c>
      <c r="AB543" s="21">
        <v>534</v>
      </c>
    </row>
    <row r="544" spans="1:28" ht="15" x14ac:dyDescent="0.25">
      <c r="A544" s="224" t="s">
        <v>129</v>
      </c>
      <c r="B544">
        <v>75534</v>
      </c>
      <c r="C544" t="s">
        <v>905</v>
      </c>
      <c r="D544" s="93" t="s">
        <v>920</v>
      </c>
      <c r="E544" s="94" t="s">
        <v>187</v>
      </c>
      <c r="G544">
        <v>14937.8</v>
      </c>
      <c r="H544" s="116">
        <f t="shared" si="9"/>
        <v>14937.8</v>
      </c>
      <c r="I544" s="230">
        <f>IF("generated"=1, "Path=MMRBEM_7_UP, Scaled Offset=14937.79999999999927240423858165741", 15214.0014284634)</f>
        <v>15214.0014284634</v>
      </c>
      <c r="J544" t="s">
        <v>248</v>
      </c>
      <c r="AB544" s="21">
        <v>535</v>
      </c>
    </row>
    <row r="545" spans="1:28" ht="15" x14ac:dyDescent="0.25">
      <c r="A545" s="224" t="s">
        <v>129</v>
      </c>
      <c r="B545">
        <v>75535</v>
      </c>
      <c r="C545" t="s">
        <v>906</v>
      </c>
      <c r="D545" s="93" t="s">
        <v>920</v>
      </c>
      <c r="E545" s="94" t="s">
        <v>187</v>
      </c>
      <c r="G545">
        <v>15074</v>
      </c>
      <c r="H545" s="116">
        <f t="shared" si="9"/>
        <v>15074</v>
      </c>
      <c r="I545" s="230">
        <f>IF("generated"=1, "Path=MMRBEM_7_UP, Scaled Offset=15074", 15346.949171615)</f>
        <v>15346.949171615001</v>
      </c>
      <c r="J545" t="s">
        <v>248</v>
      </c>
      <c r="AB545" s="21">
        <v>536</v>
      </c>
    </row>
    <row r="546" spans="1:28" ht="15" x14ac:dyDescent="0.25">
      <c r="A546" s="224" t="s">
        <v>129</v>
      </c>
      <c r="B546">
        <v>75536</v>
      </c>
      <c r="C546" t="s">
        <v>907</v>
      </c>
      <c r="D546" s="93" t="s">
        <v>920</v>
      </c>
      <c r="E546" s="94" t="s">
        <v>187</v>
      </c>
      <c r="F546">
        <v>-5</v>
      </c>
      <c r="G546">
        <v>15123.05</v>
      </c>
      <c r="H546" s="116">
        <f t="shared" si="9"/>
        <v>15118.05</v>
      </c>
      <c r="I546" s="230">
        <f>IF("generated"=1, "Path=MMRBEM_7_UP, Scaled Offset=15118.04999999999927240423858165741", 15386.5019647978)</f>
        <v>15386.501964797801</v>
      </c>
      <c r="J546" t="s">
        <v>248</v>
      </c>
      <c r="AB546" s="21">
        <v>537</v>
      </c>
    </row>
    <row r="547" spans="1:28" ht="15" x14ac:dyDescent="0.25">
      <c r="A547" s="224" t="s">
        <v>129</v>
      </c>
      <c r="B547">
        <v>75537</v>
      </c>
      <c r="C547" t="s">
        <v>908</v>
      </c>
      <c r="D547" s="93" t="s">
        <v>920</v>
      </c>
      <c r="E547" s="94" t="s">
        <v>187</v>
      </c>
      <c r="F547">
        <v>-5</v>
      </c>
      <c r="G547">
        <v>15141.76</v>
      </c>
      <c r="H547" s="116">
        <f t="shared" si="9"/>
        <v>15136.76</v>
      </c>
      <c r="I547" s="230">
        <f>IF("generated"=1, "Path=MMRBEM_7_UP, Scaled Offset=15136.760000000000218278728425502777", 15403.3018004494)</f>
        <v>15403.301800449401</v>
      </c>
      <c r="J547" t="s">
        <v>248</v>
      </c>
      <c r="AB547" s="21">
        <v>538</v>
      </c>
    </row>
    <row r="548" spans="1:28" ht="15" x14ac:dyDescent="0.25">
      <c r="A548" s="224" t="s">
        <v>129</v>
      </c>
      <c r="B548">
        <v>75538</v>
      </c>
      <c r="C548" t="s">
        <v>916</v>
      </c>
      <c r="D548" s="93" t="s">
        <v>920</v>
      </c>
      <c r="E548" s="94" t="s">
        <v>187</v>
      </c>
      <c r="G548">
        <v>15195.63</v>
      </c>
      <c r="H548" s="116">
        <f t="shared" si="9"/>
        <v>15195.63</v>
      </c>
      <c r="I548" s="230">
        <f>IF("generated"=1, "Path=MMRBEM_7_UP, Scaled Offset=15195.629999999999199644662439823151", 15456.1615719515)</f>
        <v>15456.161571951499</v>
      </c>
      <c r="J548" t="s">
        <v>248</v>
      </c>
      <c r="AB548" s="21">
        <v>539</v>
      </c>
    </row>
    <row r="549" spans="1:28" ht="15" x14ac:dyDescent="0.25">
      <c r="A549" s="224" t="s">
        <v>129</v>
      </c>
      <c r="B549">
        <v>75539</v>
      </c>
      <c r="C549" t="s">
        <v>909</v>
      </c>
      <c r="D549" s="93" t="s">
        <v>920</v>
      </c>
      <c r="E549" s="94" t="s">
        <v>187</v>
      </c>
      <c r="G549">
        <v>15225.7</v>
      </c>
      <c r="H549" s="116">
        <f t="shared" si="9"/>
        <v>15225.7</v>
      </c>
      <c r="I549" s="230">
        <f>IF("generated"=1, "Path=MMRBEM_7_UP, Scaled Offset=15225.70000000000072759576141834259", 15483.1616285011)</f>
        <v>15483.1616285011</v>
      </c>
      <c r="J549" t="s">
        <v>248</v>
      </c>
      <c r="AB549" s="21">
        <v>540</v>
      </c>
    </row>
    <row r="550" spans="1:28" ht="15" x14ac:dyDescent="0.25">
      <c r="A550" s="224" t="s">
        <v>129</v>
      </c>
      <c r="B550">
        <v>75540</v>
      </c>
      <c r="C550" t="s">
        <v>910</v>
      </c>
      <c r="D550" s="93" t="s">
        <v>920</v>
      </c>
      <c r="E550" s="94" t="s">
        <v>187</v>
      </c>
      <c r="G550">
        <v>15237.88</v>
      </c>
      <c r="H550" s="116">
        <f t="shared" si="9"/>
        <v>15237.88</v>
      </c>
      <c r="I550" s="230">
        <f>IF("generated"=1, "Path=MMRBEM_7_UP, Scaled Offset=15237.879999999999199644662439823151", 15494.0981329498)</f>
        <v>15494.098132949801</v>
      </c>
      <c r="J550" t="s">
        <v>248</v>
      </c>
      <c r="AB550" s="21">
        <v>541</v>
      </c>
    </row>
    <row r="551" spans="1:28" ht="15" x14ac:dyDescent="0.25">
      <c r="A551" s="224" t="s">
        <v>129</v>
      </c>
      <c r="B551">
        <v>75541</v>
      </c>
      <c r="C551" t="s">
        <v>911</v>
      </c>
      <c r="D551" s="93" t="s">
        <v>920</v>
      </c>
      <c r="E551" s="94" t="s">
        <v>187</v>
      </c>
      <c r="G551">
        <v>15271.4</v>
      </c>
      <c r="H551" s="116">
        <f t="shared" si="9"/>
        <v>15271.4</v>
      </c>
      <c r="I551" s="230">
        <f>IF("generated"=1, "Path=MMRBEM_7_UP, Scaled Offset=15271.399999999999636202119290828705", 15524.195967853)</f>
        <v>15524.195967853</v>
      </c>
      <c r="J551" t="s">
        <v>248</v>
      </c>
      <c r="AB551" s="21">
        <v>542</v>
      </c>
    </row>
    <row r="552" spans="1:28" ht="15" x14ac:dyDescent="0.25">
      <c r="A552" s="224" t="s">
        <v>129</v>
      </c>
      <c r="B552">
        <v>75542</v>
      </c>
      <c r="C552" t="s">
        <v>912</v>
      </c>
      <c r="D552" s="93" t="s">
        <v>920</v>
      </c>
      <c r="E552" s="94" t="s">
        <v>187</v>
      </c>
      <c r="G552">
        <v>15283.72</v>
      </c>
      <c r="H552" s="116">
        <f t="shared" si="9"/>
        <v>15283.72</v>
      </c>
      <c r="I552" s="230">
        <f>IF("generated"=1, "Path=MMRBEM_7_UP, Scaled Offset=15283.719999999999345163814723491669", 15535.2581792495)</f>
        <v>15535.2581792495</v>
      </c>
      <c r="J552" t="s">
        <v>248</v>
      </c>
      <c r="AB552" s="21">
        <v>543</v>
      </c>
    </row>
    <row r="553" spans="1:28" ht="15" x14ac:dyDescent="0.25">
      <c r="A553" s="224" t="s">
        <v>129</v>
      </c>
      <c r="B553">
        <v>75543</v>
      </c>
      <c r="C553" t="s">
        <v>913</v>
      </c>
      <c r="D553" s="93" t="s">
        <v>920</v>
      </c>
      <c r="E553" s="94" t="s">
        <v>187</v>
      </c>
      <c r="G553">
        <v>15312.36</v>
      </c>
      <c r="H553" s="116">
        <f t="shared" si="9"/>
        <v>15312.36</v>
      </c>
      <c r="I553" s="230">
        <f>IF("generated"=1, "Path=MMRBEM_7_UP, Scaled Offset=15312.360000000000582076609134674072", 15560.974229119)</f>
        <v>15560.974229119</v>
      </c>
      <c r="J553" t="s">
        <v>248</v>
      </c>
      <c r="AB553" s="21">
        <v>544</v>
      </c>
    </row>
    <row r="554" spans="1:28" ht="15" x14ac:dyDescent="0.25">
      <c r="A554" s="224" t="s">
        <v>129</v>
      </c>
      <c r="B554">
        <v>75544</v>
      </c>
      <c r="C554" t="s">
        <v>914</v>
      </c>
      <c r="D554" s="93" t="s">
        <v>920</v>
      </c>
      <c r="E554" s="94" t="s">
        <v>187</v>
      </c>
      <c r="G554">
        <v>15367.52</v>
      </c>
      <c r="H554" s="116">
        <f t="shared" si="9"/>
        <v>15367.52</v>
      </c>
      <c r="I554" s="230">
        <f>IF("generated"=1, "Path=MMRBEM_7_UP, Scaled Offset=15367.520000000000436557456851005554", 15610.5027665075)</f>
        <v>15610.502766507499</v>
      </c>
      <c r="J554" t="s">
        <v>248</v>
      </c>
      <c r="AB554" s="21">
        <v>545</v>
      </c>
    </row>
    <row r="555" spans="1:28" ht="15" x14ac:dyDescent="0.25">
      <c r="A555" s="224" t="s">
        <v>129</v>
      </c>
      <c r="B555">
        <v>75545</v>
      </c>
      <c r="C555" t="s">
        <v>915</v>
      </c>
      <c r="D555" s="93" t="s">
        <v>920</v>
      </c>
      <c r="E555" s="94" t="s">
        <v>187</v>
      </c>
      <c r="G555">
        <v>15392.56</v>
      </c>
      <c r="H555" s="116">
        <f t="shared" si="9"/>
        <v>15392.56</v>
      </c>
      <c r="I555" s="230">
        <f>IF("generated"=1, "Path=MMRBEM_7_UP, Scaled Offset=15392.559999999999490682967007160187", 15632.986352008)</f>
        <v>15632.986352008</v>
      </c>
      <c r="J555" t="s">
        <v>248</v>
      </c>
      <c r="AB555" s="21">
        <v>546</v>
      </c>
    </row>
    <row r="556" spans="1:28" x14ac:dyDescent="0.2">
      <c r="G556"/>
    </row>
    <row r="557" spans="1:28" x14ac:dyDescent="0.2">
      <c r="G557"/>
    </row>
  </sheetData>
  <conditionalFormatting sqref="C1:C6 D277:D555 D7:E276">
    <cfRule type="duplicateValues" dxfId="13" priority="490"/>
  </conditionalFormatting>
  <conditionalFormatting sqref="E2:E276">
    <cfRule type="cellIs" dxfId="12" priority="2" operator="equal">
      <formula>$E$7</formula>
    </cfRule>
  </conditionalFormatting>
  <conditionalFormatting sqref="E277:E555">
    <cfRule type="cellIs" dxfId="11" priority="1" operator="equal">
      <formula>$E$277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9787-1718-44F2-9205-073E08C0BEB6}">
  <dimension ref="A1:V12"/>
  <sheetViews>
    <sheetView workbookViewId="0">
      <selection activeCell="I12" sqref="I12"/>
    </sheetView>
  </sheetViews>
  <sheetFormatPr defaultColWidth="9.140625" defaultRowHeight="12.75" x14ac:dyDescent="0.2"/>
  <cols>
    <col min="1" max="1" width="9.28515625" style="218" customWidth="1"/>
    <col min="3" max="3" width="35.42578125" bestFit="1" customWidth="1"/>
    <col min="4" max="4" width="33.28515625" bestFit="1" customWidth="1"/>
    <col min="5" max="5" width="16.28515625" bestFit="1" customWidth="1"/>
    <col min="6" max="6" width="10.42578125" bestFit="1" customWidth="1"/>
    <col min="7" max="7" width="10" bestFit="1" customWidth="1"/>
    <col min="8" max="8" width="12.140625" bestFit="1" customWidth="1"/>
    <col min="12" max="12" width="8.28515625" bestFit="1" customWidth="1"/>
    <col min="13" max="13" width="5.5703125" bestFit="1" customWidth="1"/>
    <col min="14" max="14" width="5" bestFit="1" customWidth="1"/>
    <col min="15" max="15" width="4.42578125" customWidth="1"/>
    <col min="17" max="17" width="6.140625" customWidth="1"/>
    <col min="18" max="18" width="11.42578125" bestFit="1" customWidth="1"/>
    <col min="19" max="19" width="10.42578125" customWidth="1"/>
    <col min="20" max="20" width="18.42578125" bestFit="1" customWidth="1"/>
    <col min="21" max="21" width="13.42578125" bestFit="1" customWidth="1"/>
    <col min="22" max="22" width="6" customWidth="1"/>
    <col min="23" max="23" width="11.7109375" bestFit="1" customWidth="1"/>
    <col min="25" max="25" width="12.28515625" bestFit="1" customWidth="1"/>
    <col min="26" max="27" width="16" bestFit="1" customWidth="1"/>
  </cols>
  <sheetData>
    <row r="1" spans="1:22" s="31" customFormat="1" x14ac:dyDescent="0.2">
      <c r="A1" s="111" t="s">
        <v>32</v>
      </c>
      <c r="G1" s="145"/>
      <c r="H1" s="32"/>
      <c r="I1" s="32"/>
      <c r="M1" s="32"/>
      <c r="N1" s="32"/>
      <c r="O1" s="32"/>
      <c r="P1" s="32"/>
      <c r="Q1" s="32"/>
      <c r="T1" s="33"/>
      <c r="V1" s="33"/>
    </row>
    <row r="2" spans="1:22" s="34" customFormat="1" x14ac:dyDescent="0.2">
      <c r="A2" s="112"/>
      <c r="C2" s="86" t="s">
        <v>33</v>
      </c>
      <c r="D2" s="86">
        <v>0.44703999999999999</v>
      </c>
      <c r="E2" s="215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7"/>
      <c r="V2" s="35"/>
    </row>
    <row r="3" spans="1:22" s="34" customFormat="1" x14ac:dyDescent="0.2">
      <c r="A3" s="112"/>
      <c r="C3" s="86" t="s">
        <v>34</v>
      </c>
      <c r="D3" s="36">
        <v>0</v>
      </c>
      <c r="E3" s="34" t="s">
        <v>35</v>
      </c>
      <c r="F3" s="86"/>
      <c r="G3" s="146"/>
      <c r="H3" s="38"/>
      <c r="I3" s="38"/>
      <c r="J3" s="86"/>
      <c r="K3" s="86"/>
      <c r="L3" s="86"/>
      <c r="M3" s="37"/>
      <c r="N3" s="37"/>
      <c r="O3" s="37"/>
      <c r="P3" s="37"/>
      <c r="Q3" s="37"/>
      <c r="R3" s="86"/>
      <c r="S3" s="86"/>
      <c r="T3" s="39"/>
      <c r="U3" s="86"/>
      <c r="V3" s="35"/>
    </row>
    <row r="4" spans="1:22" s="34" customFormat="1" x14ac:dyDescent="0.2">
      <c r="A4" s="112"/>
      <c r="C4" s="86" t="s">
        <v>36</v>
      </c>
      <c r="D4" s="36">
        <v>0</v>
      </c>
      <c r="E4" s="86" t="s">
        <v>26</v>
      </c>
      <c r="F4" s="86"/>
      <c r="G4" s="146"/>
      <c r="H4" s="38"/>
      <c r="I4" s="38"/>
      <c r="J4" s="86"/>
      <c r="K4" s="86"/>
      <c r="L4" s="86"/>
      <c r="M4" s="37"/>
      <c r="N4" s="37"/>
      <c r="O4" s="37"/>
      <c r="P4" s="37"/>
      <c r="Q4" s="37"/>
      <c r="R4" s="86"/>
      <c r="S4" s="86"/>
      <c r="T4" s="39"/>
      <c r="U4" s="86"/>
      <c r="V4" s="35"/>
    </row>
    <row r="5" spans="1:22" s="34" customFormat="1" x14ac:dyDescent="0.2">
      <c r="A5" s="112"/>
      <c r="C5" s="34" t="s">
        <v>37</v>
      </c>
      <c r="D5" s="36">
        <v>1</v>
      </c>
      <c r="E5" s="40" t="s">
        <v>38</v>
      </c>
      <c r="F5" s="40">
        <v>0.27777800000000002</v>
      </c>
      <c r="G5" s="146"/>
      <c r="H5" s="38"/>
      <c r="I5" s="38"/>
      <c r="J5" s="86"/>
      <c r="K5" s="86"/>
      <c r="L5" s="86"/>
      <c r="M5" s="37"/>
      <c r="N5" s="37"/>
      <c r="O5" s="37"/>
      <c r="P5" s="37"/>
      <c r="Q5" s="37"/>
      <c r="R5" s="86"/>
      <c r="S5" s="86"/>
      <c r="T5" s="39"/>
      <c r="U5" s="86"/>
      <c r="V5" s="35"/>
    </row>
    <row r="6" spans="1:22" s="34" customFormat="1" x14ac:dyDescent="0.2">
      <c r="A6" s="112"/>
      <c r="F6" s="86"/>
      <c r="G6" s="146"/>
      <c r="H6" s="38"/>
      <c r="I6" s="38"/>
      <c r="J6" s="86"/>
      <c r="K6" s="86"/>
      <c r="L6" s="86"/>
      <c r="M6" s="37"/>
      <c r="N6" s="37"/>
      <c r="O6" s="37"/>
      <c r="P6" s="37"/>
      <c r="Q6" s="37"/>
      <c r="R6" s="86"/>
      <c r="S6" s="86"/>
      <c r="T6" s="39"/>
      <c r="U6" s="86"/>
      <c r="V6" s="35"/>
    </row>
    <row r="7" spans="1:22" s="31" customFormat="1" x14ac:dyDescent="0.2">
      <c r="A7" s="111" t="s">
        <v>39</v>
      </c>
      <c r="G7" s="145"/>
      <c r="H7" s="32"/>
      <c r="I7" s="32"/>
      <c r="M7" s="32"/>
      <c r="N7" s="32"/>
      <c r="O7" s="32"/>
      <c r="P7" s="32"/>
      <c r="Q7" s="32"/>
      <c r="T7" s="33"/>
      <c r="V7" s="33"/>
    </row>
    <row r="8" spans="1:22" s="14" customFormat="1" x14ac:dyDescent="0.2">
      <c r="A8" s="223" t="s">
        <v>1</v>
      </c>
      <c r="B8" s="7" t="s">
        <v>18</v>
      </c>
      <c r="C8" s="7" t="s">
        <v>2</v>
      </c>
      <c r="D8" s="15"/>
      <c r="E8" s="41"/>
      <c r="F8" s="42"/>
      <c r="G8" s="147"/>
      <c r="H8" s="43"/>
      <c r="I8" s="44"/>
      <c r="J8" s="11"/>
      <c r="K8" s="11"/>
      <c r="M8" s="45"/>
      <c r="N8" s="45"/>
      <c r="O8" s="46"/>
      <c r="P8" s="46"/>
      <c r="Q8" s="46"/>
      <c r="S8" s="47"/>
      <c r="T8" s="48"/>
      <c r="V8" s="48"/>
    </row>
    <row r="9" spans="1:22" s="14" customFormat="1" x14ac:dyDescent="0.2">
      <c r="A9" s="225" t="s">
        <v>19</v>
      </c>
      <c r="B9" s="81">
        <v>76006</v>
      </c>
      <c r="C9" s="14" t="s">
        <v>1054</v>
      </c>
      <c r="D9" s="15"/>
      <c r="E9" s="49"/>
      <c r="F9" s="42"/>
      <c r="G9" s="147"/>
      <c r="H9" s="43"/>
      <c r="I9" s="44"/>
      <c r="J9" s="11"/>
      <c r="K9" s="11"/>
      <c r="M9" s="45"/>
      <c r="N9" s="45"/>
      <c r="O9" s="46"/>
      <c r="P9" s="46"/>
      <c r="Q9" s="46"/>
      <c r="S9" s="47"/>
      <c r="T9" s="48"/>
      <c r="V9" s="48"/>
    </row>
    <row r="10" spans="1:22" s="14" customFormat="1" x14ac:dyDescent="0.2">
      <c r="A10" s="225"/>
      <c r="D10" s="15"/>
      <c r="F10" s="50"/>
      <c r="G10" s="147"/>
      <c r="H10" s="43"/>
      <c r="I10" s="44"/>
      <c r="J10" s="11"/>
      <c r="K10" s="11"/>
      <c r="M10" s="45"/>
      <c r="N10" s="45"/>
      <c r="O10" s="46"/>
      <c r="P10" s="46"/>
      <c r="Q10" s="46"/>
      <c r="S10" s="47"/>
      <c r="T10" s="48"/>
      <c r="V10" s="48"/>
    </row>
    <row r="11" spans="1:22" s="58" customFormat="1" x14ac:dyDescent="0.2">
      <c r="A11" s="212" t="s">
        <v>1</v>
      </c>
      <c r="B11" s="51" t="s">
        <v>18</v>
      </c>
      <c r="C11" s="51" t="s">
        <v>2</v>
      </c>
      <c r="D11" s="51" t="s">
        <v>14</v>
      </c>
      <c r="E11" s="51" t="s">
        <v>9</v>
      </c>
      <c r="F11" s="52" t="s">
        <v>40</v>
      </c>
      <c r="G11" s="148" t="s">
        <v>13</v>
      </c>
      <c r="H11" s="53" t="s">
        <v>10</v>
      </c>
      <c r="I11" s="54" t="s">
        <v>7</v>
      </c>
      <c r="J11" s="55" t="s">
        <v>6</v>
      </c>
      <c r="K11" s="51" t="s">
        <v>15</v>
      </c>
      <c r="L11" s="51" t="s">
        <v>20</v>
      </c>
      <c r="M11" s="56" t="s">
        <v>21</v>
      </c>
      <c r="N11" s="56" t="s">
        <v>22</v>
      </c>
      <c r="O11" s="56" t="s">
        <v>29</v>
      </c>
      <c r="P11" s="57" t="s">
        <v>23</v>
      </c>
      <c r="Q11" s="57" t="s">
        <v>24</v>
      </c>
      <c r="R11" s="51" t="s">
        <v>25</v>
      </c>
      <c r="S11" s="56" t="s">
        <v>1056</v>
      </c>
      <c r="T11" s="59"/>
      <c r="V11" s="59"/>
    </row>
    <row r="12" spans="1:22" x14ac:dyDescent="0.2">
      <c r="A12" s="228" t="s">
        <v>129</v>
      </c>
      <c r="B12" s="187">
        <v>76005</v>
      </c>
      <c r="C12" s="187" t="str">
        <f>D12&amp;"_"&amp;S12</f>
        <v>LT_Board_5</v>
      </c>
      <c r="D12" s="187" t="s">
        <v>1059</v>
      </c>
      <c r="E12" s="187" t="s">
        <v>91</v>
      </c>
      <c r="F12" s="187">
        <v>0.45</v>
      </c>
      <c r="G12" s="188">
        <v>3</v>
      </c>
      <c r="H12" s="188">
        <f>G12+F12</f>
        <v>3.45</v>
      </c>
      <c r="I12" s="233">
        <f>IF("generated"=1, "Path=Track_20_5_Track_3, Scaled Offset=3.4500000000000001776356839400250465", 3.45)</f>
        <v>3.45</v>
      </c>
      <c r="J12" s="187"/>
      <c r="K12" s="187"/>
      <c r="L12" s="188">
        <v>1</v>
      </c>
      <c r="M12" s="187">
        <v>-2.15</v>
      </c>
      <c r="N12" s="187">
        <v>3.75</v>
      </c>
      <c r="O12" s="187"/>
      <c r="P12" s="187"/>
      <c r="Q12" s="187"/>
      <c r="R12" s="188" t="s">
        <v>1060</v>
      </c>
      <c r="S12" s="188">
        <v>5</v>
      </c>
    </row>
  </sheetData>
  <mergeCells count="1">
    <mergeCell ref="E2:U2"/>
  </mergeCells>
  <conditionalFormatting sqref="N11:O11">
    <cfRule type="cellIs" dxfId="10" priority="1" stopIfTrue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0CAB-6558-4F7B-87E9-D59016CD1711}">
  <dimension ref="A1:Z20"/>
  <sheetViews>
    <sheetView workbookViewId="0">
      <selection activeCell="I7" sqref="I7 I8 I9 I10 I11 I12 I13 I14 I15 I16 I17 I18 I19 I20"/>
    </sheetView>
  </sheetViews>
  <sheetFormatPr defaultRowHeight="12.75" x14ac:dyDescent="0.2"/>
  <cols>
    <col min="1" max="1" width="8.85546875" style="218"/>
    <col min="3" max="3" width="28.28515625" customWidth="1"/>
    <col min="4" max="4" width="14.7109375" bestFit="1" customWidth="1"/>
    <col min="5" max="5" width="18.140625" bestFit="1" customWidth="1"/>
  </cols>
  <sheetData>
    <row r="1" spans="1:26" ht="14.25" x14ac:dyDescent="0.2">
      <c r="A1" s="103"/>
      <c r="B1" s="22"/>
      <c r="C1" s="80"/>
      <c r="D1" s="24" t="s">
        <v>48</v>
      </c>
      <c r="E1" s="24">
        <v>1</v>
      </c>
      <c r="F1" s="22"/>
      <c r="G1" s="136"/>
      <c r="H1" s="136"/>
      <c r="I1" s="136"/>
      <c r="J1" s="22"/>
      <c r="K1" s="22"/>
      <c r="L1" s="22"/>
      <c r="M1" s="23"/>
      <c r="N1" s="22"/>
      <c r="O1" s="22"/>
      <c r="P1" s="22"/>
      <c r="Q1" s="22"/>
      <c r="R1" s="82"/>
      <c r="S1" s="22"/>
      <c r="T1" s="22"/>
      <c r="U1" s="22"/>
      <c r="V1" s="22"/>
      <c r="W1" s="22"/>
      <c r="X1" s="22"/>
      <c r="Y1" s="22"/>
      <c r="Z1" s="22"/>
    </row>
    <row r="2" spans="1:26" x14ac:dyDescent="0.2">
      <c r="C2" s="80"/>
      <c r="G2" s="116"/>
      <c r="H2" s="116"/>
      <c r="I2" s="116"/>
      <c r="M2" s="6"/>
      <c r="R2" s="83"/>
    </row>
    <row r="3" spans="1:26" x14ac:dyDescent="0.2">
      <c r="A3" s="223" t="s">
        <v>1</v>
      </c>
      <c r="B3" s="7" t="s">
        <v>18</v>
      </c>
      <c r="C3" s="7" t="s">
        <v>2</v>
      </c>
      <c r="D3" s="15"/>
      <c r="E3" s="30"/>
      <c r="F3" s="8"/>
      <c r="G3" s="137"/>
      <c r="H3" s="189"/>
      <c r="I3" s="10"/>
      <c r="J3" s="11"/>
      <c r="K3" s="11"/>
      <c r="L3" s="12"/>
      <c r="M3" s="25"/>
      <c r="N3" s="13"/>
      <c r="O3" s="12"/>
      <c r="P3" s="12"/>
      <c r="Q3" s="12"/>
      <c r="R3" s="84"/>
      <c r="S3" s="14"/>
      <c r="T3" s="14"/>
      <c r="U3" s="14"/>
      <c r="V3" s="14"/>
      <c r="W3" s="14"/>
      <c r="X3" s="14"/>
      <c r="Y3" s="14"/>
      <c r="Z3" s="14"/>
    </row>
    <row r="4" spans="1:26" x14ac:dyDescent="0.2">
      <c r="A4" s="224" t="s">
        <v>19</v>
      </c>
      <c r="B4" s="171">
        <v>78016</v>
      </c>
      <c r="C4" t="s">
        <v>1066</v>
      </c>
      <c r="D4" s="15"/>
      <c r="F4" s="8"/>
      <c r="G4" s="137"/>
      <c r="H4" s="189"/>
      <c r="I4" s="10"/>
      <c r="J4" s="11"/>
      <c r="K4" s="11"/>
      <c r="L4" s="12"/>
      <c r="M4" s="25"/>
      <c r="N4" s="13"/>
      <c r="O4" s="12"/>
      <c r="P4" s="12"/>
      <c r="Q4" s="12"/>
      <c r="R4" s="84"/>
      <c r="S4" s="14"/>
      <c r="T4" s="14"/>
      <c r="U4" s="14"/>
      <c r="V4" s="14"/>
      <c r="W4" s="14"/>
      <c r="X4" s="14"/>
      <c r="Y4" s="14"/>
      <c r="Z4" s="14"/>
    </row>
    <row r="5" spans="1:26" x14ac:dyDescent="0.2">
      <c r="A5" s="224"/>
      <c r="C5" s="80"/>
      <c r="G5" s="116"/>
      <c r="H5" s="116"/>
      <c r="I5" s="116"/>
      <c r="M5" s="6"/>
      <c r="R5" s="83"/>
    </row>
    <row r="6" spans="1:26" x14ac:dyDescent="0.2">
      <c r="A6" s="213" t="s">
        <v>1</v>
      </c>
      <c r="B6" s="129" t="s">
        <v>18</v>
      </c>
      <c r="C6" s="129" t="s">
        <v>2</v>
      </c>
      <c r="D6" s="129" t="s">
        <v>14</v>
      </c>
      <c r="E6" s="129" t="s">
        <v>9</v>
      </c>
      <c r="F6" s="130" t="s">
        <v>30</v>
      </c>
      <c r="G6" s="138" t="s">
        <v>13</v>
      </c>
      <c r="H6" s="138" t="s">
        <v>10</v>
      </c>
      <c r="I6" s="132" t="s">
        <v>7</v>
      </c>
      <c r="J6" s="133" t="s">
        <v>15</v>
      </c>
      <c r="K6" s="133" t="s">
        <v>28</v>
      </c>
      <c r="L6" s="129" t="s">
        <v>20</v>
      </c>
      <c r="M6" s="134" t="s">
        <v>21</v>
      </c>
      <c r="N6" s="119" t="s">
        <v>22</v>
      </c>
      <c r="O6" s="129" t="s">
        <v>23</v>
      </c>
      <c r="P6" s="129" t="s">
        <v>24</v>
      </c>
      <c r="Q6" s="129" t="s">
        <v>25</v>
      </c>
      <c r="R6" s="129" t="s">
        <v>132</v>
      </c>
      <c r="S6" s="129" t="s">
        <v>143</v>
      </c>
      <c r="T6" s="129" t="s">
        <v>49</v>
      </c>
      <c r="U6" s="129" t="s">
        <v>50</v>
      </c>
      <c r="V6" s="129" t="s">
        <v>70</v>
      </c>
      <c r="W6" s="129" t="s">
        <v>71</v>
      </c>
      <c r="X6" s="129" t="s">
        <v>72</v>
      </c>
      <c r="Y6" s="129" t="s">
        <v>73</v>
      </c>
      <c r="Z6" s="129" t="s">
        <v>66</v>
      </c>
    </row>
    <row r="7" spans="1:26" ht="15" x14ac:dyDescent="0.25">
      <c r="A7" s="224" t="s">
        <v>129</v>
      </c>
      <c r="B7">
        <v>78000</v>
      </c>
      <c r="C7" t="s">
        <v>1067</v>
      </c>
      <c r="D7" s="93" t="s">
        <v>1061</v>
      </c>
      <c r="E7" s="93" t="s">
        <v>188</v>
      </c>
      <c r="G7">
        <v>242</v>
      </c>
      <c r="H7" s="116">
        <f t="shared" ref="H7:H19" si="0">G7+F7</f>
        <v>242</v>
      </c>
      <c r="I7" s="230">
        <f>IF("generated"=1, "Path=MMRBEM_7_DOWN, Scaled Offset=242", 755.807255300049)</f>
        <v>755.80725530004895</v>
      </c>
      <c r="J7" t="s">
        <v>248</v>
      </c>
      <c r="M7">
        <v>2</v>
      </c>
    </row>
    <row r="8" spans="1:26" ht="15" x14ac:dyDescent="0.25">
      <c r="A8" s="224" t="s">
        <v>129</v>
      </c>
      <c r="B8">
        <v>78001</v>
      </c>
      <c r="C8" t="s">
        <v>1068</v>
      </c>
      <c r="D8" s="93" t="s">
        <v>1061</v>
      </c>
      <c r="E8" s="93" t="s">
        <v>188</v>
      </c>
      <c r="G8">
        <v>-215</v>
      </c>
      <c r="H8" s="116">
        <f t="shared" si="0"/>
        <v>-215</v>
      </c>
      <c r="I8" s="230">
        <f>IF("generated"=1, "Path=MMRBEM_7_DOWN, Scaled Offset=-215", 305.592505195775)</f>
        <v>305.592505195775</v>
      </c>
      <c r="J8" t="s">
        <v>248</v>
      </c>
      <c r="M8">
        <v>2.4</v>
      </c>
    </row>
    <row r="9" spans="1:26" ht="15" x14ac:dyDescent="0.25">
      <c r="A9" s="224" t="s">
        <v>129</v>
      </c>
      <c r="B9">
        <v>78013</v>
      </c>
      <c r="C9" t="s">
        <v>1218</v>
      </c>
      <c r="D9" s="93" t="s">
        <v>1061</v>
      </c>
      <c r="E9" t="s">
        <v>187</v>
      </c>
      <c r="F9">
        <v>-5</v>
      </c>
      <c r="G9">
        <v>-259</v>
      </c>
      <c r="H9" s="116">
        <f t="shared" si="0"/>
        <v>-264</v>
      </c>
      <c r="I9" s="230">
        <f>IF("generated"=1, "Path=MMRBEM_7_UP, Scaled Offset=-264", 258.004041888192)</f>
        <v>258.00404188819198</v>
      </c>
      <c r="J9" t="s">
        <v>248</v>
      </c>
      <c r="M9">
        <v>-2.4500000000000002</v>
      </c>
    </row>
    <row r="10" spans="1:26" ht="15" x14ac:dyDescent="0.25">
      <c r="A10" s="224" t="s">
        <v>129</v>
      </c>
      <c r="B10">
        <v>78002</v>
      </c>
      <c r="C10" t="s">
        <v>1069</v>
      </c>
      <c r="D10" s="93" t="s">
        <v>1061</v>
      </c>
      <c r="E10" t="s">
        <v>187</v>
      </c>
      <c r="G10">
        <v>210.12</v>
      </c>
      <c r="H10" s="116">
        <f t="shared" si="0"/>
        <v>210.12</v>
      </c>
      <c r="I10" s="230">
        <f>IF("generated"=1, "Path=MMRBEM_7_UP, Scaled Offset=210.12000000000000454747350886464119", 723.739650706433)</f>
        <v>723.73965070643305</v>
      </c>
      <c r="J10" t="s">
        <v>248</v>
      </c>
      <c r="M10">
        <v>-2.2999999999999998</v>
      </c>
    </row>
    <row r="11" spans="1:26" ht="15" x14ac:dyDescent="0.25">
      <c r="A11" s="224" t="s">
        <v>129</v>
      </c>
      <c r="B11">
        <v>78004</v>
      </c>
      <c r="C11" t="s">
        <v>1070</v>
      </c>
      <c r="D11" s="93" t="s">
        <v>1061</v>
      </c>
      <c r="E11" s="93" t="s">
        <v>188</v>
      </c>
      <c r="G11">
        <v>5938.66</v>
      </c>
      <c r="H11" s="116">
        <f t="shared" si="0"/>
        <v>5938.66</v>
      </c>
      <c r="I11" s="230">
        <f>IF("generated"=1, "Path=MMRBEM_7_DOWN, Scaled Offset=5938.6599999999998544808477163314819", 6359.42413578228)</f>
        <v>6359.4241357822802</v>
      </c>
      <c r="J11" t="s">
        <v>248</v>
      </c>
      <c r="M11">
        <v>1.8</v>
      </c>
    </row>
    <row r="12" spans="1:26" ht="15" x14ac:dyDescent="0.25">
      <c r="A12" s="224" t="s">
        <v>129</v>
      </c>
      <c r="B12">
        <v>78005</v>
      </c>
      <c r="C12" t="s">
        <v>1071</v>
      </c>
      <c r="D12" s="93" t="s">
        <v>1061</v>
      </c>
      <c r="E12" s="93" t="s">
        <v>188</v>
      </c>
      <c r="G12">
        <v>6299.69</v>
      </c>
      <c r="H12" s="116">
        <f t="shared" si="0"/>
        <v>6299.69</v>
      </c>
      <c r="I12" s="230">
        <f>IF("generated"=1, "Path=MMRBEM_7_DOWN, Scaled Offset=6299.6899999999995998223312199115753", 6716.5674432489)</f>
        <v>6716.5674432489004</v>
      </c>
      <c r="J12" t="s">
        <v>248</v>
      </c>
      <c r="M12">
        <v>2</v>
      </c>
    </row>
    <row r="13" spans="1:26" ht="15" x14ac:dyDescent="0.25">
      <c r="A13" s="224" t="s">
        <v>129</v>
      </c>
      <c r="B13">
        <v>78006</v>
      </c>
      <c r="C13" t="s">
        <v>1072</v>
      </c>
      <c r="D13" s="93" t="s">
        <v>1061</v>
      </c>
      <c r="E13" t="s">
        <v>187</v>
      </c>
      <c r="G13">
        <v>5969.66</v>
      </c>
      <c r="H13" s="116">
        <f t="shared" si="0"/>
        <v>5969.66</v>
      </c>
      <c r="I13" s="230">
        <f>IF("generated"=1, "Path=MMRBEM_7_UP, Scaled Offset=5969.6599999999998544808477163314819", 6391.22252495783)</f>
        <v>6391.2225249578296</v>
      </c>
      <c r="J13" t="s">
        <v>248</v>
      </c>
      <c r="M13">
        <v>-2</v>
      </c>
    </row>
    <row r="14" spans="1:26" ht="15" x14ac:dyDescent="0.25">
      <c r="A14" s="224" t="s">
        <v>129</v>
      </c>
      <c r="B14">
        <v>78007</v>
      </c>
      <c r="C14" t="s">
        <v>1073</v>
      </c>
      <c r="D14" s="93" t="s">
        <v>1061</v>
      </c>
      <c r="E14" t="s">
        <v>187</v>
      </c>
      <c r="G14">
        <v>6267.79</v>
      </c>
      <c r="H14" s="116">
        <f t="shared" si="0"/>
        <v>6267.79</v>
      </c>
      <c r="I14" s="230">
        <f>IF("generated"=1, "Path=MMRBEM_7_UP, Scaled Offset=6267.7899999999999636202119290828705", 6683.57853970817)</f>
        <v>6683.57853970817</v>
      </c>
      <c r="J14" t="s">
        <v>248</v>
      </c>
      <c r="M14">
        <v>-2</v>
      </c>
    </row>
    <row r="15" spans="1:26" ht="15" x14ac:dyDescent="0.25">
      <c r="A15" s="224" t="s">
        <v>129</v>
      </c>
      <c r="B15">
        <v>78008</v>
      </c>
      <c r="C15" t="s">
        <v>1074</v>
      </c>
      <c r="D15" s="93" t="s">
        <v>1061</v>
      </c>
      <c r="E15" s="93" t="s">
        <v>188</v>
      </c>
      <c r="G15">
        <v>15005.01</v>
      </c>
      <c r="H15" s="116">
        <f t="shared" si="0"/>
        <v>15005.01</v>
      </c>
      <c r="I15" s="230">
        <f>IF("generated"=1, "Path=MMRBEM_7_DOWN, Scaled Offset=15005.010000000000218278728425502777", 15276.2090459777)</f>
        <v>15276.209045977699</v>
      </c>
      <c r="J15" t="s">
        <v>248</v>
      </c>
      <c r="M15">
        <v>1.8</v>
      </c>
    </row>
    <row r="16" spans="1:26" ht="15" x14ac:dyDescent="0.25">
      <c r="A16" s="224" t="s">
        <v>129</v>
      </c>
      <c r="B16">
        <v>78009</v>
      </c>
      <c r="C16" s="190" t="s">
        <v>1075</v>
      </c>
      <c r="D16" s="93" t="s">
        <v>1061</v>
      </c>
      <c r="E16" t="s">
        <v>187</v>
      </c>
      <c r="G16">
        <v>14973.22</v>
      </c>
      <c r="H16" s="116">
        <f t="shared" si="0"/>
        <v>14973.22</v>
      </c>
      <c r="I16" s="230">
        <f>IF("generated"=1, "Path=MMRBEM_7_UP, Scaled Offset=14973.219999999999345163814723491669", 15248.4633901364)</f>
        <v>15248.4633901364</v>
      </c>
      <c r="J16" t="s">
        <v>248</v>
      </c>
      <c r="M16">
        <v>2.9</v>
      </c>
    </row>
    <row r="17" spans="1:13" ht="15" x14ac:dyDescent="0.25">
      <c r="A17" s="224" t="s">
        <v>129</v>
      </c>
      <c r="B17">
        <v>78010</v>
      </c>
      <c r="C17" t="s">
        <v>1076</v>
      </c>
      <c r="D17" s="93" t="s">
        <v>1061</v>
      </c>
      <c r="E17" t="s">
        <v>187</v>
      </c>
      <c r="G17">
        <v>15005.01</v>
      </c>
      <c r="H17" s="116">
        <f t="shared" si="0"/>
        <v>15005.01</v>
      </c>
      <c r="I17" s="230">
        <f>IF("generated"=1, "Path=MMRBEM_7_UP, Scaled Offset=15005.010000000000218278728425502777", 15279.2587466937)</f>
        <v>15279.2587466937</v>
      </c>
      <c r="J17" t="s">
        <v>248</v>
      </c>
      <c r="M17">
        <v>2</v>
      </c>
    </row>
    <row r="18" spans="1:13" ht="15" x14ac:dyDescent="0.25">
      <c r="A18" s="224" t="s">
        <v>129</v>
      </c>
      <c r="B18">
        <v>78011</v>
      </c>
      <c r="C18" t="s">
        <v>1077</v>
      </c>
      <c r="D18" s="93" t="s">
        <v>1061</v>
      </c>
      <c r="E18" t="s">
        <v>1078</v>
      </c>
      <c r="G18">
        <v>18</v>
      </c>
      <c r="H18" s="116">
        <f t="shared" si="0"/>
        <v>18</v>
      </c>
      <c r="I18" s="230">
        <f>IF("generated"=1, "Path=Track_11, Scaled Offset=18", 18)</f>
        <v>18</v>
      </c>
      <c r="J18" t="s">
        <v>248</v>
      </c>
      <c r="M18">
        <v>-7.3</v>
      </c>
    </row>
    <row r="19" spans="1:13" ht="15" x14ac:dyDescent="0.25">
      <c r="A19" s="224" t="s">
        <v>129</v>
      </c>
      <c r="B19">
        <v>78012</v>
      </c>
      <c r="C19" t="s">
        <v>1079</v>
      </c>
      <c r="D19" s="93" t="s">
        <v>1061</v>
      </c>
      <c r="E19" t="s">
        <v>187</v>
      </c>
      <c r="G19">
        <v>15095.64</v>
      </c>
      <c r="H19" s="116">
        <f t="shared" si="0"/>
        <v>15095.64</v>
      </c>
      <c r="I19" s="230">
        <f>IF("generated"=1, "Path=MMRBEM_7_UP, Scaled Offset=15095.639999999999417923390865325928", 15366.3798741003)</f>
        <v>15366.379874100299</v>
      </c>
      <c r="J19" t="s">
        <v>248</v>
      </c>
      <c r="M19">
        <v>2</v>
      </c>
    </row>
    <row r="20" spans="1:13" ht="15" x14ac:dyDescent="0.25">
      <c r="A20" s="224" t="s">
        <v>129</v>
      </c>
      <c r="B20">
        <v>78015</v>
      </c>
      <c r="C20" t="s">
        <v>4339</v>
      </c>
      <c r="D20" s="93" t="s">
        <v>1061</v>
      </c>
      <c r="E20" t="s">
        <v>2497</v>
      </c>
      <c r="G20">
        <v>1</v>
      </c>
      <c r="H20" s="116">
        <f t="shared" ref="H20" si="1">G20+F20</f>
        <v>1</v>
      </c>
      <c r="I20" s="230">
        <f>IF("generated"=1, "Path=auto_segment_1, Scaled Offset=1", 1)</f>
        <v>1</v>
      </c>
      <c r="J20" t="s">
        <v>248</v>
      </c>
      <c r="M20">
        <v>-2</v>
      </c>
    </row>
  </sheetData>
  <conditionalFormatting sqref="C1:C6 D7:D20">
    <cfRule type="duplicateValues" dxfId="9" priority="493"/>
  </conditionalFormatting>
  <conditionalFormatting sqref="E2:E7">
    <cfRule type="cellIs" dxfId="8" priority="4" operator="equal">
      <formula>#REF!</formula>
    </cfRule>
  </conditionalFormatting>
  <conditionalFormatting sqref="E8">
    <cfRule type="cellIs" dxfId="7" priority="3" operator="equal">
      <formula>#REF!</formula>
    </cfRule>
  </conditionalFormatting>
  <conditionalFormatting sqref="E11:E12">
    <cfRule type="cellIs" dxfId="6" priority="2" operator="equal">
      <formula>#REF!</formula>
    </cfRule>
  </conditionalFormatting>
  <conditionalFormatting sqref="E15">
    <cfRule type="cellIs" dxfId="5" priority="1" operator="equal">
      <formula>#REF!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8B3F-6B14-4514-9FE6-2694FF4278CC}">
  <dimension ref="A1:CB115"/>
  <sheetViews>
    <sheetView showGridLines="0" zoomScaleNormal="100" workbookViewId="0">
      <selection activeCell="I12" sqref="I12:I115"/>
    </sheetView>
  </sheetViews>
  <sheetFormatPr defaultRowHeight="12.75" x14ac:dyDescent="0.2"/>
  <cols>
    <col min="1" max="1" width="13.28515625" style="218" customWidth="1"/>
    <col min="2" max="2" width="9" customWidth="1"/>
    <col min="3" max="3" width="22.42578125" bestFit="1" customWidth="1"/>
    <col min="4" max="4" width="28.28515625" bestFit="1" customWidth="1"/>
    <col min="5" max="5" width="18.42578125" bestFit="1" customWidth="1"/>
    <col min="6" max="6" width="10.42578125" bestFit="1" customWidth="1"/>
    <col min="7" max="7" width="9.7109375" bestFit="1" customWidth="1"/>
    <col min="8" max="8" width="12.42578125" bestFit="1" customWidth="1"/>
    <col min="9" max="9" width="8.140625" customWidth="1"/>
    <col min="10" max="10" width="6.140625" customWidth="1"/>
    <col min="11" max="11" width="3.5703125" customWidth="1"/>
    <col min="14" max="14" width="3.85546875" customWidth="1"/>
    <col min="15" max="15" width="3.42578125" customWidth="1"/>
    <col min="16" max="16" width="8.5703125" bestFit="1" customWidth="1"/>
    <col min="18" max="18" width="11.42578125" bestFit="1" customWidth="1"/>
    <col min="19" max="19" width="17.28515625" bestFit="1" customWidth="1"/>
    <col min="20" max="20" width="6.140625" bestFit="1" customWidth="1"/>
    <col min="21" max="21" width="11.7109375" bestFit="1" customWidth="1"/>
    <col min="22" max="22" width="5.42578125" bestFit="1" customWidth="1"/>
    <col min="23" max="23" width="11" bestFit="1" customWidth="1"/>
    <col min="24" max="24" width="4" customWidth="1"/>
  </cols>
  <sheetData>
    <row r="1" spans="1:80" s="31" customFormat="1" x14ac:dyDescent="0.2">
      <c r="A1" s="111" t="s">
        <v>32</v>
      </c>
      <c r="G1" s="145"/>
      <c r="H1" s="145"/>
      <c r="I1" s="32"/>
      <c r="M1" s="32"/>
      <c r="N1" s="32"/>
      <c r="O1" s="32"/>
      <c r="P1" s="32"/>
      <c r="Q1" s="32"/>
      <c r="T1" s="33"/>
      <c r="V1" s="33"/>
    </row>
    <row r="2" spans="1:80" s="34" customFormat="1" x14ac:dyDescent="0.2">
      <c r="A2" s="112"/>
      <c r="C2" s="86" t="s">
        <v>33</v>
      </c>
      <c r="D2" s="86">
        <v>0.44703999999999999</v>
      </c>
      <c r="E2" s="215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7"/>
      <c r="V2" s="35"/>
    </row>
    <row r="3" spans="1:80" s="34" customFormat="1" x14ac:dyDescent="0.2">
      <c r="A3" s="112"/>
      <c r="C3" s="86" t="s">
        <v>34</v>
      </c>
      <c r="D3" s="36">
        <v>0</v>
      </c>
      <c r="E3" s="34" t="s">
        <v>35</v>
      </c>
      <c r="F3" s="86"/>
      <c r="G3" s="146"/>
      <c r="H3" s="155"/>
      <c r="I3" s="38"/>
      <c r="J3" s="86"/>
      <c r="K3" s="86"/>
      <c r="L3" s="86"/>
      <c r="M3" s="37"/>
      <c r="N3" s="37"/>
      <c r="O3" s="37"/>
      <c r="P3" s="37"/>
      <c r="Q3" s="37"/>
      <c r="R3" s="86"/>
      <c r="S3" s="86"/>
      <c r="T3" s="39"/>
      <c r="U3" s="86"/>
      <c r="V3" s="35"/>
    </row>
    <row r="4" spans="1:80" s="34" customFormat="1" x14ac:dyDescent="0.2">
      <c r="A4" s="112"/>
      <c r="C4" s="86" t="s">
        <v>36</v>
      </c>
      <c r="D4" s="36">
        <v>0</v>
      </c>
      <c r="E4" s="86" t="s">
        <v>26</v>
      </c>
      <c r="F4" s="86"/>
      <c r="G4" s="146"/>
      <c r="H4" s="155"/>
      <c r="I4" s="38"/>
      <c r="J4" s="86"/>
      <c r="K4" s="86"/>
      <c r="L4" s="86"/>
      <c r="M4" s="37"/>
      <c r="N4" s="37"/>
      <c r="O4" s="37"/>
      <c r="P4" s="37"/>
      <c r="Q4" s="37"/>
      <c r="R4" s="86"/>
      <c r="S4" s="86"/>
      <c r="T4" s="39"/>
      <c r="U4" s="86"/>
      <c r="V4" s="35"/>
    </row>
    <row r="5" spans="1:80" s="34" customFormat="1" x14ac:dyDescent="0.2">
      <c r="A5" s="112"/>
      <c r="C5" s="34" t="s">
        <v>37</v>
      </c>
      <c r="D5" s="36">
        <v>1</v>
      </c>
      <c r="E5" s="40" t="s">
        <v>38</v>
      </c>
      <c r="F5" s="40">
        <v>0.27777800000000002</v>
      </c>
      <c r="G5" s="146"/>
      <c r="H5" s="155"/>
      <c r="I5" s="38"/>
      <c r="J5" s="86"/>
      <c r="K5" s="86"/>
      <c r="L5" s="86"/>
      <c r="M5" s="37"/>
      <c r="N5" s="37"/>
      <c r="O5" s="37"/>
      <c r="P5" s="37"/>
      <c r="Q5" s="37"/>
      <c r="R5" s="86"/>
      <c r="S5" s="86"/>
      <c r="T5" s="39"/>
      <c r="U5" s="86"/>
      <c r="V5" s="35"/>
    </row>
    <row r="6" spans="1:80" s="34" customFormat="1" x14ac:dyDescent="0.2">
      <c r="A6" s="112"/>
      <c r="F6" s="86"/>
      <c r="G6" s="146"/>
      <c r="H6" s="155"/>
      <c r="I6" s="38"/>
      <c r="J6" s="86"/>
      <c r="K6" s="86"/>
      <c r="L6" s="86"/>
      <c r="M6" s="37"/>
      <c r="N6" s="37"/>
      <c r="O6" s="37"/>
      <c r="P6" s="37"/>
      <c r="Q6" s="37"/>
      <c r="R6" s="86"/>
      <c r="S6" s="86"/>
      <c r="T6" s="39"/>
      <c r="U6" s="86"/>
      <c r="V6" s="35"/>
    </row>
    <row r="7" spans="1:80" s="31" customFormat="1" x14ac:dyDescent="0.2">
      <c r="A7" s="111" t="s">
        <v>39</v>
      </c>
      <c r="G7" s="145"/>
      <c r="H7" s="145"/>
      <c r="I7" s="32"/>
      <c r="M7" s="32"/>
      <c r="N7" s="32"/>
      <c r="O7" s="32"/>
      <c r="P7" s="32"/>
      <c r="Q7" s="32"/>
      <c r="T7" s="33"/>
      <c r="V7" s="33"/>
    </row>
    <row r="8" spans="1:80" s="14" customFormat="1" x14ac:dyDescent="0.2">
      <c r="A8" s="223" t="s">
        <v>1</v>
      </c>
      <c r="B8" s="7" t="s">
        <v>18</v>
      </c>
      <c r="C8" s="7" t="s">
        <v>2</v>
      </c>
      <c r="D8" s="15"/>
      <c r="E8" s="41"/>
      <c r="F8" s="42"/>
      <c r="G8" s="147"/>
      <c r="H8" s="156"/>
      <c r="I8" s="44"/>
      <c r="J8" s="11"/>
      <c r="K8" s="11"/>
      <c r="M8" s="45"/>
      <c r="N8" s="45"/>
      <c r="O8" s="46"/>
      <c r="P8" s="46"/>
      <c r="Q8" s="46"/>
      <c r="S8" s="47"/>
      <c r="T8" s="48"/>
      <c r="V8" s="48"/>
    </row>
    <row r="9" spans="1:80" s="14" customFormat="1" x14ac:dyDescent="0.2">
      <c r="A9" s="225" t="s">
        <v>19</v>
      </c>
      <c r="B9" s="81"/>
      <c r="C9" s="14" t="s">
        <v>1196</v>
      </c>
      <c r="D9" s="15"/>
      <c r="E9" s="49"/>
      <c r="F9" s="42"/>
      <c r="G9" s="147"/>
      <c r="H9" s="156"/>
      <c r="I9" s="44"/>
      <c r="J9" s="11"/>
      <c r="K9" s="11"/>
      <c r="M9" s="45"/>
      <c r="N9" s="45"/>
      <c r="O9" s="46"/>
      <c r="P9" s="46"/>
      <c r="Q9" s="46"/>
      <c r="S9" s="47"/>
      <c r="T9" s="48"/>
      <c r="V9" s="48"/>
    </row>
    <row r="10" spans="1:80" s="14" customFormat="1" x14ac:dyDescent="0.2">
      <c r="A10" s="225"/>
      <c r="D10" s="15"/>
      <c r="F10" s="50"/>
      <c r="G10" s="147"/>
      <c r="H10" s="156"/>
      <c r="I10" s="44"/>
      <c r="J10" s="11"/>
      <c r="K10" s="11"/>
      <c r="M10" s="45"/>
      <c r="N10" s="45"/>
      <c r="O10" s="46"/>
      <c r="P10" s="46"/>
      <c r="Q10" s="46"/>
      <c r="S10" s="47"/>
      <c r="T10" s="48"/>
      <c r="V10" s="48"/>
    </row>
    <row r="11" spans="1:80" s="58" customFormat="1" x14ac:dyDescent="0.2">
      <c r="A11" s="212" t="s">
        <v>1</v>
      </c>
      <c r="B11" s="51" t="s">
        <v>18</v>
      </c>
      <c r="C11" s="51" t="s">
        <v>2</v>
      </c>
      <c r="D11" s="51" t="s">
        <v>14</v>
      </c>
      <c r="E11" s="51" t="s">
        <v>9</v>
      </c>
      <c r="F11" s="52" t="s">
        <v>40</v>
      </c>
      <c r="G11" s="148" t="s">
        <v>13</v>
      </c>
      <c r="H11" s="157" t="s">
        <v>10</v>
      </c>
      <c r="I11" s="54" t="s">
        <v>7</v>
      </c>
      <c r="J11" s="55" t="s">
        <v>28</v>
      </c>
      <c r="K11" s="51" t="s">
        <v>15</v>
      </c>
      <c r="L11" s="51" t="s">
        <v>20</v>
      </c>
      <c r="M11" s="56" t="s">
        <v>21</v>
      </c>
      <c r="N11" s="56" t="s">
        <v>22</v>
      </c>
      <c r="O11" s="56" t="s">
        <v>29</v>
      </c>
      <c r="P11" s="57" t="s">
        <v>23</v>
      </c>
      <c r="Q11" s="57" t="s">
        <v>24</v>
      </c>
      <c r="R11" s="51" t="s">
        <v>25</v>
      </c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</row>
    <row r="12" spans="1:80" s="70" customFormat="1" x14ac:dyDescent="0.2">
      <c r="A12" s="229" t="s">
        <v>129</v>
      </c>
      <c r="B12" s="154">
        <v>72299</v>
      </c>
      <c r="C12" s="70" t="s">
        <v>1092</v>
      </c>
      <c r="D12" s="193" t="s">
        <v>1195</v>
      </c>
      <c r="E12" s="70" t="s">
        <v>122</v>
      </c>
      <c r="F12" s="70">
        <v>-22.5</v>
      </c>
      <c r="G12" s="70">
        <v>109.99999999999999</v>
      </c>
      <c r="H12" s="197">
        <f t="shared" ref="H12:H75" si="0">G12+F12</f>
        <v>87.499999999999986</v>
      </c>
      <c r="I12" s="234">
        <f>IF("generated"=1, "Path=Track_10_2_Track_2, Scaled Offset=87.499999999999985789145284797996283", 87.4999999999999)</f>
        <v>87.499999999999901</v>
      </c>
      <c r="L12" s="70">
        <v>1</v>
      </c>
      <c r="M12" s="77">
        <v>-1.6</v>
      </c>
      <c r="N12" s="77"/>
      <c r="O12" s="77"/>
      <c r="P12" s="77"/>
      <c r="Q12" s="77"/>
      <c r="R12" s="75" t="s">
        <v>1198</v>
      </c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</row>
    <row r="13" spans="1:80" s="70" customFormat="1" x14ac:dyDescent="0.2">
      <c r="A13" s="229" t="s">
        <v>129</v>
      </c>
      <c r="B13" s="154">
        <v>72300</v>
      </c>
      <c r="C13" s="70" t="s">
        <v>1093</v>
      </c>
      <c r="D13" s="193" t="s">
        <v>1195</v>
      </c>
      <c r="E13" s="70" t="s">
        <v>122</v>
      </c>
      <c r="F13" s="70">
        <v>-22.5</v>
      </c>
      <c r="G13" s="70">
        <v>132.19999999999999</v>
      </c>
      <c r="H13" s="197">
        <f t="shared" si="0"/>
        <v>109.69999999999999</v>
      </c>
      <c r="I13" s="234">
        <f>IF("generated"=1, "Path=Track_10_2_Track_2, Scaled Offset=109.69999999999998863131622783839703", 109.699999999999)</f>
        <v>109.69999999999899</v>
      </c>
      <c r="L13" s="70">
        <v>1</v>
      </c>
      <c r="M13" s="77">
        <v>-1.5</v>
      </c>
      <c r="N13" s="77"/>
      <c r="O13" s="77"/>
      <c r="P13" s="77"/>
      <c r="Q13" s="77"/>
      <c r="R13" s="75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</row>
    <row r="14" spans="1:80" s="70" customFormat="1" x14ac:dyDescent="0.2">
      <c r="A14" s="229" t="s">
        <v>129</v>
      </c>
      <c r="B14" s="154">
        <v>72301</v>
      </c>
      <c r="C14" s="70" t="s">
        <v>1094</v>
      </c>
      <c r="D14" s="193" t="s">
        <v>1195</v>
      </c>
      <c r="E14" s="70" t="s">
        <v>122</v>
      </c>
      <c r="G14" s="70">
        <v>246.3</v>
      </c>
      <c r="H14" s="197">
        <f t="shared" si="0"/>
        <v>246.3</v>
      </c>
      <c r="I14" s="234">
        <f>IF("generated"=1, "Path=Track_10_2_Track_2, Scaled Offset=246.30000000000001136868377216160297", 246.3)</f>
        <v>246.3</v>
      </c>
      <c r="M14" s="77">
        <v>-1.6</v>
      </c>
      <c r="N14" s="77"/>
      <c r="O14" s="77"/>
      <c r="P14" s="77"/>
      <c r="Q14" s="77"/>
      <c r="R14" s="75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</row>
    <row r="15" spans="1:80" s="70" customFormat="1" x14ac:dyDescent="0.2">
      <c r="A15" s="229" t="s">
        <v>129</v>
      </c>
      <c r="B15" s="154">
        <v>72302</v>
      </c>
      <c r="C15" s="70" t="s">
        <v>1095</v>
      </c>
      <c r="D15" s="193" t="s">
        <v>1195</v>
      </c>
      <c r="E15" s="70" t="s">
        <v>122</v>
      </c>
      <c r="G15" s="70">
        <v>268.5</v>
      </c>
      <c r="H15" s="197">
        <f t="shared" si="0"/>
        <v>268.5</v>
      </c>
      <c r="I15" s="234">
        <f>IF("generated"=1, "Path=Track_10_2_Track_2, Scaled Offset=268.5", 268.5)</f>
        <v>268.5</v>
      </c>
      <c r="M15" s="77">
        <v>-1.6</v>
      </c>
      <c r="N15" s="77"/>
      <c r="O15" s="77"/>
      <c r="P15" s="77"/>
      <c r="Q15" s="77"/>
      <c r="R15" s="75" t="s">
        <v>1198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</row>
    <row r="16" spans="1:80" s="70" customFormat="1" x14ac:dyDescent="0.2">
      <c r="A16" s="229" t="s">
        <v>129</v>
      </c>
      <c r="B16" s="199">
        <v>72303</v>
      </c>
      <c r="C16" s="70" t="s">
        <v>1096</v>
      </c>
      <c r="D16" s="193" t="s">
        <v>1195</v>
      </c>
      <c r="E16" s="70" t="s">
        <v>84</v>
      </c>
      <c r="F16" s="70">
        <v>-22.5</v>
      </c>
      <c r="G16" s="70">
        <v>110.32000000000001</v>
      </c>
      <c r="H16" s="197">
        <f t="shared" si="0"/>
        <v>87.820000000000007</v>
      </c>
      <c r="I16" s="234">
        <f>IF("generated"=1, "Path=Track_20_2_Track_1, Scaled Offset=87.820000000000007389644451905041933", 87.82)</f>
        <v>87.82</v>
      </c>
      <c r="L16" s="70">
        <v>1</v>
      </c>
      <c r="M16" s="77">
        <v>-1.6</v>
      </c>
      <c r="N16" s="77"/>
      <c r="O16" s="77"/>
      <c r="P16" s="71"/>
      <c r="Q16" s="77"/>
      <c r="R16" s="75" t="s">
        <v>1198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</row>
    <row r="17" spans="1:80" s="70" customFormat="1" x14ac:dyDescent="0.2">
      <c r="A17" s="229" t="s">
        <v>129</v>
      </c>
      <c r="B17" s="199">
        <v>72304</v>
      </c>
      <c r="C17" s="70" t="s">
        <v>1097</v>
      </c>
      <c r="D17" s="193" t="s">
        <v>1195</v>
      </c>
      <c r="E17" s="70" t="s">
        <v>84</v>
      </c>
      <c r="F17" s="70">
        <v>-22.5</v>
      </c>
      <c r="G17" s="70">
        <v>132.52000000000001</v>
      </c>
      <c r="H17" s="197">
        <f t="shared" si="0"/>
        <v>110.02000000000001</v>
      </c>
      <c r="I17" s="234">
        <f>IF("generated"=1, "Path=Track_20_2_Track_1, Scaled Offset=110.02000000000001023181539494544268", 110.02)</f>
        <v>110.02</v>
      </c>
      <c r="L17" s="70">
        <v>1</v>
      </c>
      <c r="M17" s="77">
        <v>-1.6</v>
      </c>
      <c r="N17" s="77"/>
      <c r="O17" s="77"/>
      <c r="P17" s="71"/>
      <c r="Q17" s="77"/>
      <c r="R17" s="75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</row>
    <row r="18" spans="1:80" s="70" customFormat="1" x14ac:dyDescent="0.2">
      <c r="A18" s="229" t="s">
        <v>129</v>
      </c>
      <c r="B18" s="199">
        <v>72305</v>
      </c>
      <c r="C18" s="70" t="s">
        <v>1098</v>
      </c>
      <c r="D18" s="193" t="s">
        <v>1195</v>
      </c>
      <c r="E18" s="70" t="s">
        <v>84</v>
      </c>
      <c r="G18" s="70">
        <v>247</v>
      </c>
      <c r="H18" s="197">
        <f t="shared" si="0"/>
        <v>247</v>
      </c>
      <c r="I18" s="234">
        <f>IF("generated"=1, "Path=Track_20_2_Track_1, Scaled Offset=247", 247)</f>
        <v>247</v>
      </c>
      <c r="M18" s="77">
        <v>-1.6</v>
      </c>
      <c r="N18" s="77"/>
      <c r="O18" s="77"/>
      <c r="P18" s="71"/>
      <c r="Q18" s="77"/>
      <c r="R18" s="7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</row>
    <row r="19" spans="1:80" s="70" customFormat="1" x14ac:dyDescent="0.2">
      <c r="A19" s="229" t="s">
        <v>129</v>
      </c>
      <c r="B19" s="199">
        <v>72306</v>
      </c>
      <c r="C19" s="70" t="s">
        <v>1099</v>
      </c>
      <c r="D19" s="193" t="s">
        <v>1195</v>
      </c>
      <c r="E19" s="70" t="s">
        <v>84</v>
      </c>
      <c r="G19" s="70">
        <v>269.2</v>
      </c>
      <c r="H19" s="197">
        <f t="shared" si="0"/>
        <v>269.2</v>
      </c>
      <c r="I19" s="234">
        <f>IF("generated"=1, "Path=Track_20_2_Track_1, Scaled Offset=269.19999999999998863131622783839703", 269.199999999999)</f>
        <v>269.19999999999902</v>
      </c>
      <c r="M19" s="77">
        <v>-1.6</v>
      </c>
      <c r="N19" s="77"/>
      <c r="O19" s="77"/>
      <c r="P19" s="71"/>
      <c r="Q19" s="77"/>
      <c r="R19" s="75" t="s">
        <v>1198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</row>
    <row r="20" spans="1:80" s="70" customFormat="1" x14ac:dyDescent="0.2">
      <c r="A20" s="229" t="s">
        <v>129</v>
      </c>
      <c r="B20" s="199">
        <v>72307</v>
      </c>
      <c r="C20" s="70" t="s">
        <v>1100</v>
      </c>
      <c r="D20" s="193" t="s">
        <v>1195</v>
      </c>
      <c r="E20" s="70" t="s">
        <v>123</v>
      </c>
      <c r="F20" s="70">
        <v>-22.5</v>
      </c>
      <c r="G20" s="70">
        <v>1271.5999999999999</v>
      </c>
      <c r="H20" s="197">
        <f t="shared" si="0"/>
        <v>1249.0999999999999</v>
      </c>
      <c r="I20" s="234">
        <f>IF("generated"=1, "Path=Track_10_3, Scaled Offset=1249.0999999999999090505298227071762", 1249.09999999999)</f>
        <v>1249.0999999999899</v>
      </c>
      <c r="L20" s="70">
        <v>1</v>
      </c>
      <c r="M20" s="77">
        <v>-1.6</v>
      </c>
      <c r="N20" s="77"/>
      <c r="O20" s="77"/>
      <c r="P20" s="71"/>
      <c r="Q20" s="77"/>
      <c r="R20" s="75" t="s">
        <v>1198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</row>
    <row r="21" spans="1:80" s="70" customFormat="1" x14ac:dyDescent="0.2">
      <c r="A21" s="229" t="s">
        <v>129</v>
      </c>
      <c r="B21" s="199">
        <v>72308</v>
      </c>
      <c r="C21" s="70" t="s">
        <v>1101</v>
      </c>
      <c r="D21" s="193" t="s">
        <v>1195</v>
      </c>
      <c r="E21" s="70" t="s">
        <v>123</v>
      </c>
      <c r="F21" s="70">
        <v>-22.5</v>
      </c>
      <c r="G21" s="70">
        <v>1293.8</v>
      </c>
      <c r="H21" s="197">
        <f t="shared" si="0"/>
        <v>1271.3</v>
      </c>
      <c r="I21" s="234">
        <f>IF("generated"=1, "Path=Track_10_3, Scaled Offset=1271.2999999999999545252649113535881", 1271.29999999999)</f>
        <v>1271.29999999999</v>
      </c>
      <c r="L21" s="70">
        <v>1</v>
      </c>
      <c r="M21" s="77">
        <v>-1.6</v>
      </c>
      <c r="N21" s="77"/>
      <c r="O21" s="77"/>
      <c r="P21" s="71"/>
      <c r="Q21" s="77"/>
      <c r="R21" s="75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</row>
    <row r="22" spans="1:80" s="70" customFormat="1" x14ac:dyDescent="0.2">
      <c r="A22" s="229" t="s">
        <v>129</v>
      </c>
      <c r="B22" s="199">
        <v>72309</v>
      </c>
      <c r="C22" s="70" t="s">
        <v>1102</v>
      </c>
      <c r="D22" s="193" t="s">
        <v>1195</v>
      </c>
      <c r="E22" s="70" t="s">
        <v>123</v>
      </c>
      <c r="G22" s="70">
        <v>1407.99</v>
      </c>
      <c r="H22" s="197">
        <f t="shared" si="0"/>
        <v>1407.99</v>
      </c>
      <c r="I22" s="234">
        <f>IF("generated"=1, "Path=Track_10_3, Scaled Offset=1407.9900000000000090949470177292824", 1407.99)</f>
        <v>1407.99</v>
      </c>
      <c r="M22" s="77">
        <v>-1.6</v>
      </c>
      <c r="N22" s="77"/>
      <c r="O22" s="77"/>
      <c r="P22" s="71"/>
      <c r="Q22" s="77"/>
      <c r="R22" s="75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</row>
    <row r="23" spans="1:80" s="70" customFormat="1" x14ac:dyDescent="0.2">
      <c r="A23" s="229" t="s">
        <v>129</v>
      </c>
      <c r="B23" s="199">
        <v>72310</v>
      </c>
      <c r="C23" s="70" t="s">
        <v>1103</v>
      </c>
      <c r="D23" s="193" t="s">
        <v>1195</v>
      </c>
      <c r="E23" s="70" t="s">
        <v>123</v>
      </c>
      <c r="G23" s="70">
        <v>1430.19</v>
      </c>
      <c r="H23" s="197">
        <f t="shared" si="0"/>
        <v>1430.19</v>
      </c>
      <c r="I23" s="234">
        <f>IF("generated"=1, "Path=Track_10_3, Scaled Offset=1430.1900000000000545696821063756943", 1430.19)</f>
        <v>1430.19</v>
      </c>
      <c r="M23" s="77">
        <v>-1.6</v>
      </c>
      <c r="N23" s="77"/>
      <c r="O23" s="77"/>
      <c r="P23" s="71"/>
      <c r="Q23" s="77"/>
      <c r="R23" s="75" t="s">
        <v>1198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</row>
    <row r="24" spans="1:80" s="70" customFormat="1" x14ac:dyDescent="0.2">
      <c r="A24" s="229" t="s">
        <v>129</v>
      </c>
      <c r="B24" s="199">
        <v>72311</v>
      </c>
      <c r="C24" s="70" t="s">
        <v>1104</v>
      </c>
      <c r="D24" s="193" t="s">
        <v>1195</v>
      </c>
      <c r="E24" s="70" t="s">
        <v>87</v>
      </c>
      <c r="G24" s="70">
        <v>1353.44</v>
      </c>
      <c r="H24" s="197">
        <f t="shared" si="0"/>
        <v>1353.44</v>
      </c>
      <c r="I24" s="234">
        <f>IF("generated"=1, "Path=Track_20_3_Track_1, Scaled Offset=1353.4400000000000545696821063756943", 1353.44)</f>
        <v>1353.44</v>
      </c>
      <c r="M24" s="77">
        <v>-1.6</v>
      </c>
      <c r="N24" s="77"/>
      <c r="O24" s="77"/>
      <c r="P24" s="71"/>
      <c r="Q24" s="77"/>
      <c r="R24" s="75" t="s">
        <v>1198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</row>
    <row r="25" spans="1:80" s="70" customFormat="1" x14ac:dyDescent="0.2">
      <c r="A25" s="229" t="s">
        <v>129</v>
      </c>
      <c r="B25" s="199">
        <v>72312</v>
      </c>
      <c r="C25" s="70" t="s">
        <v>1105</v>
      </c>
      <c r="D25" s="193" t="s">
        <v>1195</v>
      </c>
      <c r="E25" s="70" t="s">
        <v>87</v>
      </c>
      <c r="G25" s="70">
        <v>1331.24</v>
      </c>
      <c r="H25" s="197">
        <f t="shared" si="0"/>
        <v>1331.24</v>
      </c>
      <c r="I25" s="234">
        <f>IF("generated"=1, "Path=Track_20_3_Track_1, Scaled Offset=1331.2400000000000090949470177292824", 1331.24)</f>
        <v>1331.24</v>
      </c>
      <c r="M25" s="77">
        <v>-1.6</v>
      </c>
      <c r="N25" s="77"/>
      <c r="O25" s="77"/>
      <c r="P25" s="71"/>
      <c r="Q25" s="77"/>
      <c r="R25" s="75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</row>
    <row r="26" spans="1:80" s="70" customFormat="1" x14ac:dyDescent="0.2">
      <c r="A26" s="229" t="s">
        <v>129</v>
      </c>
      <c r="B26" s="199">
        <v>72313</v>
      </c>
      <c r="C26" s="70" t="s">
        <v>1106</v>
      </c>
      <c r="D26" s="193" t="s">
        <v>1195</v>
      </c>
      <c r="E26" s="70" t="s">
        <v>87</v>
      </c>
      <c r="F26" s="70">
        <v>-22.5</v>
      </c>
      <c r="G26" s="70">
        <v>1217.1300000000001</v>
      </c>
      <c r="H26" s="197">
        <f t="shared" si="0"/>
        <v>1194.6300000000001</v>
      </c>
      <c r="I26" s="234">
        <f>IF("generated"=1, "Path=Track_20_3_Track_1, Scaled Offset=1194.6300000000001091393642127513885", 1194.63)</f>
        <v>1194.6300000000001</v>
      </c>
      <c r="L26" s="70">
        <v>1</v>
      </c>
      <c r="M26" s="77">
        <v>-1.6</v>
      </c>
      <c r="N26" s="77"/>
      <c r="O26" s="77"/>
      <c r="P26" s="71"/>
      <c r="Q26" s="77"/>
      <c r="R26" s="75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</row>
    <row r="27" spans="1:80" s="70" customFormat="1" x14ac:dyDescent="0.2">
      <c r="A27" s="229" t="s">
        <v>129</v>
      </c>
      <c r="B27" s="199">
        <v>72314</v>
      </c>
      <c r="C27" s="70" t="s">
        <v>1107</v>
      </c>
      <c r="D27" s="193" t="s">
        <v>1195</v>
      </c>
      <c r="E27" s="70" t="s">
        <v>87</v>
      </c>
      <c r="F27" s="70">
        <v>-22.5</v>
      </c>
      <c r="G27" s="70">
        <v>1194.93</v>
      </c>
      <c r="H27" s="197">
        <f t="shared" si="0"/>
        <v>1172.43</v>
      </c>
      <c r="I27" s="234">
        <f>IF("generated"=1, "Path=Track_20_3_Track_1, Scaled Offset=1172.4300000000000636646291241049767", 1172.43)</f>
        <v>1172.43</v>
      </c>
      <c r="L27" s="70">
        <v>1</v>
      </c>
      <c r="M27" s="77">
        <v>-1.6</v>
      </c>
      <c r="N27" s="77"/>
      <c r="O27" s="77"/>
      <c r="P27" s="71"/>
      <c r="Q27" s="77"/>
      <c r="R27" s="75" t="s">
        <v>1198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</row>
    <row r="28" spans="1:80" s="70" customFormat="1" x14ac:dyDescent="0.2">
      <c r="A28" s="229" t="s">
        <v>129</v>
      </c>
      <c r="B28" s="199">
        <v>72315</v>
      </c>
      <c r="C28" s="70" t="s">
        <v>1108</v>
      </c>
      <c r="D28" s="193" t="s">
        <v>1195</v>
      </c>
      <c r="E28" s="70" t="s">
        <v>123</v>
      </c>
      <c r="G28" s="70">
        <v>3014.0299999999997</v>
      </c>
      <c r="H28" s="197">
        <f t="shared" si="0"/>
        <v>3014.0299999999997</v>
      </c>
      <c r="I28" s="234">
        <f>IF("generated"=1, "Path=Track_10_3, Scaled Offset=3014.0299999999997453414835035800934", 3014.02999999999)</f>
        <v>3014.0299999999902</v>
      </c>
      <c r="M28" s="77">
        <v>-1.6</v>
      </c>
      <c r="N28" s="77"/>
      <c r="O28" s="77"/>
      <c r="P28" s="71"/>
      <c r="Q28" s="77"/>
      <c r="R28" s="75" t="s">
        <v>1198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 spans="1:80" s="70" customFormat="1" x14ac:dyDescent="0.2">
      <c r="A29" s="229" t="s">
        <v>129</v>
      </c>
      <c r="B29" s="199">
        <v>72316</v>
      </c>
      <c r="C29" s="70" t="s">
        <v>1109</v>
      </c>
      <c r="D29" s="193" t="s">
        <v>1195</v>
      </c>
      <c r="E29" s="70" t="s">
        <v>123</v>
      </c>
      <c r="G29" s="70">
        <v>2991.83</v>
      </c>
      <c r="H29" s="197">
        <f t="shared" si="0"/>
        <v>2991.83</v>
      </c>
      <c r="I29" s="234">
        <f>IF("generated"=1, "Path=Track_10_3, Scaled Offset=2991.829999999999927240423858165741", 2991.82999999999)</f>
        <v>2991.8299999999899</v>
      </c>
      <c r="M29" s="77">
        <v>-1.6</v>
      </c>
      <c r="N29" s="77"/>
      <c r="O29" s="77"/>
      <c r="P29" s="71"/>
      <c r="Q29" s="77"/>
      <c r="R29" s="7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 spans="1:80" s="70" customFormat="1" x14ac:dyDescent="0.2">
      <c r="A30" s="229" t="s">
        <v>129</v>
      </c>
      <c r="B30" s="199">
        <v>72317</v>
      </c>
      <c r="C30" s="70" t="s">
        <v>1110</v>
      </c>
      <c r="D30" s="193" t="s">
        <v>1195</v>
      </c>
      <c r="E30" s="70" t="s">
        <v>123</v>
      </c>
      <c r="F30" s="70">
        <v>-22.5</v>
      </c>
      <c r="G30" s="70">
        <v>2877.8</v>
      </c>
      <c r="H30" s="197">
        <f t="shared" si="0"/>
        <v>2855.3</v>
      </c>
      <c r="I30" s="234">
        <f>IF("generated"=1, "Path=Track_10_3, Scaled Offset=2855.3000000000001818989403545856476", 2855.3)</f>
        <v>2855.3</v>
      </c>
      <c r="L30" s="70">
        <v>1</v>
      </c>
      <c r="M30" s="77">
        <v>-1.6</v>
      </c>
      <c r="N30" s="77"/>
      <c r="O30" s="77"/>
      <c r="P30" s="71"/>
      <c r="Q30" s="77"/>
      <c r="R30" s="7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 spans="1:80" s="70" customFormat="1" x14ac:dyDescent="0.2">
      <c r="A31" s="229" t="s">
        <v>129</v>
      </c>
      <c r="B31" s="199">
        <v>72318</v>
      </c>
      <c r="C31" s="70" t="s">
        <v>1111</v>
      </c>
      <c r="D31" s="193" t="s">
        <v>1195</v>
      </c>
      <c r="E31" s="70" t="s">
        <v>123</v>
      </c>
      <c r="F31" s="70">
        <v>-22.5</v>
      </c>
      <c r="G31" s="70">
        <v>2855.6000000000004</v>
      </c>
      <c r="H31" s="197">
        <f t="shared" si="0"/>
        <v>2833.1000000000004</v>
      </c>
      <c r="I31" s="234">
        <f>IF("generated"=1, "Path=Track_10_3, Scaled Offset=2833.1000000000003637978807091712952", 2833.1)</f>
        <v>2833.1</v>
      </c>
      <c r="L31" s="70">
        <v>1</v>
      </c>
      <c r="M31" s="77">
        <v>-1.6</v>
      </c>
      <c r="N31" s="77"/>
      <c r="O31" s="77"/>
      <c r="P31" s="71"/>
      <c r="Q31" s="77"/>
      <c r="R31" s="75" t="s">
        <v>1198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 spans="1:80" s="70" customFormat="1" x14ac:dyDescent="0.2">
      <c r="A32" s="229" t="s">
        <v>129</v>
      </c>
      <c r="B32" s="199">
        <v>72319</v>
      </c>
      <c r="C32" s="70" t="s">
        <v>1112</v>
      </c>
      <c r="D32" s="193" t="s">
        <v>1195</v>
      </c>
      <c r="E32" s="70" t="s">
        <v>87</v>
      </c>
      <c r="G32" s="70">
        <v>2935.7</v>
      </c>
      <c r="H32" s="197">
        <f t="shared" si="0"/>
        <v>2935.7</v>
      </c>
      <c r="I32" s="234">
        <f>IF("generated"=1, "Path=Track_20_3_Track_1, Scaled Offset=2935.6999999999998181010596454143524", 2935.69999999999)</f>
        <v>2935.6999999999898</v>
      </c>
      <c r="M32" s="77">
        <v>-1.6</v>
      </c>
      <c r="N32" s="77"/>
      <c r="O32" s="77"/>
      <c r="P32" s="71"/>
      <c r="Q32" s="77"/>
      <c r="R32" s="75" t="s">
        <v>1198</v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 spans="1:80" s="70" customFormat="1" x14ac:dyDescent="0.2">
      <c r="A33" s="229" t="s">
        <v>129</v>
      </c>
      <c r="B33" s="199">
        <v>72320</v>
      </c>
      <c r="C33" s="70" t="s">
        <v>1113</v>
      </c>
      <c r="D33" s="193" t="s">
        <v>1195</v>
      </c>
      <c r="E33" s="70" t="s">
        <v>87</v>
      </c>
      <c r="G33" s="70">
        <v>2913.5</v>
      </c>
      <c r="H33" s="197">
        <f t="shared" si="0"/>
        <v>2913.5</v>
      </c>
      <c r="I33" s="234">
        <f>IF("generated"=1, "Path=Track_20_3_Track_1, Scaled Offset=2913.5", 2913.5)</f>
        <v>2913.5</v>
      </c>
      <c r="M33" s="77">
        <v>-1.6</v>
      </c>
      <c r="N33" s="77"/>
      <c r="O33" s="77"/>
      <c r="P33" s="71"/>
      <c r="Q33" s="77"/>
      <c r="R33" s="7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 spans="1:80" s="70" customFormat="1" x14ac:dyDescent="0.2">
      <c r="A34" s="229" t="s">
        <v>129</v>
      </c>
      <c r="B34" s="199">
        <v>72321</v>
      </c>
      <c r="C34" s="70" t="s">
        <v>1114</v>
      </c>
      <c r="D34" s="193" t="s">
        <v>1195</v>
      </c>
      <c r="E34" s="70" t="s">
        <v>87</v>
      </c>
      <c r="F34" s="70">
        <v>-22.5</v>
      </c>
      <c r="G34" s="70">
        <v>2799.6</v>
      </c>
      <c r="H34" s="197">
        <f t="shared" si="0"/>
        <v>2777.1</v>
      </c>
      <c r="I34" s="234">
        <f>IF("generated"=1, "Path=Track_20_3_Track_1, Scaled Offset=2777.0999999999999090505298227071762", 2777.09999999999)</f>
        <v>2777.0999999999899</v>
      </c>
      <c r="L34" s="70">
        <v>1</v>
      </c>
      <c r="M34" s="77">
        <v>-1.6</v>
      </c>
      <c r="N34" s="77"/>
      <c r="O34" s="77"/>
      <c r="P34" s="71"/>
      <c r="Q34" s="77"/>
      <c r="R34" s="7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 spans="1:80" s="70" customFormat="1" x14ac:dyDescent="0.2">
      <c r="A35" s="229" t="s">
        <v>129</v>
      </c>
      <c r="B35" s="199">
        <v>72322</v>
      </c>
      <c r="C35" s="70" t="s">
        <v>1115</v>
      </c>
      <c r="D35" s="193" t="s">
        <v>1195</v>
      </c>
      <c r="E35" s="70" t="s">
        <v>87</v>
      </c>
      <c r="F35" s="70">
        <v>-22.5</v>
      </c>
      <c r="G35" s="70">
        <v>2777.4</v>
      </c>
      <c r="H35" s="197">
        <f t="shared" si="0"/>
        <v>2754.9</v>
      </c>
      <c r="I35" s="234">
        <f>IF("generated"=1, "Path=Track_20_3_Track_1, Scaled Offset=2754.9000000000000909494701772928238", 2754.9)</f>
        <v>2754.9</v>
      </c>
      <c r="L35" s="70">
        <v>1</v>
      </c>
      <c r="M35" s="77">
        <v>-1.6</v>
      </c>
      <c r="N35" s="77"/>
      <c r="O35" s="77"/>
      <c r="P35" s="71"/>
      <c r="Q35" s="77"/>
      <c r="R35" s="75" t="s">
        <v>1198</v>
      </c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 spans="1:80" s="70" customFormat="1" x14ac:dyDescent="0.2">
      <c r="A36" s="229" t="s">
        <v>129</v>
      </c>
      <c r="B36" s="199">
        <v>72323</v>
      </c>
      <c r="C36" s="70" t="s">
        <v>1116</v>
      </c>
      <c r="D36" s="193" t="s">
        <v>1195</v>
      </c>
      <c r="E36" s="70" t="s">
        <v>123</v>
      </c>
      <c r="G36" s="70">
        <v>4058.1</v>
      </c>
      <c r="H36" s="197">
        <f t="shared" si="0"/>
        <v>4058.1</v>
      </c>
      <c r="I36" s="234">
        <f>IF("generated"=1, "Path=Track_10_3, Scaled Offset=4058.0999999999999090505298227071762", 4058.09999999999)</f>
        <v>4058.0999999999899</v>
      </c>
      <c r="M36" s="77">
        <v>-1.6</v>
      </c>
      <c r="N36" s="77"/>
      <c r="O36" s="77"/>
      <c r="P36" s="71"/>
      <c r="Q36" s="77"/>
      <c r="R36" s="75" t="s">
        <v>1198</v>
      </c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 spans="1:80" s="70" customFormat="1" x14ac:dyDescent="0.2">
      <c r="A37" s="229" t="s">
        <v>129</v>
      </c>
      <c r="B37" s="199">
        <v>72324</v>
      </c>
      <c r="C37" s="70" t="s">
        <v>1117</v>
      </c>
      <c r="D37" s="193" t="s">
        <v>1195</v>
      </c>
      <c r="E37" s="70" t="s">
        <v>123</v>
      </c>
      <c r="G37" s="70">
        <v>4035.9</v>
      </c>
      <c r="H37" s="197">
        <f t="shared" si="0"/>
        <v>4035.9</v>
      </c>
      <c r="I37" s="234">
        <f>IF("generated"=1, "Path=Track_10_3, Scaled Offset=4035.9000000000000909494701772928238", 4035.9)</f>
        <v>4035.9</v>
      </c>
      <c r="M37" s="77">
        <v>-1.6</v>
      </c>
      <c r="N37" s="77"/>
      <c r="O37" s="77"/>
      <c r="P37" s="71"/>
      <c r="Q37" s="77"/>
      <c r="R37" s="75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 spans="1:80" s="70" customFormat="1" x14ac:dyDescent="0.2">
      <c r="A38" s="229" t="s">
        <v>129</v>
      </c>
      <c r="B38" s="199">
        <v>72325</v>
      </c>
      <c r="C38" s="70" t="s">
        <v>1118</v>
      </c>
      <c r="D38" s="193" t="s">
        <v>1195</v>
      </c>
      <c r="E38" s="70" t="s">
        <v>123</v>
      </c>
      <c r="F38" s="70">
        <v>-22.5</v>
      </c>
      <c r="G38" s="70">
        <v>3921.88</v>
      </c>
      <c r="H38" s="197">
        <f t="shared" si="0"/>
        <v>3899.38</v>
      </c>
      <c r="I38" s="234">
        <f>IF("generated"=1, "Path=Track_10_3, Scaled Offset=3899.3800000000001091393642127513885", 3899.38)</f>
        <v>3899.38</v>
      </c>
      <c r="L38" s="70">
        <v>1</v>
      </c>
      <c r="M38" s="77">
        <v>-1.6</v>
      </c>
      <c r="N38" s="77"/>
      <c r="O38" s="77"/>
      <c r="P38" s="71"/>
      <c r="Q38" s="77"/>
      <c r="R38" s="75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 spans="1:80" s="70" customFormat="1" x14ac:dyDescent="0.2">
      <c r="A39" s="229" t="s">
        <v>129</v>
      </c>
      <c r="B39" s="199">
        <v>72326</v>
      </c>
      <c r="C39" s="70" t="s">
        <v>1119</v>
      </c>
      <c r="D39" s="193" t="s">
        <v>1195</v>
      </c>
      <c r="E39" s="70" t="s">
        <v>123</v>
      </c>
      <c r="F39" s="70">
        <v>-22.5</v>
      </c>
      <c r="G39" s="70">
        <v>3899.6800000000003</v>
      </c>
      <c r="H39" s="197">
        <f t="shared" si="0"/>
        <v>3877.1800000000003</v>
      </c>
      <c r="I39" s="234">
        <f>IF("generated"=1, "Path=Track_10_3, Scaled Offset=3877.1800000000002910383045673370361", 3877.18)</f>
        <v>3877.18</v>
      </c>
      <c r="L39" s="70">
        <v>1</v>
      </c>
      <c r="M39" s="77">
        <v>-1.6</v>
      </c>
      <c r="N39" s="77"/>
      <c r="O39" s="77"/>
      <c r="P39" s="71"/>
      <c r="Q39" s="77"/>
      <c r="R39" s="75" t="s">
        <v>1198</v>
      </c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 spans="1:80" s="70" customFormat="1" x14ac:dyDescent="0.2">
      <c r="A40" s="229" t="s">
        <v>129</v>
      </c>
      <c r="B40" s="199">
        <v>72327</v>
      </c>
      <c r="C40" s="70" t="s">
        <v>1120</v>
      </c>
      <c r="D40" s="193" t="s">
        <v>1195</v>
      </c>
      <c r="E40" s="70" t="s">
        <v>87</v>
      </c>
      <c r="G40" s="70">
        <v>3980.9199999999996</v>
      </c>
      <c r="H40" s="197">
        <f t="shared" si="0"/>
        <v>3980.9199999999996</v>
      </c>
      <c r="I40" s="234">
        <f>IF("generated"=1, "Path=Track_20_3_Track_1, Scaled Offset=3980.9199999999996180122252553701401", 3980.91999999999)</f>
        <v>3980.9199999999901</v>
      </c>
      <c r="M40" s="77">
        <v>-1.6</v>
      </c>
      <c r="N40" s="77"/>
      <c r="O40" s="77"/>
      <c r="P40" s="71"/>
      <c r="Q40" s="77"/>
      <c r="R40" s="75" t="s">
        <v>1198</v>
      </c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 spans="1:80" s="70" customFormat="1" x14ac:dyDescent="0.2">
      <c r="A41" s="229" t="s">
        <v>129</v>
      </c>
      <c r="B41" s="199">
        <v>72328</v>
      </c>
      <c r="C41" s="70" t="s">
        <v>1121</v>
      </c>
      <c r="D41" s="193" t="s">
        <v>1195</v>
      </c>
      <c r="E41" s="70" t="s">
        <v>87</v>
      </c>
      <c r="G41" s="70">
        <v>3958.72</v>
      </c>
      <c r="H41" s="197">
        <f t="shared" si="0"/>
        <v>3958.72</v>
      </c>
      <c r="I41" s="234">
        <f>IF("generated"=1, "Path=Track_20_3_Track_1, Scaled Offset=3958.7199999999997999111656099557877", 3958.71999999999)</f>
        <v>3958.7199999999898</v>
      </c>
      <c r="M41" s="77">
        <v>-1.6</v>
      </c>
      <c r="N41" s="77"/>
      <c r="O41" s="77"/>
      <c r="P41" s="71"/>
      <c r="Q41" s="77"/>
      <c r="R41" s="75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 spans="1:80" s="70" customFormat="1" x14ac:dyDescent="0.2">
      <c r="A42" s="229" t="s">
        <v>129</v>
      </c>
      <c r="B42" s="199">
        <v>72329</v>
      </c>
      <c r="C42" s="70" t="s">
        <v>1122</v>
      </c>
      <c r="D42" s="193" t="s">
        <v>1195</v>
      </c>
      <c r="E42" s="70" t="s">
        <v>87</v>
      </c>
      <c r="F42" s="70">
        <v>-22.5</v>
      </c>
      <c r="G42" s="70">
        <v>3844.7</v>
      </c>
      <c r="H42" s="197">
        <f t="shared" si="0"/>
        <v>3822.2</v>
      </c>
      <c r="I42" s="234">
        <f>IF("generated"=1, "Path=Track_20_3_Track_1, Scaled Offset=3822.1999999999998181010596454143524", 3822.19999999999)</f>
        <v>3822.1999999999898</v>
      </c>
      <c r="L42" s="70">
        <v>1</v>
      </c>
      <c r="M42" s="77">
        <v>-1.6</v>
      </c>
      <c r="N42" s="77"/>
      <c r="O42" s="77"/>
      <c r="P42" s="71"/>
      <c r="Q42" s="77"/>
      <c r="R42" s="75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 spans="1:80" s="70" customFormat="1" x14ac:dyDescent="0.2">
      <c r="A43" s="229" t="s">
        <v>129</v>
      </c>
      <c r="B43" s="199">
        <v>72330</v>
      </c>
      <c r="C43" s="70" t="s">
        <v>1123</v>
      </c>
      <c r="D43" s="193" t="s">
        <v>1195</v>
      </c>
      <c r="E43" s="70" t="s">
        <v>87</v>
      </c>
      <c r="F43" s="70">
        <v>-22.5</v>
      </c>
      <c r="G43" s="70">
        <v>3822.5</v>
      </c>
      <c r="H43" s="197">
        <f t="shared" si="0"/>
        <v>3800</v>
      </c>
      <c r="I43" s="234">
        <f>IF("generated"=1, "Path=Track_20_3_Track_1, Scaled Offset=3800", 3800)</f>
        <v>3800</v>
      </c>
      <c r="L43" s="70">
        <v>1</v>
      </c>
      <c r="M43" s="77">
        <v>-1.6</v>
      </c>
      <c r="N43" s="77"/>
      <c r="O43" s="77"/>
      <c r="P43" s="71"/>
      <c r="Q43" s="77"/>
      <c r="R43" s="75" t="s">
        <v>1198</v>
      </c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 spans="1:80" s="70" customFormat="1" x14ac:dyDescent="0.2">
      <c r="A44" s="229" t="s">
        <v>129</v>
      </c>
      <c r="B44" s="154">
        <v>72331</v>
      </c>
      <c r="C44" s="70" t="s">
        <v>1124</v>
      </c>
      <c r="D44" s="193" t="s">
        <v>1195</v>
      </c>
      <c r="E44" s="70" t="s">
        <v>124</v>
      </c>
      <c r="G44" s="152">
        <v>216.25</v>
      </c>
      <c r="H44" s="197">
        <f t="shared" si="0"/>
        <v>216.25</v>
      </c>
      <c r="I44" s="235">
        <f>IF("generated"=1, "Path=Track_10_4, Scaled Offset=216.25", 216.25)</f>
        <v>216.25</v>
      </c>
      <c r="K44" s="76"/>
      <c r="L44" s="76"/>
      <c r="M44" s="77">
        <v>-1.6</v>
      </c>
      <c r="N44" s="77"/>
      <c r="O44" s="77"/>
      <c r="P44" s="71"/>
      <c r="Q44" s="77"/>
      <c r="R44" s="75" t="s">
        <v>1198</v>
      </c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 spans="1:80" s="70" customFormat="1" x14ac:dyDescent="0.2">
      <c r="A45" s="229" t="s">
        <v>129</v>
      </c>
      <c r="B45" s="154">
        <v>72332</v>
      </c>
      <c r="C45" s="70" t="s">
        <v>1125</v>
      </c>
      <c r="D45" s="193" t="s">
        <v>1195</v>
      </c>
      <c r="E45" s="70" t="s">
        <v>124</v>
      </c>
      <c r="G45" s="152">
        <v>194.05</v>
      </c>
      <c r="H45" s="197">
        <f t="shared" si="0"/>
        <v>194.05</v>
      </c>
      <c r="I45" s="235">
        <f>IF("generated"=1, "Path=Track_10_4, Scaled Offset=194.05000000000001136868377216160297", 194.05)</f>
        <v>194.05</v>
      </c>
      <c r="K45" s="76"/>
      <c r="L45" s="76"/>
      <c r="M45" s="77">
        <v>-1.6</v>
      </c>
      <c r="N45" s="77"/>
      <c r="O45" s="77"/>
      <c r="P45" s="71"/>
      <c r="Q45" s="77"/>
      <c r="R45" s="75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 spans="1:80" s="70" customFormat="1" x14ac:dyDescent="0.2">
      <c r="A46" s="229" t="s">
        <v>129</v>
      </c>
      <c r="B46" s="154">
        <v>72333</v>
      </c>
      <c r="C46" s="70" t="s">
        <v>1126</v>
      </c>
      <c r="D46" s="193" t="s">
        <v>1195</v>
      </c>
      <c r="E46" s="70" t="s">
        <v>124</v>
      </c>
      <c r="F46" s="70">
        <v>-22.5</v>
      </c>
      <c r="G46" s="152">
        <v>79.98</v>
      </c>
      <c r="H46" s="197">
        <f t="shared" si="0"/>
        <v>57.480000000000004</v>
      </c>
      <c r="I46" s="235">
        <f>IF("generated"=1, "Path=Track_10_4, Scaled Offset=57.480000000000003979039320256561041", 57.48)</f>
        <v>57.48</v>
      </c>
      <c r="K46" s="76"/>
      <c r="L46" s="76">
        <v>1</v>
      </c>
      <c r="M46" s="77">
        <v>-1.6</v>
      </c>
      <c r="N46" s="77"/>
      <c r="O46" s="77"/>
      <c r="P46" s="71"/>
      <c r="Q46" s="77"/>
      <c r="R46" s="75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 spans="1:80" s="70" customFormat="1" x14ac:dyDescent="0.2">
      <c r="A47" s="229" t="s">
        <v>129</v>
      </c>
      <c r="B47" s="154">
        <v>72334</v>
      </c>
      <c r="C47" s="70" t="s">
        <v>1127</v>
      </c>
      <c r="D47" s="193" t="s">
        <v>1195</v>
      </c>
      <c r="E47" s="70" t="s">
        <v>124</v>
      </c>
      <c r="F47" s="70">
        <v>-22.5</v>
      </c>
      <c r="G47" s="152">
        <v>57.78</v>
      </c>
      <c r="H47" s="197">
        <f t="shared" si="0"/>
        <v>35.28</v>
      </c>
      <c r="I47" s="235">
        <f>IF("generated"=1, "Path=Track_10_4, Scaled Offset=35.280000000000001136868377216160297", 35.28)</f>
        <v>35.28</v>
      </c>
      <c r="K47" s="76"/>
      <c r="L47" s="76">
        <v>1</v>
      </c>
      <c r="M47" s="77">
        <v>-1.6</v>
      </c>
      <c r="N47" s="77"/>
      <c r="O47" s="77"/>
      <c r="P47" s="71"/>
      <c r="Q47" s="77"/>
      <c r="R47" s="75" t="s">
        <v>1198</v>
      </c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  <row r="48" spans="1:80" s="70" customFormat="1" x14ac:dyDescent="0.2">
      <c r="A48" s="229" t="s">
        <v>129</v>
      </c>
      <c r="B48" s="154">
        <v>72335</v>
      </c>
      <c r="C48" s="70" t="s">
        <v>1128</v>
      </c>
      <c r="D48" s="193" t="s">
        <v>1195</v>
      </c>
      <c r="E48" s="70" t="s">
        <v>89</v>
      </c>
      <c r="G48" s="152">
        <v>293.3</v>
      </c>
      <c r="H48" s="197">
        <f t="shared" si="0"/>
        <v>293.3</v>
      </c>
      <c r="I48" s="235">
        <f>IF("generated"=1, "Path=Track_20_4_Track_3, Scaled Offset=293.30000000000001136868377216160297", 293.3)</f>
        <v>293.3</v>
      </c>
      <c r="K48" s="76"/>
      <c r="L48" s="76"/>
      <c r="M48" s="77">
        <v>-1.6</v>
      </c>
      <c r="N48" s="77"/>
      <c r="O48" s="77"/>
      <c r="P48" s="71"/>
      <c r="Q48" s="77"/>
      <c r="R48" s="75" t="s">
        <v>1198</v>
      </c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</row>
    <row r="49" spans="1:80" s="70" customFormat="1" x14ac:dyDescent="0.2">
      <c r="A49" s="229" t="s">
        <v>129</v>
      </c>
      <c r="B49" s="154">
        <v>72336</v>
      </c>
      <c r="C49" s="70" t="s">
        <v>1129</v>
      </c>
      <c r="D49" s="193" t="s">
        <v>1195</v>
      </c>
      <c r="E49" s="70" t="s">
        <v>89</v>
      </c>
      <c r="G49" s="152">
        <v>271.10000000000002</v>
      </c>
      <c r="H49" s="197">
        <f t="shared" si="0"/>
        <v>271.10000000000002</v>
      </c>
      <c r="I49" s="235">
        <f>IF("generated"=1, "Path=Track_20_4_Track_3, Scaled Offset=271.10000000000002273736754432320595", 271.1)</f>
        <v>271.10000000000002</v>
      </c>
      <c r="K49" s="76"/>
      <c r="L49" s="76"/>
      <c r="M49" s="77">
        <v>-1.6</v>
      </c>
      <c r="N49" s="77"/>
      <c r="O49" s="77"/>
      <c r="P49" s="71"/>
      <c r="Q49" s="77"/>
      <c r="R49" s="75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</row>
    <row r="50" spans="1:80" s="70" customFormat="1" x14ac:dyDescent="0.2">
      <c r="A50" s="229" t="s">
        <v>129</v>
      </c>
      <c r="B50" s="154">
        <v>72337</v>
      </c>
      <c r="C50" s="70" t="s">
        <v>1130</v>
      </c>
      <c r="D50" s="193" t="s">
        <v>1195</v>
      </c>
      <c r="E50" s="70" t="s">
        <v>89</v>
      </c>
      <c r="F50" s="70">
        <v>-22.5</v>
      </c>
      <c r="G50" s="152">
        <v>157.08000000000001</v>
      </c>
      <c r="H50" s="197">
        <f t="shared" si="0"/>
        <v>134.58000000000001</v>
      </c>
      <c r="I50" s="235">
        <f>IF("generated"=1, "Path=Track_20_4_Track_3, Scaled Offset=134.58000000000001250555214937776327", 134.58)</f>
        <v>134.58000000000001</v>
      </c>
      <c r="K50" s="76"/>
      <c r="L50" s="76">
        <v>1</v>
      </c>
      <c r="M50" s="77">
        <v>-1.6</v>
      </c>
      <c r="N50" s="77"/>
      <c r="O50" s="77"/>
      <c r="P50" s="71"/>
      <c r="Q50" s="77"/>
      <c r="R50" s="75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</row>
    <row r="51" spans="1:80" s="70" customFormat="1" x14ac:dyDescent="0.2">
      <c r="A51" s="229" t="s">
        <v>129</v>
      </c>
      <c r="B51" s="154">
        <v>72338</v>
      </c>
      <c r="C51" s="70" t="s">
        <v>1131</v>
      </c>
      <c r="D51" s="193" t="s">
        <v>1195</v>
      </c>
      <c r="E51" s="70" t="s">
        <v>89</v>
      </c>
      <c r="F51" s="70">
        <v>-22.5</v>
      </c>
      <c r="G51" s="152">
        <v>134.88000000000002</v>
      </c>
      <c r="H51" s="197">
        <f t="shared" si="0"/>
        <v>112.38000000000002</v>
      </c>
      <c r="I51" s="235">
        <f>IF("generated"=1, "Path=Track_20_4_Track_3, Scaled Offset=112.38000000000002387423592153936625", 112.38)</f>
        <v>112.38</v>
      </c>
      <c r="K51" s="76"/>
      <c r="L51" s="76">
        <v>1</v>
      </c>
      <c r="M51" s="77">
        <v>-1.6</v>
      </c>
      <c r="N51" s="77"/>
      <c r="O51" s="77"/>
      <c r="P51" s="71"/>
      <c r="Q51" s="77"/>
      <c r="R51" s="75" t="s">
        <v>1198</v>
      </c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</row>
    <row r="52" spans="1:80" s="70" customFormat="1" x14ac:dyDescent="0.2">
      <c r="A52" s="229" t="s">
        <v>129</v>
      </c>
      <c r="B52" s="154">
        <v>72339</v>
      </c>
      <c r="C52" s="70" t="s">
        <v>1132</v>
      </c>
      <c r="D52" s="193" t="s">
        <v>1195</v>
      </c>
      <c r="E52" s="70" t="s">
        <v>125</v>
      </c>
      <c r="F52" s="70">
        <v>-22.5</v>
      </c>
      <c r="G52" s="152">
        <v>966.91</v>
      </c>
      <c r="H52" s="197">
        <f t="shared" si="0"/>
        <v>944.41</v>
      </c>
      <c r="I52" s="235">
        <f>IF("generated"=1, "Path=Track_10_5, Scaled Offset=944.40999999999996816768543794751167", 944.409999999999)</f>
        <v>944.40999999999894</v>
      </c>
      <c r="K52" s="76"/>
      <c r="L52" s="76">
        <v>1</v>
      </c>
      <c r="M52" s="77">
        <v>-1.6</v>
      </c>
      <c r="N52" s="77"/>
      <c r="O52" s="77"/>
      <c r="P52" s="71"/>
      <c r="Q52" s="77"/>
      <c r="R52" s="75" t="s">
        <v>1198</v>
      </c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</row>
    <row r="53" spans="1:80" s="70" customFormat="1" x14ac:dyDescent="0.2">
      <c r="A53" s="229" t="s">
        <v>129</v>
      </c>
      <c r="B53" s="154">
        <v>72340</v>
      </c>
      <c r="C53" s="70" t="s">
        <v>1133</v>
      </c>
      <c r="D53" s="193" t="s">
        <v>1195</v>
      </c>
      <c r="E53" s="70" t="s">
        <v>125</v>
      </c>
      <c r="F53" s="70">
        <v>-22.5</v>
      </c>
      <c r="G53" s="152">
        <v>989.11</v>
      </c>
      <c r="H53" s="197">
        <f t="shared" si="0"/>
        <v>966.61</v>
      </c>
      <c r="I53" s="235">
        <f>IF("generated"=1, "Path=Track_10_5, Scaled Offset=966.61000000000001364242052659392357", 966.61)</f>
        <v>966.61</v>
      </c>
      <c r="K53" s="76"/>
      <c r="L53" s="76">
        <v>1</v>
      </c>
      <c r="M53" s="77">
        <v>-1.6</v>
      </c>
      <c r="N53" s="77"/>
      <c r="O53" s="77"/>
      <c r="P53" s="71"/>
      <c r="Q53" s="77"/>
      <c r="R53" s="75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</row>
    <row r="54" spans="1:80" s="70" customFormat="1" x14ac:dyDescent="0.2">
      <c r="A54" s="229" t="s">
        <v>129</v>
      </c>
      <c r="B54" s="154">
        <v>72341</v>
      </c>
      <c r="C54" s="70" t="s">
        <v>1134</v>
      </c>
      <c r="D54" s="193" t="s">
        <v>1195</v>
      </c>
      <c r="E54" s="70" t="s">
        <v>125</v>
      </c>
      <c r="G54" s="152">
        <v>1103.2</v>
      </c>
      <c r="H54" s="197">
        <f t="shared" si="0"/>
        <v>1103.2</v>
      </c>
      <c r="I54" s="235">
        <f>IF("generated"=1, "Path=Track_10_5, Scaled Offset=1103.2000000000000454747350886464119", 1103.2)</f>
        <v>1103.2</v>
      </c>
      <c r="K54" s="76"/>
      <c r="L54" s="76"/>
      <c r="M54" s="77">
        <v>-1.6</v>
      </c>
      <c r="N54" s="77"/>
      <c r="O54" s="77"/>
      <c r="P54" s="71"/>
      <c r="Q54" s="77"/>
      <c r="R54" s="75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</row>
    <row r="55" spans="1:80" s="70" customFormat="1" x14ac:dyDescent="0.2">
      <c r="A55" s="229" t="s">
        <v>129</v>
      </c>
      <c r="B55" s="154">
        <v>72342</v>
      </c>
      <c r="C55" s="70" t="s">
        <v>1135</v>
      </c>
      <c r="D55" s="193" t="s">
        <v>1195</v>
      </c>
      <c r="E55" s="70" t="s">
        <v>125</v>
      </c>
      <c r="G55" s="152">
        <v>1125.4000000000001</v>
      </c>
      <c r="H55" s="197">
        <f t="shared" si="0"/>
        <v>1125.4000000000001</v>
      </c>
      <c r="I55" s="235">
        <f>IF("generated"=1, "Path=Track_10_5, Scaled Offset=1125.4000000000000909494701772928238", 1125.4)</f>
        <v>1125.4000000000001</v>
      </c>
      <c r="K55" s="76"/>
      <c r="L55" s="76"/>
      <c r="M55" s="77">
        <v>-1.6</v>
      </c>
      <c r="N55" s="77"/>
      <c r="O55" s="77"/>
      <c r="P55" s="71"/>
      <c r="Q55" s="77"/>
      <c r="R55" s="75" t="s">
        <v>1198</v>
      </c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</row>
    <row r="56" spans="1:80" s="70" customFormat="1" x14ac:dyDescent="0.2">
      <c r="A56" s="229" t="s">
        <v>129</v>
      </c>
      <c r="B56" s="154">
        <v>72343</v>
      </c>
      <c r="C56" s="70" t="s">
        <v>1136</v>
      </c>
      <c r="D56" s="193" t="s">
        <v>1195</v>
      </c>
      <c r="E56" s="70" t="s">
        <v>91</v>
      </c>
      <c r="F56" s="70">
        <v>-22.5</v>
      </c>
      <c r="G56" s="152">
        <v>890.43</v>
      </c>
      <c r="H56" s="197">
        <f t="shared" si="0"/>
        <v>867.93</v>
      </c>
      <c r="I56" s="235">
        <f>IF("generated"=1, "Path=Track_20_5_Track_3, Scaled Offset=867.92999999999994997779140248894691", 867.929999999999)</f>
        <v>867.92999999999904</v>
      </c>
      <c r="K56" s="76"/>
      <c r="L56" s="76">
        <v>1</v>
      </c>
      <c r="M56" s="77">
        <v>-1.6</v>
      </c>
      <c r="N56" s="77"/>
      <c r="O56" s="77"/>
      <c r="P56" s="71"/>
      <c r="Q56" s="77"/>
      <c r="R56" s="75" t="s">
        <v>1198</v>
      </c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</row>
    <row r="57" spans="1:80" s="70" customFormat="1" x14ac:dyDescent="0.2">
      <c r="A57" s="229" t="s">
        <v>129</v>
      </c>
      <c r="B57" s="154">
        <v>72344</v>
      </c>
      <c r="C57" s="70" t="s">
        <v>1197</v>
      </c>
      <c r="D57" s="193" t="s">
        <v>1195</v>
      </c>
      <c r="E57" s="70" t="s">
        <v>91</v>
      </c>
      <c r="F57" s="70">
        <v>-22.5</v>
      </c>
      <c r="G57" s="152">
        <v>912.63</v>
      </c>
      <c r="H57" s="197">
        <f t="shared" si="0"/>
        <v>890.13</v>
      </c>
      <c r="I57" s="235">
        <f>IF("generated"=1, "Path=Track_20_5_Track_3, Scaled Offset=890.12999999999999545252649113535881", 890.129999999999)</f>
        <v>890.12999999999897</v>
      </c>
      <c r="K57" s="76"/>
      <c r="L57" s="76">
        <v>1</v>
      </c>
      <c r="M57" s="77">
        <v>-1.6</v>
      </c>
      <c r="N57" s="77"/>
      <c r="O57" s="77"/>
      <c r="P57" s="71"/>
      <c r="Q57" s="77"/>
      <c r="R57" s="75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</row>
    <row r="58" spans="1:80" s="70" customFormat="1" x14ac:dyDescent="0.2">
      <c r="A58" s="229" t="s">
        <v>129</v>
      </c>
      <c r="B58" s="154">
        <v>72345</v>
      </c>
      <c r="C58" s="70" t="s">
        <v>1137</v>
      </c>
      <c r="D58" s="193" t="s">
        <v>1195</v>
      </c>
      <c r="E58" s="70" t="s">
        <v>91</v>
      </c>
      <c r="G58" s="152">
        <v>1026.6500000000001</v>
      </c>
      <c r="H58" s="197">
        <f t="shared" si="0"/>
        <v>1026.6500000000001</v>
      </c>
      <c r="I58" s="235">
        <f>IF("generated"=1, "Path=Track_20_5_Track_3, Scaled Offset=1026.6500000000000909494701772928238", 1026.65)</f>
        <v>1026.6500000000001</v>
      </c>
      <c r="K58" s="76"/>
      <c r="L58" s="76"/>
      <c r="M58" s="77">
        <v>-1.6</v>
      </c>
      <c r="N58" s="77"/>
      <c r="O58" s="77"/>
      <c r="P58" s="71"/>
      <c r="Q58" s="77"/>
      <c r="R58" s="75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</row>
    <row r="59" spans="1:80" s="70" customFormat="1" x14ac:dyDescent="0.2">
      <c r="A59" s="229" t="s">
        <v>129</v>
      </c>
      <c r="B59" s="154">
        <v>72346</v>
      </c>
      <c r="C59" s="70" t="s">
        <v>1138</v>
      </c>
      <c r="D59" s="193" t="s">
        <v>1195</v>
      </c>
      <c r="E59" s="70" t="s">
        <v>91</v>
      </c>
      <c r="G59" s="152">
        <v>1048.8500000000001</v>
      </c>
      <c r="H59" s="197">
        <f t="shared" si="0"/>
        <v>1048.8500000000001</v>
      </c>
      <c r="I59" s="235">
        <f>IF("generated"=1, "Path=Track_20_5_Track_3, Scaled Offset=1048.8500000000001364242052659392357", 1048.85)</f>
        <v>1048.8499999999999</v>
      </c>
      <c r="K59" s="76"/>
      <c r="L59" s="76"/>
      <c r="M59" s="77">
        <v>-1.6</v>
      </c>
      <c r="N59" s="77"/>
      <c r="O59" s="77"/>
      <c r="P59" s="71"/>
      <c r="Q59" s="77"/>
      <c r="R59" s="75" t="s">
        <v>1198</v>
      </c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</row>
    <row r="60" spans="1:80" s="70" customFormat="1" x14ac:dyDescent="0.2">
      <c r="A60" s="229" t="s">
        <v>129</v>
      </c>
      <c r="B60" s="154">
        <v>72347</v>
      </c>
      <c r="C60" s="70" t="s">
        <v>1139</v>
      </c>
      <c r="D60" s="193" t="s">
        <v>1195</v>
      </c>
      <c r="E60" s="70" t="s">
        <v>126</v>
      </c>
      <c r="G60" s="152">
        <v>554.16000000000008</v>
      </c>
      <c r="H60" s="197">
        <f t="shared" si="0"/>
        <v>554.16000000000008</v>
      </c>
      <c r="I60" s="235">
        <f>IF("generated"=1, "Path=Track_10_Track_2, Scaled Offset=554.16000000000008185452315956354141", 554.16)</f>
        <v>554.16</v>
      </c>
      <c r="K60" s="76"/>
      <c r="L60" s="76"/>
      <c r="M60" s="77">
        <v>-1.6</v>
      </c>
      <c r="N60" s="77"/>
      <c r="O60" s="77"/>
      <c r="P60" s="71"/>
      <c r="Q60" s="77"/>
      <c r="R60" s="75" t="s">
        <v>1198</v>
      </c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</row>
    <row r="61" spans="1:80" s="70" customFormat="1" x14ac:dyDescent="0.2">
      <c r="A61" s="229" t="s">
        <v>129</v>
      </c>
      <c r="B61" s="154">
        <v>72348</v>
      </c>
      <c r="C61" s="70" t="s">
        <v>1140</v>
      </c>
      <c r="D61" s="193" t="s">
        <v>1195</v>
      </c>
      <c r="E61" s="70" t="s">
        <v>126</v>
      </c>
      <c r="G61" s="152">
        <v>531.96</v>
      </c>
      <c r="H61" s="197">
        <f t="shared" si="0"/>
        <v>531.96</v>
      </c>
      <c r="I61" s="235">
        <f>IF("generated"=1, "Path=Track_10_Track_2, Scaled Offset=531.96000000000003637978807091712952", 531.96)</f>
        <v>531.96</v>
      </c>
      <c r="K61" s="76"/>
      <c r="L61" s="76"/>
      <c r="M61" s="77">
        <v>-1.6</v>
      </c>
      <c r="N61" s="77"/>
      <c r="O61" s="77"/>
      <c r="P61" s="71"/>
      <c r="Q61" s="77"/>
      <c r="R61" s="75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</row>
    <row r="62" spans="1:80" s="70" customFormat="1" x14ac:dyDescent="0.2">
      <c r="A62" s="229" t="s">
        <v>129</v>
      </c>
      <c r="B62" s="154">
        <v>72349</v>
      </c>
      <c r="C62" s="70" t="s">
        <v>1141</v>
      </c>
      <c r="D62" s="193" t="s">
        <v>1195</v>
      </c>
      <c r="E62" s="70" t="s">
        <v>126</v>
      </c>
      <c r="F62" s="70">
        <v>-22.5</v>
      </c>
      <c r="G62" s="152">
        <v>417.98</v>
      </c>
      <c r="H62" s="197">
        <f t="shared" si="0"/>
        <v>395.48</v>
      </c>
      <c r="I62" s="235">
        <f>IF("generated"=1, "Path=Track_10_Track_2, Scaled Offset=395.48000000000001818989403545856476", 395.48)</f>
        <v>395.48</v>
      </c>
      <c r="K62" s="76"/>
      <c r="L62" s="76">
        <v>1</v>
      </c>
      <c r="M62" s="77">
        <v>-1.6</v>
      </c>
      <c r="N62" s="77"/>
      <c r="O62" s="77"/>
      <c r="P62" s="71"/>
      <c r="Q62" s="77"/>
      <c r="R62" s="75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</row>
    <row r="63" spans="1:80" s="70" customFormat="1" x14ac:dyDescent="0.2">
      <c r="A63" s="229" t="s">
        <v>129</v>
      </c>
      <c r="B63" s="154">
        <v>72350</v>
      </c>
      <c r="C63" s="70" t="s">
        <v>1142</v>
      </c>
      <c r="D63" s="193" t="s">
        <v>1195</v>
      </c>
      <c r="E63" s="70" t="s">
        <v>126</v>
      </c>
      <c r="F63" s="70">
        <v>-22.5</v>
      </c>
      <c r="G63" s="152">
        <v>395.78000000000003</v>
      </c>
      <c r="H63" s="197">
        <f t="shared" si="0"/>
        <v>373.28000000000003</v>
      </c>
      <c r="I63" s="235">
        <f>IF("generated"=1, "Path=Track_10_Track_2, Scaled Offset=373.28000000000002955857780762016773", 373.28)</f>
        <v>373.28</v>
      </c>
      <c r="K63" s="76"/>
      <c r="L63" s="76">
        <v>1</v>
      </c>
      <c r="M63" s="77">
        <v>-1.6</v>
      </c>
      <c r="N63" s="77"/>
      <c r="O63" s="77"/>
      <c r="P63" s="71"/>
      <c r="Q63" s="77"/>
      <c r="R63" s="75" t="s">
        <v>1198</v>
      </c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</row>
    <row r="64" spans="1:80" s="70" customFormat="1" x14ac:dyDescent="0.2">
      <c r="A64" s="229" t="s">
        <v>129</v>
      </c>
      <c r="B64" s="154">
        <v>72351</v>
      </c>
      <c r="C64" s="70" t="s">
        <v>1143</v>
      </c>
      <c r="D64" s="193" t="s">
        <v>1195</v>
      </c>
      <c r="E64" s="70" t="s">
        <v>92</v>
      </c>
      <c r="G64" s="152">
        <v>554.26</v>
      </c>
      <c r="H64" s="197">
        <f t="shared" si="0"/>
        <v>554.26</v>
      </c>
      <c r="I64" s="235">
        <f>IF("generated"=1, "Path=Track_20_Track_2, Scaled Offset=554.25999999999999090505298227071762", 554.259999999999)</f>
        <v>554.25999999999897</v>
      </c>
      <c r="K64" s="76"/>
      <c r="L64" s="76"/>
      <c r="M64" s="77">
        <v>-1.6</v>
      </c>
      <c r="N64" s="77"/>
      <c r="O64" s="77"/>
      <c r="P64" s="71"/>
      <c r="Q64" s="77"/>
      <c r="R64" s="75" t="s">
        <v>1198</v>
      </c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</row>
    <row r="65" spans="1:80" s="70" customFormat="1" x14ac:dyDescent="0.2">
      <c r="A65" s="229" t="s">
        <v>129</v>
      </c>
      <c r="B65" s="154">
        <v>72352</v>
      </c>
      <c r="C65" s="70" t="s">
        <v>1144</v>
      </c>
      <c r="D65" s="193" t="s">
        <v>1195</v>
      </c>
      <c r="E65" s="70" t="s">
        <v>92</v>
      </c>
      <c r="G65" s="152">
        <v>532.05999999999995</v>
      </c>
      <c r="H65" s="197">
        <f t="shared" si="0"/>
        <v>532.05999999999995</v>
      </c>
      <c r="I65" s="235">
        <f>IF("generated"=1, "Path=Track_20_Track_2, Scaled Offset=532.05999999999994543031789362430573", 532.059999999999)</f>
        <v>532.05999999999904</v>
      </c>
      <c r="K65" s="76"/>
      <c r="L65" s="76"/>
      <c r="M65" s="77">
        <v>-1.6</v>
      </c>
      <c r="N65" s="77"/>
      <c r="O65" s="77"/>
      <c r="P65" s="71"/>
      <c r="Q65" s="77"/>
      <c r="R65" s="75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</row>
    <row r="66" spans="1:80" s="70" customFormat="1" x14ac:dyDescent="0.2">
      <c r="A66" s="229" t="s">
        <v>129</v>
      </c>
      <c r="B66" s="154">
        <v>72353</v>
      </c>
      <c r="C66" s="70" t="s">
        <v>1145</v>
      </c>
      <c r="D66" s="193" t="s">
        <v>1195</v>
      </c>
      <c r="E66" s="70" t="s">
        <v>92</v>
      </c>
      <c r="F66" s="70">
        <v>-22.5</v>
      </c>
      <c r="G66" s="152">
        <v>418.06</v>
      </c>
      <c r="H66" s="197">
        <f t="shared" si="0"/>
        <v>395.56</v>
      </c>
      <c r="I66" s="235">
        <f>IF("generated"=1, "Path=Track_20_Track_2, Scaled Offset=395.56000000000000227373675443232059", 395.56)</f>
        <v>395.56</v>
      </c>
      <c r="K66" s="76"/>
      <c r="L66" s="76">
        <v>1</v>
      </c>
      <c r="M66" s="77">
        <v>-1.6</v>
      </c>
      <c r="N66" s="77"/>
      <c r="O66" s="77"/>
      <c r="P66" s="71"/>
      <c r="Q66" s="77"/>
      <c r="R66" s="75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</row>
    <row r="67" spans="1:80" s="70" customFormat="1" x14ac:dyDescent="0.2">
      <c r="A67" s="229" t="s">
        <v>129</v>
      </c>
      <c r="B67" s="154">
        <v>72354</v>
      </c>
      <c r="C67" s="70" t="s">
        <v>1146</v>
      </c>
      <c r="D67" s="193" t="s">
        <v>1195</v>
      </c>
      <c r="E67" s="70" t="s">
        <v>92</v>
      </c>
      <c r="F67" s="70">
        <v>-22.5</v>
      </c>
      <c r="G67" s="152">
        <v>395.86</v>
      </c>
      <c r="H67" s="197">
        <f t="shared" si="0"/>
        <v>373.36</v>
      </c>
      <c r="I67" s="235">
        <f>IF("generated"=1, "Path=Track_20_Track_2, Scaled Offset=373.36000000000001364242052659392357", 373.36)</f>
        <v>373.36</v>
      </c>
      <c r="K67" s="76"/>
      <c r="L67" s="76">
        <v>1</v>
      </c>
      <c r="M67" s="77">
        <v>-1.6</v>
      </c>
      <c r="N67" s="77"/>
      <c r="O67" s="77"/>
      <c r="P67" s="71"/>
      <c r="Q67" s="77"/>
      <c r="R67" s="75" t="s">
        <v>1198</v>
      </c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</row>
    <row r="68" spans="1:80" s="70" customFormat="1" x14ac:dyDescent="0.2">
      <c r="A68" s="229" t="s">
        <v>129</v>
      </c>
      <c r="B68" s="154">
        <v>72355</v>
      </c>
      <c r="C68" s="70" t="s">
        <v>1147</v>
      </c>
      <c r="D68" s="193" t="s">
        <v>1195</v>
      </c>
      <c r="E68" s="70" t="s">
        <v>126</v>
      </c>
      <c r="F68" s="70">
        <v>-22.5</v>
      </c>
      <c r="G68" s="152">
        <v>1653.48</v>
      </c>
      <c r="H68" s="197">
        <f t="shared" si="0"/>
        <v>1630.98</v>
      </c>
      <c r="I68" s="235">
        <f>IF("generated"=1, "Path=Track_10_Track_2, Scaled Offset=1630.9800000000000181898940354585648", 1630.98)</f>
        <v>1630.98</v>
      </c>
      <c r="K68" s="76"/>
      <c r="L68" s="76">
        <v>1</v>
      </c>
      <c r="M68" s="77">
        <v>-1.6</v>
      </c>
      <c r="N68" s="77"/>
      <c r="O68" s="77"/>
      <c r="P68" s="71"/>
      <c r="Q68" s="77"/>
      <c r="R68" s="75" t="s">
        <v>1198</v>
      </c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</row>
    <row r="69" spans="1:80" s="70" customFormat="1" x14ac:dyDescent="0.2">
      <c r="A69" s="229" t="s">
        <v>129</v>
      </c>
      <c r="B69" s="154">
        <v>72356</v>
      </c>
      <c r="C69" s="70" t="s">
        <v>1148</v>
      </c>
      <c r="D69" s="193" t="s">
        <v>1195</v>
      </c>
      <c r="E69" s="70" t="s">
        <v>126</v>
      </c>
      <c r="F69" s="70">
        <v>-22.5</v>
      </c>
      <c r="G69" s="152">
        <v>1675.68</v>
      </c>
      <c r="H69" s="197">
        <f t="shared" si="0"/>
        <v>1653.18</v>
      </c>
      <c r="I69" s="235">
        <f>IF("generated"=1, "Path=Track_10_Track_2, Scaled Offset=1653.1800000000000636646291241049767", 1653.18)</f>
        <v>1653.18</v>
      </c>
      <c r="K69" s="76"/>
      <c r="L69" s="76">
        <v>1</v>
      </c>
      <c r="M69" s="77">
        <v>-1.6</v>
      </c>
      <c r="N69" s="77"/>
      <c r="O69" s="77"/>
      <c r="P69" s="71"/>
      <c r="Q69" s="77"/>
      <c r="R69" s="75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</row>
    <row r="70" spans="1:80" s="70" customFormat="1" x14ac:dyDescent="0.2">
      <c r="A70" s="229" t="s">
        <v>129</v>
      </c>
      <c r="B70" s="154">
        <v>72357</v>
      </c>
      <c r="C70" s="70" t="s">
        <v>1149</v>
      </c>
      <c r="D70" s="193" t="s">
        <v>1195</v>
      </c>
      <c r="E70" s="70" t="s">
        <v>126</v>
      </c>
      <c r="G70" s="152">
        <v>1789.68</v>
      </c>
      <c r="H70" s="197">
        <f t="shared" si="0"/>
        <v>1789.68</v>
      </c>
      <c r="I70" s="235">
        <f>IF("generated"=1, "Path=Track_10_Track_2, Scaled Offset=1789.6800000000000636646291241049767", 1789.68)</f>
        <v>1789.68</v>
      </c>
      <c r="K70" s="76"/>
      <c r="L70" s="76"/>
      <c r="M70" s="77">
        <v>-1.6</v>
      </c>
      <c r="N70" s="77"/>
      <c r="O70" s="77"/>
      <c r="P70" s="71"/>
      <c r="Q70" s="77"/>
      <c r="R70" s="75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</row>
    <row r="71" spans="1:80" s="70" customFormat="1" x14ac:dyDescent="0.2">
      <c r="A71" s="229" t="s">
        <v>129</v>
      </c>
      <c r="B71" s="154">
        <v>72358</v>
      </c>
      <c r="C71" s="70" t="s">
        <v>1150</v>
      </c>
      <c r="D71" s="193" t="s">
        <v>1195</v>
      </c>
      <c r="E71" s="70" t="s">
        <v>126</v>
      </c>
      <c r="G71" s="152">
        <v>1811.88</v>
      </c>
      <c r="H71" s="197">
        <f t="shared" si="0"/>
        <v>1811.88</v>
      </c>
      <c r="I71" s="235">
        <f>IF("generated"=1, "Path=Track_10_Track_2, Scaled Offset=1811.8800000000001091393642127513885", 1811.88)</f>
        <v>1811.88</v>
      </c>
      <c r="K71" s="76"/>
      <c r="L71" s="76"/>
      <c r="M71" s="77">
        <v>-1.6</v>
      </c>
      <c r="N71" s="77"/>
      <c r="O71" s="77"/>
      <c r="P71" s="71"/>
      <c r="Q71" s="77"/>
      <c r="R71" s="75" t="s">
        <v>1198</v>
      </c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</row>
    <row r="72" spans="1:80" s="70" customFormat="1" x14ac:dyDescent="0.2">
      <c r="A72" s="229" t="s">
        <v>129</v>
      </c>
      <c r="B72" s="154">
        <v>72359</v>
      </c>
      <c r="C72" s="70" t="s">
        <v>1151</v>
      </c>
      <c r="D72" s="193" t="s">
        <v>1195</v>
      </c>
      <c r="E72" s="70" t="s">
        <v>92</v>
      </c>
      <c r="G72" s="152">
        <v>1811.13</v>
      </c>
      <c r="H72" s="197">
        <f t="shared" si="0"/>
        <v>1811.13</v>
      </c>
      <c r="I72" s="235">
        <f>IF("generated"=1, "Path=Track_20_Track_2, Scaled Offset=1811.1300000000001091393642127513885", 1811.13)</f>
        <v>1811.13</v>
      </c>
      <c r="K72" s="76"/>
      <c r="L72" s="76"/>
      <c r="M72" s="77">
        <v>-1.6</v>
      </c>
      <c r="N72" s="77"/>
      <c r="O72" s="77"/>
      <c r="P72" s="71"/>
      <c r="Q72" s="77"/>
      <c r="R72" s="75" t="s">
        <v>1198</v>
      </c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</row>
    <row r="73" spans="1:80" s="70" customFormat="1" x14ac:dyDescent="0.2">
      <c r="A73" s="229" t="s">
        <v>129</v>
      </c>
      <c r="B73" s="154">
        <v>72360</v>
      </c>
      <c r="C73" s="70" t="s">
        <v>1152</v>
      </c>
      <c r="D73" s="193" t="s">
        <v>1195</v>
      </c>
      <c r="E73" s="70" t="s">
        <v>92</v>
      </c>
      <c r="G73" s="152">
        <v>1788.93</v>
      </c>
      <c r="H73" s="197">
        <f t="shared" si="0"/>
        <v>1788.93</v>
      </c>
      <c r="I73" s="235">
        <f>IF("generated"=1, "Path=Track_20_Track_2, Scaled Offset=1788.9300000000000636646291241049767", 1788.93)</f>
        <v>1788.93</v>
      </c>
      <c r="K73" s="76"/>
      <c r="L73" s="76"/>
      <c r="M73" s="77">
        <v>-1.6</v>
      </c>
      <c r="N73" s="77"/>
      <c r="O73" s="77"/>
      <c r="P73" s="71"/>
      <c r="Q73" s="77"/>
      <c r="R73" s="75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</row>
    <row r="74" spans="1:80" s="70" customFormat="1" x14ac:dyDescent="0.2">
      <c r="A74" s="229" t="s">
        <v>129</v>
      </c>
      <c r="B74" s="154">
        <v>72361</v>
      </c>
      <c r="C74" s="70" t="s">
        <v>1153</v>
      </c>
      <c r="D74" s="193" t="s">
        <v>1195</v>
      </c>
      <c r="E74" s="70" t="s">
        <v>92</v>
      </c>
      <c r="F74" s="70">
        <v>-22.5</v>
      </c>
      <c r="G74" s="152">
        <v>1674.76</v>
      </c>
      <c r="H74" s="197">
        <f t="shared" si="0"/>
        <v>1652.26</v>
      </c>
      <c r="I74" s="235">
        <f>IF("generated"=1, "Path=Track_20_Track_2, Scaled Offset=1652.2599999999999909050529822707176", 1652.25999999999)</f>
        <v>1652.25999999999</v>
      </c>
      <c r="K74" s="76"/>
      <c r="L74" s="76">
        <v>1</v>
      </c>
      <c r="M74" s="77">
        <v>-1.5</v>
      </c>
      <c r="N74" s="77"/>
      <c r="O74" s="77"/>
      <c r="P74" s="71"/>
      <c r="Q74" s="77"/>
      <c r="R74" s="75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</row>
    <row r="75" spans="1:80" s="70" customFormat="1" x14ac:dyDescent="0.2">
      <c r="A75" s="229" t="s">
        <v>129</v>
      </c>
      <c r="B75" s="154">
        <v>72362</v>
      </c>
      <c r="C75" s="70" t="s">
        <v>1154</v>
      </c>
      <c r="D75" s="193" t="s">
        <v>1195</v>
      </c>
      <c r="E75" s="70" t="s">
        <v>92</v>
      </c>
      <c r="F75" s="70">
        <v>-22.5</v>
      </c>
      <c r="G75" s="152">
        <v>1652.56</v>
      </c>
      <c r="H75" s="197">
        <f t="shared" si="0"/>
        <v>1630.06</v>
      </c>
      <c r="I75" s="235">
        <f>IF("generated"=1, "Path=Track_20_Track_2, Scaled Offset=1630.0599999999999454303178936243057", 1630.05999999999)</f>
        <v>1630.0599999999899</v>
      </c>
      <c r="K75" s="76"/>
      <c r="L75" s="76">
        <v>1</v>
      </c>
      <c r="M75" s="77">
        <v>-1.6</v>
      </c>
      <c r="N75" s="77"/>
      <c r="O75" s="77"/>
      <c r="P75" s="71"/>
      <c r="Q75" s="77"/>
      <c r="R75" s="75" t="s">
        <v>1198</v>
      </c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</row>
    <row r="76" spans="1:80" s="70" customFormat="1" x14ac:dyDescent="0.2">
      <c r="A76" s="229" t="s">
        <v>129</v>
      </c>
      <c r="B76" s="154">
        <v>72363</v>
      </c>
      <c r="C76" s="70" t="s">
        <v>1155</v>
      </c>
      <c r="D76" s="193" t="s">
        <v>1195</v>
      </c>
      <c r="E76" s="70" t="s">
        <v>126</v>
      </c>
      <c r="F76" s="70">
        <v>-22.5</v>
      </c>
      <c r="G76" s="152">
        <v>2356.11</v>
      </c>
      <c r="H76" s="197">
        <f t="shared" ref="H76:H107" si="1">G76+F76</f>
        <v>2333.61</v>
      </c>
      <c r="I76" s="235">
        <f>IF("generated"=1, "Path=Track_10_Track_2, Scaled Offset=2333.6100000000001273292582482099533", 2333.61)</f>
        <v>2333.61</v>
      </c>
      <c r="K76" s="76"/>
      <c r="L76" s="76">
        <v>1</v>
      </c>
      <c r="M76" s="77">
        <v>-1.6</v>
      </c>
      <c r="N76" s="77"/>
      <c r="O76" s="77"/>
      <c r="P76" s="71"/>
      <c r="Q76" s="77"/>
      <c r="R76" s="75" t="s">
        <v>1198</v>
      </c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</row>
    <row r="77" spans="1:80" s="70" customFormat="1" x14ac:dyDescent="0.2">
      <c r="A77" s="229" t="s">
        <v>129</v>
      </c>
      <c r="B77" s="154">
        <v>72364</v>
      </c>
      <c r="C77" s="70" t="s">
        <v>1156</v>
      </c>
      <c r="D77" s="193" t="s">
        <v>1195</v>
      </c>
      <c r="E77" s="70" t="s">
        <v>126</v>
      </c>
      <c r="F77" s="70">
        <v>-22.5</v>
      </c>
      <c r="G77" s="152">
        <v>2378.31</v>
      </c>
      <c r="H77" s="197">
        <f t="shared" si="1"/>
        <v>2355.81</v>
      </c>
      <c r="I77" s="235">
        <f>IF("generated"=1, "Path=Track_10_Track_2, Scaled Offset=2355.8099999999999454303178936243057", 2355.80999999999)</f>
        <v>2355.8099999999899</v>
      </c>
      <c r="K77" s="76"/>
      <c r="L77" s="76">
        <v>1</v>
      </c>
      <c r="M77" s="77">
        <v>-1.6</v>
      </c>
      <c r="N77" s="77"/>
      <c r="O77" s="77"/>
      <c r="P77" s="71"/>
      <c r="Q77" s="77"/>
      <c r="R77" s="75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</row>
    <row r="78" spans="1:80" s="70" customFormat="1" x14ac:dyDescent="0.2">
      <c r="A78" s="229" t="s">
        <v>129</v>
      </c>
      <c r="B78" s="154">
        <v>72365</v>
      </c>
      <c r="C78" s="70" t="s">
        <v>1157</v>
      </c>
      <c r="D78" s="193" t="s">
        <v>1195</v>
      </c>
      <c r="E78" s="70" t="s">
        <v>126</v>
      </c>
      <c r="G78" s="152">
        <v>2492.46</v>
      </c>
      <c r="H78" s="197">
        <f t="shared" si="1"/>
        <v>2492.46</v>
      </c>
      <c r="I78" s="235">
        <f>IF("generated"=1, "Path=Track_10_Track_2, Scaled Offset=2492.4600000000000363797880709171295", 2492.46)</f>
        <v>2492.46</v>
      </c>
      <c r="K78" s="76"/>
      <c r="L78" s="76"/>
      <c r="M78" s="77">
        <v>-1.6</v>
      </c>
      <c r="N78" s="77"/>
      <c r="O78" s="77"/>
      <c r="P78" s="71"/>
      <c r="Q78" s="77"/>
      <c r="R78" s="75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</row>
    <row r="79" spans="1:80" s="70" customFormat="1" x14ac:dyDescent="0.2">
      <c r="A79" s="229" t="s">
        <v>129</v>
      </c>
      <c r="B79" s="154">
        <v>72366</v>
      </c>
      <c r="C79" s="70" t="s">
        <v>1158</v>
      </c>
      <c r="D79" s="193" t="s">
        <v>1195</v>
      </c>
      <c r="E79" s="70" t="s">
        <v>126</v>
      </c>
      <c r="G79" s="152">
        <v>2514.66</v>
      </c>
      <c r="H79" s="197">
        <f t="shared" si="1"/>
        <v>2514.66</v>
      </c>
      <c r="I79" s="235">
        <f>IF("generated"=1, "Path=Track_10_Track_2, Scaled Offset=2514.6599999999998544808477163314819", 2514.65999999999)</f>
        <v>2514.6599999999899</v>
      </c>
      <c r="K79" s="76"/>
      <c r="L79" s="76"/>
      <c r="M79" s="77">
        <v>-1.6</v>
      </c>
      <c r="N79" s="77"/>
      <c r="O79" s="77"/>
      <c r="P79" s="71"/>
      <c r="Q79" s="77"/>
      <c r="R79" s="75" t="s">
        <v>1198</v>
      </c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</row>
    <row r="80" spans="1:80" s="70" customFormat="1" x14ac:dyDescent="0.2">
      <c r="A80" s="229" t="s">
        <v>129</v>
      </c>
      <c r="B80" s="154">
        <v>72367</v>
      </c>
      <c r="C80" s="70" t="s">
        <v>1159</v>
      </c>
      <c r="D80" s="193" t="s">
        <v>1195</v>
      </c>
      <c r="E80" s="70" t="s">
        <v>92</v>
      </c>
      <c r="F80" s="70">
        <v>-22.5</v>
      </c>
      <c r="G80" s="152">
        <v>2352.5800000000004</v>
      </c>
      <c r="H80" s="197">
        <f t="shared" si="1"/>
        <v>2330.0800000000004</v>
      </c>
      <c r="I80" s="235">
        <f>IF("generated"=1, "Path=Track_20_Track_2, Scaled Offset=2330.0800000000003819877747446298599", 2330.08)</f>
        <v>2330.08</v>
      </c>
      <c r="K80" s="76"/>
      <c r="L80" s="76">
        <v>1</v>
      </c>
      <c r="M80" s="77">
        <v>-1.6</v>
      </c>
      <c r="N80" s="77"/>
      <c r="O80" s="77"/>
      <c r="P80" s="71"/>
      <c r="Q80" s="77"/>
      <c r="R80" s="75" t="s">
        <v>1198</v>
      </c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</row>
    <row r="81" spans="1:80" s="70" customFormat="1" x14ac:dyDescent="0.2">
      <c r="A81" s="229" t="s">
        <v>129</v>
      </c>
      <c r="B81" s="154">
        <v>72368</v>
      </c>
      <c r="C81" s="70" t="s">
        <v>1160</v>
      </c>
      <c r="D81" s="193" t="s">
        <v>1195</v>
      </c>
      <c r="E81" s="70" t="s">
        <v>92</v>
      </c>
      <c r="F81" s="70">
        <v>-22.5</v>
      </c>
      <c r="G81" s="152">
        <v>2374.7800000000002</v>
      </c>
      <c r="H81" s="197">
        <f t="shared" si="1"/>
        <v>2352.2800000000002</v>
      </c>
      <c r="I81" s="235">
        <f>IF("generated"=1, "Path=Track_20_Track_2, Scaled Offset=2352.2800000000002000888343900442123", 2352.28)</f>
        <v>2352.2800000000002</v>
      </c>
      <c r="K81" s="76"/>
      <c r="L81" s="76">
        <v>1</v>
      </c>
      <c r="M81" s="77">
        <v>-1.6</v>
      </c>
      <c r="N81" s="77"/>
      <c r="O81" s="77"/>
      <c r="P81" s="71"/>
      <c r="Q81" s="77"/>
      <c r="R81" s="75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</row>
    <row r="82" spans="1:80" s="70" customFormat="1" x14ac:dyDescent="0.2">
      <c r="A82" s="229" t="s">
        <v>129</v>
      </c>
      <c r="B82" s="154">
        <v>72369</v>
      </c>
      <c r="C82" s="70" t="s">
        <v>1161</v>
      </c>
      <c r="D82" s="193" t="s">
        <v>1195</v>
      </c>
      <c r="E82" s="70" t="s">
        <v>92</v>
      </c>
      <c r="G82" s="152">
        <v>2488.94</v>
      </c>
      <c r="H82" s="197">
        <f t="shared" si="1"/>
        <v>2488.94</v>
      </c>
      <c r="I82" s="235">
        <f>IF("generated"=1, "Path=Track_20_Track_2, Scaled Offset=2488.9400000000000545696821063756943", 2488.94)</f>
        <v>2488.94</v>
      </c>
      <c r="K82" s="76"/>
      <c r="L82" s="76"/>
      <c r="M82" s="77">
        <v>-1.6</v>
      </c>
      <c r="N82" s="77"/>
      <c r="O82" s="77"/>
      <c r="P82" s="71"/>
      <c r="Q82" s="77"/>
      <c r="R82" s="75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</row>
    <row r="83" spans="1:80" s="70" customFormat="1" x14ac:dyDescent="0.2">
      <c r="A83" s="229" t="s">
        <v>129</v>
      </c>
      <c r="B83" s="154">
        <v>72370</v>
      </c>
      <c r="C83" s="70" t="s">
        <v>1162</v>
      </c>
      <c r="D83" s="193" t="s">
        <v>1195</v>
      </c>
      <c r="E83" s="70" t="s">
        <v>92</v>
      </c>
      <c r="G83" s="152">
        <v>2511.14</v>
      </c>
      <c r="H83" s="197">
        <f t="shared" si="1"/>
        <v>2511.14</v>
      </c>
      <c r="I83" s="235">
        <f>IF("generated"=1, "Path=Track_20_Track_2, Scaled Offset=2511.1399999999998726707417517900467", 2511.13999999999)</f>
        <v>2511.1399999999899</v>
      </c>
      <c r="K83" s="76"/>
      <c r="L83" s="76"/>
      <c r="M83" s="77">
        <v>-1.6</v>
      </c>
      <c r="N83" s="77"/>
      <c r="O83" s="77"/>
      <c r="P83" s="71"/>
      <c r="Q83" s="77"/>
      <c r="R83" s="75" t="s">
        <v>1198</v>
      </c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</row>
    <row r="84" spans="1:80" s="70" customFormat="1" x14ac:dyDescent="0.2">
      <c r="A84" s="229" t="s">
        <v>129</v>
      </c>
      <c r="B84" s="154">
        <v>72371</v>
      </c>
      <c r="C84" s="70" t="s">
        <v>1163</v>
      </c>
      <c r="D84" s="193" t="s">
        <v>1195</v>
      </c>
      <c r="E84" s="70" t="s">
        <v>126</v>
      </c>
      <c r="G84" s="152">
        <v>4149.6399999999994</v>
      </c>
      <c r="H84" s="197">
        <f t="shared" si="1"/>
        <v>4149.6399999999994</v>
      </c>
      <c r="I84" s="235">
        <f>IF("generated"=1, "Path=Track_10_Track_2, Scaled Offset=4149.6399999999994179233908653259277", 4149.63999999999)</f>
        <v>4149.6399999999903</v>
      </c>
      <c r="K84" s="76"/>
      <c r="L84" s="76"/>
      <c r="M84" s="77">
        <v>-1.6</v>
      </c>
      <c r="N84" s="77"/>
      <c r="O84" s="77"/>
      <c r="P84" s="71"/>
      <c r="Q84" s="77"/>
      <c r="R84" s="75" t="s">
        <v>1198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</row>
    <row r="85" spans="1:80" s="70" customFormat="1" x14ac:dyDescent="0.2">
      <c r="A85" s="229" t="s">
        <v>129</v>
      </c>
      <c r="B85" s="154">
        <v>72372</v>
      </c>
      <c r="C85" s="70" t="s">
        <v>1164</v>
      </c>
      <c r="D85" s="193" t="s">
        <v>1195</v>
      </c>
      <c r="E85" s="70" t="s">
        <v>126</v>
      </c>
      <c r="G85" s="152">
        <v>4127.4399999999996</v>
      </c>
      <c r="H85" s="197">
        <f t="shared" si="1"/>
        <v>4127.4399999999996</v>
      </c>
      <c r="I85" s="235">
        <f>IF("generated"=1, "Path=Track_10_Track_2, Scaled Offset=4127.4399999999995998223312199115753", 4127.43999999999)</f>
        <v>4127.4399999999896</v>
      </c>
      <c r="K85" s="76"/>
      <c r="L85" s="76"/>
      <c r="M85" s="77">
        <v>-1.6</v>
      </c>
      <c r="N85" s="77"/>
      <c r="O85" s="77"/>
      <c r="P85" s="71"/>
      <c r="Q85" s="77"/>
      <c r="R85" s="75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</row>
    <row r="86" spans="1:80" s="70" customFormat="1" x14ac:dyDescent="0.2">
      <c r="A86" s="229" t="s">
        <v>129</v>
      </c>
      <c r="B86" s="154">
        <v>72373</v>
      </c>
      <c r="C86" s="70" t="s">
        <v>1165</v>
      </c>
      <c r="D86" s="193" t="s">
        <v>1195</v>
      </c>
      <c r="E86" s="70" t="s">
        <v>126</v>
      </c>
      <c r="F86" s="70">
        <v>-22.5</v>
      </c>
      <c r="G86" s="152">
        <v>4013.36</v>
      </c>
      <c r="H86" s="197">
        <f t="shared" si="1"/>
        <v>3990.86</v>
      </c>
      <c r="I86" s="235">
        <f>IF("generated"=1, "Path=Track_10_Track_2, Scaled Offset=3990.8600000000001273292582482099533", 3990.86)</f>
        <v>3990.86</v>
      </c>
      <c r="K86" s="76"/>
      <c r="L86" s="76">
        <v>1</v>
      </c>
      <c r="M86" s="77">
        <v>-1.6</v>
      </c>
      <c r="N86" s="77"/>
      <c r="O86" s="77"/>
      <c r="P86" s="71"/>
      <c r="Q86" s="77"/>
      <c r="R86" s="75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</row>
    <row r="87" spans="1:80" s="70" customFormat="1" x14ac:dyDescent="0.2">
      <c r="A87" s="229" t="s">
        <v>129</v>
      </c>
      <c r="B87" s="154">
        <v>72374</v>
      </c>
      <c r="C87" s="70" t="s">
        <v>1166</v>
      </c>
      <c r="D87" s="193" t="s">
        <v>1195</v>
      </c>
      <c r="E87" s="70" t="s">
        <v>126</v>
      </c>
      <c r="F87" s="70">
        <v>-22.5</v>
      </c>
      <c r="G87" s="152">
        <v>3991.1600000000003</v>
      </c>
      <c r="H87" s="197">
        <f t="shared" si="1"/>
        <v>3968.6600000000003</v>
      </c>
      <c r="I87" s="235">
        <f>IF("generated"=1, "Path=Track_10_Track_2, Scaled Offset=3968.6600000000003092281986027956009", 3968.66)</f>
        <v>3968.66</v>
      </c>
      <c r="K87" s="76"/>
      <c r="L87" s="76">
        <v>1</v>
      </c>
      <c r="M87" s="77">
        <v>-1.6</v>
      </c>
      <c r="N87" s="77"/>
      <c r="O87" s="77"/>
      <c r="P87" s="71"/>
      <c r="Q87" s="77"/>
      <c r="R87" s="75" t="s">
        <v>1198</v>
      </c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</row>
    <row r="88" spans="1:80" s="70" customFormat="1" x14ac:dyDescent="0.2">
      <c r="A88" s="229" t="s">
        <v>129</v>
      </c>
      <c r="B88" s="154">
        <v>72375</v>
      </c>
      <c r="C88" s="70" t="s">
        <v>1167</v>
      </c>
      <c r="D88" s="193" t="s">
        <v>1195</v>
      </c>
      <c r="E88" s="70" t="s">
        <v>92</v>
      </c>
      <c r="F88" s="70">
        <v>-22.5</v>
      </c>
      <c r="G88" s="152">
        <v>3991.2200000000003</v>
      </c>
      <c r="H88" s="197">
        <f t="shared" si="1"/>
        <v>3968.7200000000003</v>
      </c>
      <c r="I88" s="235">
        <f>IF("generated"=1, "Path=Track_20_Track_2, Scaled Offset=3968.7200000000002546585164964199066", 3968.72)</f>
        <v>3968.72</v>
      </c>
      <c r="K88" s="76"/>
      <c r="L88" s="76">
        <v>1</v>
      </c>
      <c r="M88" s="77">
        <v>-1.6</v>
      </c>
      <c r="N88" s="77"/>
      <c r="O88" s="77"/>
      <c r="P88" s="71"/>
      <c r="Q88" s="77"/>
      <c r="R88" s="75" t="s">
        <v>1198</v>
      </c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</row>
    <row r="89" spans="1:80" s="70" customFormat="1" x14ac:dyDescent="0.2">
      <c r="A89" s="229" t="s">
        <v>129</v>
      </c>
      <c r="B89" s="154">
        <v>72376</v>
      </c>
      <c r="C89" s="70" t="s">
        <v>1168</v>
      </c>
      <c r="D89" s="193" t="s">
        <v>1195</v>
      </c>
      <c r="E89" s="70" t="s">
        <v>92</v>
      </c>
      <c r="F89" s="70">
        <v>-22.5</v>
      </c>
      <c r="G89" s="152">
        <v>4013.42</v>
      </c>
      <c r="H89" s="197">
        <f t="shared" si="1"/>
        <v>3990.92</v>
      </c>
      <c r="I89" s="235">
        <f>IF("generated"=1, "Path=Track_20_Track_2, Scaled Offset=3990.920000000000072759576141834259", 3990.92)</f>
        <v>3990.92</v>
      </c>
      <c r="K89" s="76"/>
      <c r="L89" s="76">
        <v>1</v>
      </c>
      <c r="M89" s="77">
        <v>-1.6</v>
      </c>
      <c r="N89" s="77"/>
      <c r="O89" s="77"/>
      <c r="P89" s="71"/>
      <c r="Q89" s="77"/>
      <c r="R89" s="75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</row>
    <row r="90" spans="1:80" s="70" customFormat="1" x14ac:dyDescent="0.2">
      <c r="A90" s="229" t="s">
        <v>129</v>
      </c>
      <c r="B90" s="154">
        <v>72377</v>
      </c>
      <c r="C90" s="70" t="s">
        <v>1169</v>
      </c>
      <c r="D90" s="193" t="s">
        <v>1195</v>
      </c>
      <c r="E90" s="70" t="s">
        <v>92</v>
      </c>
      <c r="G90" s="152">
        <v>4127.3900000000003</v>
      </c>
      <c r="H90" s="197">
        <f t="shared" si="1"/>
        <v>4127.3900000000003</v>
      </c>
      <c r="I90" s="235">
        <f>IF("generated"=1, "Path=Track_20_Track_2, Scaled Offset=4127.3900000000003274180926382541656", 4127.39)</f>
        <v>4127.3900000000003</v>
      </c>
      <c r="K90" s="76"/>
      <c r="L90" s="76"/>
      <c r="M90" s="77">
        <v>-1.6</v>
      </c>
      <c r="N90" s="77"/>
      <c r="O90" s="77"/>
      <c r="P90" s="71"/>
      <c r="Q90" s="77"/>
      <c r="R90" s="75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</row>
    <row r="91" spans="1:80" s="70" customFormat="1" x14ac:dyDescent="0.2">
      <c r="A91" s="229" t="s">
        <v>129</v>
      </c>
      <c r="B91" s="154">
        <v>72378</v>
      </c>
      <c r="C91" s="70" t="s">
        <v>1170</v>
      </c>
      <c r="D91" s="193" t="s">
        <v>1195</v>
      </c>
      <c r="E91" s="70" t="s">
        <v>92</v>
      </c>
      <c r="G91" s="152">
        <v>4149.59</v>
      </c>
      <c r="H91" s="197">
        <f t="shared" si="1"/>
        <v>4149.59</v>
      </c>
      <c r="I91" s="235">
        <f>IF("generated"=1, "Path=Track_20_Track_2, Scaled Offset=4149.5900000000001455191522836685181", 4149.59)</f>
        <v>4149.59</v>
      </c>
      <c r="K91" s="76"/>
      <c r="L91" s="76"/>
      <c r="M91" s="77">
        <v>-1.6</v>
      </c>
      <c r="N91" s="77"/>
      <c r="O91" s="77"/>
      <c r="P91" s="71"/>
      <c r="Q91" s="77"/>
      <c r="R91" s="75" t="s">
        <v>1198</v>
      </c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</row>
    <row r="92" spans="1:80" s="70" customFormat="1" x14ac:dyDescent="0.2">
      <c r="A92" s="229" t="s">
        <v>129</v>
      </c>
      <c r="B92" s="154">
        <v>72379</v>
      </c>
      <c r="C92" s="70" t="s">
        <v>1171</v>
      </c>
      <c r="D92" s="193" t="s">
        <v>1195</v>
      </c>
      <c r="E92" s="70" t="s">
        <v>126</v>
      </c>
      <c r="F92" s="70">
        <v>-22.5</v>
      </c>
      <c r="G92" s="152">
        <v>4828.3600000000006</v>
      </c>
      <c r="H92" s="197">
        <f t="shared" si="1"/>
        <v>4805.8600000000006</v>
      </c>
      <c r="I92" s="235">
        <f>IF("generated"=1, "Path=Track_10_Track_2, Scaled Offset=4805.8600000000005820766091346740723", 4805.86)</f>
        <v>4805.8599999999997</v>
      </c>
      <c r="K92" s="76"/>
      <c r="L92" s="76">
        <v>1</v>
      </c>
      <c r="M92" s="77">
        <v>-1.6</v>
      </c>
      <c r="N92" s="77"/>
      <c r="O92" s="77"/>
      <c r="P92" s="71"/>
      <c r="Q92" s="77"/>
      <c r="R92" s="75" t="s">
        <v>1198</v>
      </c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</row>
    <row r="93" spans="1:80" s="70" customFormat="1" x14ac:dyDescent="0.2">
      <c r="A93" s="229" t="s">
        <v>129</v>
      </c>
      <c r="B93" s="154">
        <v>72380</v>
      </c>
      <c r="C93" s="70" t="s">
        <v>1172</v>
      </c>
      <c r="D93" s="193" t="s">
        <v>1195</v>
      </c>
      <c r="E93" s="70" t="s">
        <v>126</v>
      </c>
      <c r="F93" s="70">
        <v>-22.5</v>
      </c>
      <c r="G93" s="152">
        <v>4850.5600000000004</v>
      </c>
      <c r="H93" s="197">
        <f t="shared" si="1"/>
        <v>4828.0600000000004</v>
      </c>
      <c r="I93" s="235">
        <f>IF("generated"=1, "Path=Track_10_Track_2, Scaled Offset=4828.0600000000004001776687800884247", 4828.06)</f>
        <v>4828.0600000000004</v>
      </c>
      <c r="K93" s="76"/>
      <c r="L93" s="76">
        <v>1</v>
      </c>
      <c r="M93" s="77">
        <v>-1.6</v>
      </c>
      <c r="N93" s="77"/>
      <c r="O93" s="77"/>
      <c r="P93" s="71"/>
      <c r="Q93" s="77"/>
      <c r="R93" s="75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</row>
    <row r="94" spans="1:80" s="70" customFormat="1" x14ac:dyDescent="0.2">
      <c r="A94" s="229" t="s">
        <v>129</v>
      </c>
      <c r="B94" s="154">
        <v>72381</v>
      </c>
      <c r="C94" s="70" t="s">
        <v>1173</v>
      </c>
      <c r="D94" s="193" t="s">
        <v>1195</v>
      </c>
      <c r="E94" s="70" t="s">
        <v>126</v>
      </c>
      <c r="G94" s="152">
        <v>4964.7700000000004</v>
      </c>
      <c r="H94" s="197">
        <f t="shared" si="1"/>
        <v>4964.7700000000004</v>
      </c>
      <c r="I94" s="235">
        <f>IF("generated"=1, "Path=Track_10_Track_2, Scaled Offset=4964.7700000000004365574568510055542", 4964.77)</f>
        <v>4964.7700000000004</v>
      </c>
      <c r="K94" s="76"/>
      <c r="L94" s="76"/>
      <c r="M94" s="77">
        <v>-1.6</v>
      </c>
      <c r="N94" s="77"/>
      <c r="O94" s="77"/>
      <c r="P94" s="71"/>
      <c r="Q94" s="77"/>
      <c r="R94" s="75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</row>
    <row r="95" spans="1:80" s="70" customFormat="1" x14ac:dyDescent="0.2">
      <c r="A95" s="229" t="s">
        <v>129</v>
      </c>
      <c r="B95" s="154">
        <v>72382</v>
      </c>
      <c r="C95" s="70" t="s">
        <v>1174</v>
      </c>
      <c r="D95" s="193" t="s">
        <v>1195</v>
      </c>
      <c r="E95" s="70" t="s">
        <v>126</v>
      </c>
      <c r="G95" s="152">
        <v>4986.97</v>
      </c>
      <c r="H95" s="197">
        <f t="shared" si="1"/>
        <v>4986.97</v>
      </c>
      <c r="I95" s="235">
        <f>IF("generated"=1, "Path=Track_10_Track_2, Scaled Offset=4986.9700000000002546585164964199066", 4986.97)</f>
        <v>4986.97</v>
      </c>
      <c r="K95" s="76"/>
      <c r="L95" s="76"/>
      <c r="M95" s="77">
        <v>-1.6</v>
      </c>
      <c r="N95" s="77"/>
      <c r="O95" s="77"/>
      <c r="P95" s="71"/>
      <c r="Q95" s="77"/>
      <c r="R95" s="75" t="s">
        <v>1198</v>
      </c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</row>
    <row r="96" spans="1:80" s="70" customFormat="1" x14ac:dyDescent="0.2">
      <c r="A96" s="229" t="s">
        <v>129</v>
      </c>
      <c r="B96" s="154">
        <v>72383</v>
      </c>
      <c r="C96" s="70" t="s">
        <v>1175</v>
      </c>
      <c r="D96" s="193" t="s">
        <v>1195</v>
      </c>
      <c r="E96" s="70" t="s">
        <v>92</v>
      </c>
      <c r="G96" s="152">
        <v>4988.5199999999995</v>
      </c>
      <c r="H96" s="197">
        <f t="shared" si="1"/>
        <v>4988.5199999999995</v>
      </c>
      <c r="I96" s="235">
        <f>IF("generated"=1, "Path=Track_20_Track_2, Scaled Offset=4988.5199999999995270627550780773163", 4988.51999999999)</f>
        <v>4988.5199999999904</v>
      </c>
      <c r="K96" s="76"/>
      <c r="L96" s="76"/>
      <c r="M96" s="77">
        <v>-1.6</v>
      </c>
      <c r="N96" s="77"/>
      <c r="O96" s="77"/>
      <c r="P96" s="71"/>
      <c r="Q96" s="77"/>
      <c r="R96" s="75" t="s">
        <v>1198</v>
      </c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</row>
    <row r="97" spans="1:80" s="70" customFormat="1" x14ac:dyDescent="0.2">
      <c r="A97" s="229" t="s">
        <v>129</v>
      </c>
      <c r="B97" s="154">
        <v>72384</v>
      </c>
      <c r="C97" s="70" t="s">
        <v>1176</v>
      </c>
      <c r="D97" s="193" t="s">
        <v>1195</v>
      </c>
      <c r="E97" s="70" t="s">
        <v>92</v>
      </c>
      <c r="G97" s="152">
        <v>4966.32</v>
      </c>
      <c r="H97" s="197">
        <f t="shared" si="1"/>
        <v>4966.32</v>
      </c>
      <c r="I97" s="235">
        <f>IF("generated"=1, "Path=Track_20_Track_2, Scaled Offset=4966.3199999999997089616954326629639", 4966.31999999999)</f>
        <v>4966.3199999999897</v>
      </c>
      <c r="K97" s="76"/>
      <c r="L97" s="76"/>
      <c r="M97" s="77">
        <v>-1.6</v>
      </c>
      <c r="N97" s="77"/>
      <c r="O97" s="77"/>
      <c r="P97" s="71"/>
      <c r="Q97" s="77"/>
      <c r="R97" s="75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</row>
    <row r="98" spans="1:80" s="70" customFormat="1" x14ac:dyDescent="0.2">
      <c r="A98" s="229" t="s">
        <v>129</v>
      </c>
      <c r="B98" s="154">
        <v>72385</v>
      </c>
      <c r="C98" s="70" t="s">
        <v>1177</v>
      </c>
      <c r="D98" s="193" t="s">
        <v>1195</v>
      </c>
      <c r="E98" s="70" t="s">
        <v>92</v>
      </c>
      <c r="F98" s="70">
        <v>-22.5</v>
      </c>
      <c r="G98" s="152">
        <v>4852.22</v>
      </c>
      <c r="H98" s="197">
        <f t="shared" si="1"/>
        <v>4829.72</v>
      </c>
      <c r="I98" s="235">
        <f>IF("generated"=1, "Path=Track_20_Track_2, Scaled Offset=4829.7200000000002546585164964199066", 4829.72)</f>
        <v>4829.72</v>
      </c>
      <c r="K98" s="76"/>
      <c r="L98" s="76">
        <v>1</v>
      </c>
      <c r="M98" s="77">
        <v>-1.6</v>
      </c>
      <c r="N98" s="77"/>
      <c r="O98" s="77"/>
      <c r="P98" s="71"/>
      <c r="Q98" s="77"/>
      <c r="R98" s="75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</row>
    <row r="99" spans="1:80" s="70" customFormat="1" x14ac:dyDescent="0.2">
      <c r="A99" s="229" t="s">
        <v>129</v>
      </c>
      <c r="B99" s="154">
        <v>72386</v>
      </c>
      <c r="C99" s="70" t="s">
        <v>1178</v>
      </c>
      <c r="D99" s="193" t="s">
        <v>1195</v>
      </c>
      <c r="E99" s="70" t="s">
        <v>92</v>
      </c>
      <c r="F99" s="70">
        <v>-22.5</v>
      </c>
      <c r="G99" s="152">
        <v>4830.0200000000004</v>
      </c>
      <c r="H99" s="197">
        <f t="shared" si="1"/>
        <v>4807.5200000000004</v>
      </c>
      <c r="I99" s="235">
        <f>IF("generated"=1, "Path=Track_20_Track_2, Scaled Offset=4807.5200000000004365574568510055542", 4807.52)</f>
        <v>4807.5200000000004</v>
      </c>
      <c r="K99" s="76"/>
      <c r="L99" s="76">
        <v>1</v>
      </c>
      <c r="M99" s="77">
        <v>-1.6</v>
      </c>
      <c r="N99" s="77"/>
      <c r="O99" s="77"/>
      <c r="P99" s="71"/>
      <c r="Q99" s="77"/>
      <c r="R99" s="75" t="s">
        <v>1198</v>
      </c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</row>
    <row r="100" spans="1:80" s="70" customFormat="1" x14ac:dyDescent="0.2">
      <c r="A100" s="229" t="s">
        <v>129</v>
      </c>
      <c r="B100" s="154">
        <v>72387</v>
      </c>
      <c r="C100" s="70" t="s">
        <v>1179</v>
      </c>
      <c r="D100" s="193" t="s">
        <v>1195</v>
      </c>
      <c r="E100" s="70" t="s">
        <v>126</v>
      </c>
      <c r="G100" s="152">
        <v>6158.54</v>
      </c>
      <c r="H100" s="197">
        <f t="shared" si="1"/>
        <v>6158.54</v>
      </c>
      <c r="I100" s="235">
        <f>IF("generated"=1, "Path=Track_10_Track_2, Scaled Offset=6158.5399999999999636202119290828705", 6158.53999999999)</f>
        <v>6158.53999999999</v>
      </c>
      <c r="K100" s="76"/>
      <c r="L100" s="76"/>
      <c r="M100" s="77">
        <v>-1.6</v>
      </c>
      <c r="N100" s="77"/>
      <c r="O100" s="77"/>
      <c r="P100" s="71"/>
      <c r="Q100" s="77"/>
      <c r="R100" s="75" t="s">
        <v>1198</v>
      </c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</row>
    <row r="101" spans="1:80" s="70" customFormat="1" x14ac:dyDescent="0.2">
      <c r="A101" s="229" t="s">
        <v>129</v>
      </c>
      <c r="B101" s="154">
        <v>72388</v>
      </c>
      <c r="C101" s="70" t="s">
        <v>1180</v>
      </c>
      <c r="D101" s="193" t="s">
        <v>1195</v>
      </c>
      <c r="E101" s="70" t="s">
        <v>126</v>
      </c>
      <c r="G101" s="152">
        <v>6136.34</v>
      </c>
      <c r="H101" s="197">
        <f t="shared" si="1"/>
        <v>6136.34</v>
      </c>
      <c r="I101" s="235">
        <f>IF("generated"=1, "Path=Track_10_Track_2, Scaled Offset=6136.3400000000001455191522836685181", 6136.34)</f>
        <v>6136.34</v>
      </c>
      <c r="K101" s="76"/>
      <c r="L101" s="76"/>
      <c r="M101" s="77">
        <v>-1.6</v>
      </c>
      <c r="N101" s="77"/>
      <c r="O101" s="77"/>
      <c r="P101" s="71"/>
      <c r="Q101" s="77"/>
      <c r="R101" s="75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</row>
    <row r="102" spans="1:80" s="70" customFormat="1" x14ac:dyDescent="0.2">
      <c r="A102" s="229" t="s">
        <v>129</v>
      </c>
      <c r="B102" s="154">
        <v>72389</v>
      </c>
      <c r="C102" s="70" t="s">
        <v>1181</v>
      </c>
      <c r="D102" s="193" t="s">
        <v>1195</v>
      </c>
      <c r="E102" s="70" t="s">
        <v>126</v>
      </c>
      <c r="F102" s="70">
        <v>-22.5</v>
      </c>
      <c r="G102" s="152">
        <v>6022.2</v>
      </c>
      <c r="H102" s="197">
        <f t="shared" si="1"/>
        <v>5999.7</v>
      </c>
      <c r="I102" s="235">
        <f>IF("generated"=1, "Path=Track_10_Track_2, Scaled Offset=5999.6999999999998181010596454143524", 5999.69999999999)</f>
        <v>5999.6999999999898</v>
      </c>
      <c r="K102" s="76"/>
      <c r="L102" s="76">
        <v>1</v>
      </c>
      <c r="M102" s="77">
        <v>-1.6</v>
      </c>
      <c r="N102" s="77"/>
      <c r="O102" s="77"/>
      <c r="P102" s="71"/>
      <c r="Q102" s="77"/>
      <c r="R102" s="75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</row>
    <row r="103" spans="1:80" s="70" customFormat="1" x14ac:dyDescent="0.2">
      <c r="A103" s="229" t="s">
        <v>129</v>
      </c>
      <c r="B103" s="154">
        <v>72390</v>
      </c>
      <c r="C103" s="70" t="s">
        <v>1182</v>
      </c>
      <c r="D103" s="193" t="s">
        <v>1195</v>
      </c>
      <c r="E103" s="70" t="s">
        <v>126</v>
      </c>
      <c r="F103" s="70">
        <v>-22.5</v>
      </c>
      <c r="G103" s="152">
        <v>6000</v>
      </c>
      <c r="H103" s="197">
        <f t="shared" si="1"/>
        <v>5977.5</v>
      </c>
      <c r="I103" s="235">
        <f>IF("generated"=1, "Path=Track_10_Track_2, Scaled Offset=5977.5", 5977.5)</f>
        <v>5977.5</v>
      </c>
      <c r="K103" s="76"/>
      <c r="L103" s="76">
        <v>1</v>
      </c>
      <c r="M103" s="77">
        <v>-1.6</v>
      </c>
      <c r="N103" s="77"/>
      <c r="O103" s="77"/>
      <c r="P103" s="71"/>
      <c r="Q103" s="77"/>
      <c r="R103" s="75" t="s">
        <v>1198</v>
      </c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</row>
    <row r="104" spans="1:80" s="70" customFormat="1" x14ac:dyDescent="0.2">
      <c r="A104" s="229" t="s">
        <v>129</v>
      </c>
      <c r="B104" s="154">
        <v>72391</v>
      </c>
      <c r="C104" s="70" t="s">
        <v>1183</v>
      </c>
      <c r="D104" s="193" t="s">
        <v>1195</v>
      </c>
      <c r="E104" s="70" t="s">
        <v>92</v>
      </c>
      <c r="G104" s="152">
        <v>6158.67</v>
      </c>
      <c r="H104" s="197">
        <f t="shared" si="1"/>
        <v>6158.67</v>
      </c>
      <c r="I104" s="235">
        <f>IF("generated"=1, "Path=Track_20_Track_2, Scaled Offset=6158.670000000000072759576141834259", 6158.67)</f>
        <v>6158.67</v>
      </c>
      <c r="K104" s="76"/>
      <c r="L104" s="76"/>
      <c r="M104" s="77">
        <v>-1.6</v>
      </c>
      <c r="N104" s="77"/>
      <c r="O104" s="77"/>
      <c r="P104" s="71"/>
      <c r="Q104" s="77"/>
      <c r="R104" s="75" t="s">
        <v>1198</v>
      </c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</row>
    <row r="105" spans="1:80" s="70" customFormat="1" x14ac:dyDescent="0.2">
      <c r="A105" s="229" t="s">
        <v>129</v>
      </c>
      <c r="B105" s="154">
        <v>72392</v>
      </c>
      <c r="C105" s="70" t="s">
        <v>1184</v>
      </c>
      <c r="D105" s="193" t="s">
        <v>1195</v>
      </c>
      <c r="E105" s="70" t="s">
        <v>92</v>
      </c>
      <c r="G105" s="152">
        <v>6136.47</v>
      </c>
      <c r="H105" s="197">
        <f t="shared" si="1"/>
        <v>6136.47</v>
      </c>
      <c r="I105" s="235">
        <f>IF("generated"=1, "Path=Track_20_Track_2, Scaled Offset=6136.4700000000002546585164964199066", 6136.47)</f>
        <v>6136.47</v>
      </c>
      <c r="K105" s="76"/>
      <c r="L105" s="76"/>
      <c r="M105" s="77">
        <v>-1.6</v>
      </c>
      <c r="N105" s="77"/>
      <c r="O105" s="77"/>
      <c r="P105" s="71"/>
      <c r="Q105" s="77"/>
      <c r="R105" s="75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</row>
    <row r="106" spans="1:80" s="70" customFormat="1" x14ac:dyDescent="0.2">
      <c r="A106" s="229" t="s">
        <v>129</v>
      </c>
      <c r="B106" s="154">
        <v>72393</v>
      </c>
      <c r="C106" s="70" t="s">
        <v>1185</v>
      </c>
      <c r="D106" s="193" t="s">
        <v>1195</v>
      </c>
      <c r="E106" s="70" t="s">
        <v>92</v>
      </c>
      <c r="F106" s="70">
        <v>-22.5</v>
      </c>
      <c r="G106" s="152">
        <v>6022.38</v>
      </c>
      <c r="H106" s="197">
        <f t="shared" si="1"/>
        <v>5999.88</v>
      </c>
      <c r="I106" s="235">
        <f>IF("generated"=1, "Path=Track_20_Track_2, Scaled Offset=5999.8800000000001091393642127513885", 5999.88)</f>
        <v>5999.88</v>
      </c>
      <c r="K106" s="76"/>
      <c r="L106" s="76">
        <v>1</v>
      </c>
      <c r="M106" s="77">
        <v>-1.6</v>
      </c>
      <c r="N106" s="77"/>
      <c r="O106" s="77"/>
      <c r="P106" s="71"/>
      <c r="Q106" s="77"/>
      <c r="R106" s="75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</row>
    <row r="107" spans="1:80" s="70" customFormat="1" x14ac:dyDescent="0.2">
      <c r="A107" s="229" t="s">
        <v>129</v>
      </c>
      <c r="B107" s="154">
        <v>72394</v>
      </c>
      <c r="C107" s="70" t="s">
        <v>1186</v>
      </c>
      <c r="D107" s="193" t="s">
        <v>1195</v>
      </c>
      <c r="E107" s="70" t="s">
        <v>92</v>
      </c>
      <c r="F107" s="70">
        <v>-22.5</v>
      </c>
      <c r="G107" s="152">
        <v>6000.18</v>
      </c>
      <c r="H107" s="197">
        <f t="shared" si="1"/>
        <v>5977.68</v>
      </c>
      <c r="I107" s="235">
        <f>IF("generated"=1, "Path=Track_20_Track_2, Scaled Offset=5977.6800000000002910383045673370361", 5977.68)</f>
        <v>5977.68</v>
      </c>
      <c r="K107" s="76"/>
      <c r="L107" s="76">
        <v>1</v>
      </c>
      <c r="M107" s="77">
        <v>-1.6</v>
      </c>
      <c r="N107" s="77"/>
      <c r="O107" s="77"/>
      <c r="P107" s="71"/>
      <c r="Q107" s="77"/>
      <c r="R107" s="75" t="s">
        <v>1198</v>
      </c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</row>
    <row r="108" spans="1:80" s="70" customFormat="1" x14ac:dyDescent="0.2">
      <c r="A108" s="229" t="s">
        <v>129</v>
      </c>
      <c r="B108" s="154">
        <v>72395</v>
      </c>
      <c r="C108" s="70" t="s">
        <v>1187</v>
      </c>
      <c r="D108" s="193" t="s">
        <v>1195</v>
      </c>
      <c r="E108" s="70" t="s">
        <v>126</v>
      </c>
      <c r="F108" s="70">
        <v>-22.5</v>
      </c>
      <c r="G108" s="152">
        <v>6923.96</v>
      </c>
      <c r="H108" s="197">
        <f>G108+F108</f>
        <v>6901.46</v>
      </c>
      <c r="I108" s="235">
        <f>IF("generated"=1, "Path=Track_10_Track_2, Scaled Offset=6901.4600000000000363797880709171295", 6901.46)</f>
        <v>6901.46</v>
      </c>
      <c r="K108" s="76"/>
      <c r="L108" s="76">
        <v>1</v>
      </c>
      <c r="M108" s="77">
        <v>-1.6</v>
      </c>
      <c r="N108" s="77"/>
      <c r="O108" s="77"/>
      <c r="P108" s="71"/>
      <c r="Q108" s="77"/>
      <c r="R108" s="75" t="s">
        <v>1198</v>
      </c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</row>
    <row r="109" spans="1:80" s="70" customFormat="1" x14ac:dyDescent="0.2">
      <c r="A109" s="229" t="s">
        <v>129</v>
      </c>
      <c r="B109" s="154">
        <v>72396</v>
      </c>
      <c r="C109" s="70" t="s">
        <v>1188</v>
      </c>
      <c r="D109" s="193" t="s">
        <v>1195</v>
      </c>
      <c r="E109" s="70" t="s">
        <v>126</v>
      </c>
      <c r="F109" s="70">
        <v>-22.5</v>
      </c>
      <c r="G109" s="152">
        <v>6946.16</v>
      </c>
      <c r="H109" s="197">
        <f t="shared" ref="H109:H115" si="2">G109+F109</f>
        <v>6923.66</v>
      </c>
      <c r="I109" s="235">
        <f>IF("generated"=1, "Path=Track_10_Track_2, Scaled Offset=6923.6599999999998544808477163314819", 6923.65999999999)</f>
        <v>6923.6599999999899</v>
      </c>
      <c r="K109" s="76"/>
      <c r="L109" s="76">
        <v>1</v>
      </c>
      <c r="M109" s="77">
        <v>-1.6</v>
      </c>
      <c r="N109" s="77"/>
      <c r="O109" s="77"/>
      <c r="P109" s="71"/>
      <c r="Q109" s="77"/>
      <c r="R109" s="75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</row>
    <row r="110" spans="1:80" s="70" customFormat="1" x14ac:dyDescent="0.2">
      <c r="A110" s="229" t="s">
        <v>129</v>
      </c>
      <c r="B110" s="154">
        <v>72397</v>
      </c>
      <c r="C110" s="70" t="s">
        <v>1189</v>
      </c>
      <c r="D110" s="193" t="s">
        <v>1195</v>
      </c>
      <c r="E110" s="70" t="s">
        <v>126</v>
      </c>
      <c r="G110" s="152">
        <v>7060.13</v>
      </c>
      <c r="H110" s="197">
        <f t="shared" si="2"/>
        <v>7060.13</v>
      </c>
      <c r="I110" s="235">
        <f>IF("generated"=1, "Path=Track_10_Track_2, Scaled Offset=7060.1300000000001091393642127513885", 7060.13)</f>
        <v>7060.13</v>
      </c>
      <c r="K110" s="76"/>
      <c r="L110" s="76"/>
      <c r="M110" s="77">
        <v>-1.6</v>
      </c>
      <c r="N110" s="77"/>
      <c r="O110" s="77"/>
      <c r="P110" s="71"/>
      <c r="Q110" s="77"/>
      <c r="R110" s="75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</row>
    <row r="111" spans="1:80" s="70" customFormat="1" x14ac:dyDescent="0.2">
      <c r="A111" s="229" t="s">
        <v>129</v>
      </c>
      <c r="B111" s="154">
        <v>72398</v>
      </c>
      <c r="C111" s="70" t="s">
        <v>1190</v>
      </c>
      <c r="D111" s="193" t="s">
        <v>1195</v>
      </c>
      <c r="E111" s="70" t="s">
        <v>126</v>
      </c>
      <c r="G111" s="152">
        <v>7082.33</v>
      </c>
      <c r="H111" s="197">
        <f t="shared" si="2"/>
        <v>7082.33</v>
      </c>
      <c r="I111" s="235">
        <f>IF("generated"=1, "Path=Track_10_Track_2, Scaled Offset=7082.329999999999927240423858165741", 7082.32999999999)</f>
        <v>7082.3299999999899</v>
      </c>
      <c r="K111" s="76"/>
      <c r="L111" s="76"/>
      <c r="M111" s="77">
        <v>-1.6</v>
      </c>
      <c r="N111" s="77"/>
      <c r="O111" s="77"/>
      <c r="P111" s="71"/>
      <c r="Q111" s="77"/>
      <c r="R111" s="75" t="s">
        <v>1198</v>
      </c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</row>
    <row r="112" spans="1:80" s="70" customFormat="1" x14ac:dyDescent="0.2">
      <c r="A112" s="229" t="s">
        <v>129</v>
      </c>
      <c r="B112" s="154">
        <v>72399</v>
      </c>
      <c r="C112" s="70" t="s">
        <v>1191</v>
      </c>
      <c r="D112" s="193" t="s">
        <v>1195</v>
      </c>
      <c r="E112" s="70" t="s">
        <v>92</v>
      </c>
      <c r="F112" s="70">
        <v>-22.5</v>
      </c>
      <c r="G112" s="152">
        <v>6923.28</v>
      </c>
      <c r="H112" s="197">
        <f t="shared" si="2"/>
        <v>6900.78</v>
      </c>
      <c r="I112" s="235">
        <f>IF("generated"=1, "Path=Track_20_Track_2, Scaled Offset=6900.7799999999997453414835035800934", 6900.77999999999)</f>
        <v>6900.7799999999897</v>
      </c>
      <c r="K112" s="76"/>
      <c r="L112" s="76">
        <v>1</v>
      </c>
      <c r="M112" s="77">
        <v>-1.6</v>
      </c>
      <c r="N112" s="77"/>
      <c r="O112" s="77"/>
      <c r="P112" s="71"/>
      <c r="Q112" s="77"/>
      <c r="R112" s="75" t="s">
        <v>1198</v>
      </c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</row>
    <row r="113" spans="1:80" s="70" customFormat="1" x14ac:dyDescent="0.2">
      <c r="A113" s="229" t="s">
        <v>129</v>
      </c>
      <c r="B113" s="154">
        <v>72400</v>
      </c>
      <c r="C113" s="70" t="s">
        <v>1192</v>
      </c>
      <c r="D113" s="193" t="s">
        <v>1195</v>
      </c>
      <c r="E113" s="70" t="s">
        <v>92</v>
      </c>
      <c r="F113" s="70">
        <v>-22.5</v>
      </c>
      <c r="G113" s="152">
        <v>6945.48</v>
      </c>
      <c r="H113" s="197">
        <f t="shared" si="2"/>
        <v>6922.98</v>
      </c>
      <c r="I113" s="235">
        <f>IF("generated"=1, "Path=Track_20_Track_2, Scaled Offset=6922.9799999999995634425431489944458", 6922.97999999999)</f>
        <v>6922.9799999999896</v>
      </c>
      <c r="K113" s="76"/>
      <c r="L113" s="76">
        <v>1</v>
      </c>
      <c r="M113" s="77">
        <v>-1.6</v>
      </c>
      <c r="N113" s="77"/>
      <c r="O113" s="77"/>
      <c r="P113" s="71"/>
      <c r="Q113" s="77"/>
      <c r="R113" s="75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</row>
    <row r="114" spans="1:80" s="70" customFormat="1" x14ac:dyDescent="0.2">
      <c r="A114" s="229" t="s">
        <v>129</v>
      </c>
      <c r="B114" s="154">
        <v>72401</v>
      </c>
      <c r="C114" s="70" t="s">
        <v>1193</v>
      </c>
      <c r="D114" s="193" t="s">
        <v>1195</v>
      </c>
      <c r="E114" s="70" t="s">
        <v>92</v>
      </c>
      <c r="G114" s="152">
        <v>7059.48</v>
      </c>
      <c r="H114" s="197">
        <f t="shared" si="2"/>
        <v>7059.48</v>
      </c>
      <c r="I114" s="235">
        <f>IF("generated"=1, "Path=Track_20_Track_2, Scaled Offset=7059.4799999999995634425431489944458", 7059.47999999999)</f>
        <v>7059.4799999999896</v>
      </c>
      <c r="K114" s="76"/>
      <c r="L114" s="76"/>
      <c r="M114" s="77">
        <v>-1.6</v>
      </c>
      <c r="N114" s="77"/>
      <c r="O114" s="77"/>
      <c r="P114" s="71"/>
      <c r="Q114" s="77"/>
      <c r="R114" s="75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</row>
    <row r="115" spans="1:80" s="70" customFormat="1" x14ac:dyDescent="0.2">
      <c r="A115" s="229" t="s">
        <v>129</v>
      </c>
      <c r="B115" s="154">
        <v>72402</v>
      </c>
      <c r="C115" s="70" t="s">
        <v>1194</v>
      </c>
      <c r="D115" s="193" t="s">
        <v>1195</v>
      </c>
      <c r="E115" s="70" t="s">
        <v>92</v>
      </c>
      <c r="G115" s="152">
        <v>7081.6799999999994</v>
      </c>
      <c r="H115" s="197">
        <f t="shared" si="2"/>
        <v>7081.6799999999994</v>
      </c>
      <c r="I115" s="235">
        <f>IF("generated"=1, "Path=Track_20_Track_2, Scaled Offset=7081.6799999999993815436027944087982", 7081.67999999999)</f>
        <v>7081.6799999999903</v>
      </c>
      <c r="K115" s="76"/>
      <c r="L115" s="76"/>
      <c r="M115" s="77">
        <v>-1.6</v>
      </c>
      <c r="N115" s="77"/>
      <c r="O115" s="77"/>
      <c r="P115" s="71"/>
      <c r="Q115" s="77"/>
      <c r="R115" s="75" t="s">
        <v>1198</v>
      </c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</row>
  </sheetData>
  <mergeCells count="1">
    <mergeCell ref="E2:U2"/>
  </mergeCells>
  <conditionalFormatting sqref="N11:O11">
    <cfRule type="cellIs" dxfId="4" priority="1" stopIfTrue="1" operator="greaterThan">
      <formula>0</formula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05E27-E6C0-4D35-BC8D-6CB8D214F2ED}">
  <dimension ref="A1:CB115"/>
  <sheetViews>
    <sheetView showGridLines="0" zoomScaleNormal="100" workbookViewId="0">
      <selection activeCell="C9" sqref="C9"/>
    </sheetView>
  </sheetViews>
  <sheetFormatPr defaultRowHeight="12.75" x14ac:dyDescent="0.2"/>
  <cols>
    <col min="1" max="1" width="13.28515625" style="218" customWidth="1"/>
    <col min="2" max="2" width="9" customWidth="1"/>
    <col min="3" max="3" width="22.42578125" bestFit="1" customWidth="1"/>
    <col min="4" max="4" width="29" bestFit="1" customWidth="1"/>
    <col min="5" max="5" width="18.42578125" bestFit="1" customWidth="1"/>
    <col min="6" max="6" width="10.42578125" bestFit="1" customWidth="1"/>
    <col min="7" max="7" width="9.7109375" bestFit="1" customWidth="1"/>
    <col min="8" max="8" width="12.140625" bestFit="1" customWidth="1"/>
    <col min="9" max="9" width="8.140625" customWidth="1"/>
    <col min="10" max="10" width="10.7109375" bestFit="1" customWidth="1"/>
    <col min="11" max="11" width="11.140625" bestFit="1" customWidth="1"/>
    <col min="12" max="12" width="8.28515625" bestFit="1" customWidth="1"/>
    <col min="13" max="13" width="4.140625" bestFit="1" customWidth="1"/>
    <col min="14" max="14" width="3.85546875" customWidth="1"/>
    <col min="15" max="15" width="5.28515625" customWidth="1"/>
    <col min="16" max="16" width="8.5703125" bestFit="1" customWidth="1"/>
    <col min="18" max="18" width="11.42578125" bestFit="1" customWidth="1"/>
    <col min="19" max="19" width="17.28515625" bestFit="1" customWidth="1"/>
    <col min="20" max="20" width="6.140625" bestFit="1" customWidth="1"/>
    <col min="21" max="21" width="11.7109375" bestFit="1" customWidth="1"/>
    <col min="22" max="22" width="5.42578125" bestFit="1" customWidth="1"/>
    <col min="23" max="23" width="11" bestFit="1" customWidth="1"/>
    <col min="24" max="24" width="4" customWidth="1"/>
  </cols>
  <sheetData>
    <row r="1" spans="1:80" s="31" customFormat="1" x14ac:dyDescent="0.2">
      <c r="A1" s="111" t="s">
        <v>32</v>
      </c>
      <c r="G1" s="145"/>
      <c r="H1" s="145"/>
      <c r="I1" s="32"/>
      <c r="M1" s="32"/>
      <c r="N1" s="32"/>
      <c r="O1" s="32"/>
      <c r="P1" s="32"/>
      <c r="Q1" s="32"/>
      <c r="T1" s="33"/>
      <c r="V1" s="33"/>
    </row>
    <row r="2" spans="1:80" s="34" customFormat="1" x14ac:dyDescent="0.2">
      <c r="A2" s="112"/>
      <c r="C2" s="86" t="s">
        <v>33</v>
      </c>
      <c r="D2" s="86">
        <v>0.44703999999999999</v>
      </c>
      <c r="E2" s="215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7"/>
      <c r="V2" s="35"/>
    </row>
    <row r="3" spans="1:80" s="34" customFormat="1" x14ac:dyDescent="0.2">
      <c r="A3" s="112"/>
      <c r="C3" s="86" t="s">
        <v>34</v>
      </c>
      <c r="D3" s="36">
        <v>0</v>
      </c>
      <c r="E3" s="34" t="s">
        <v>35</v>
      </c>
      <c r="F3" s="86"/>
      <c r="G3" s="146"/>
      <c r="H3" s="155"/>
      <c r="I3" s="38"/>
      <c r="J3" s="86"/>
      <c r="K3" s="86"/>
      <c r="L3" s="86"/>
      <c r="M3" s="37"/>
      <c r="N3" s="37"/>
      <c r="O3" s="37"/>
      <c r="P3" s="37"/>
      <c r="Q3" s="37"/>
      <c r="R3" s="86"/>
      <c r="S3" s="86"/>
      <c r="T3" s="39"/>
      <c r="U3" s="86"/>
      <c r="V3" s="35"/>
    </row>
    <row r="4" spans="1:80" s="34" customFormat="1" x14ac:dyDescent="0.2">
      <c r="A4" s="112"/>
      <c r="C4" s="86" t="s">
        <v>36</v>
      </c>
      <c r="D4" s="36">
        <v>0</v>
      </c>
      <c r="E4" s="86" t="s">
        <v>26</v>
      </c>
      <c r="F4" s="86"/>
      <c r="G4" s="146"/>
      <c r="H4" s="155"/>
      <c r="I4" s="38"/>
      <c r="J4" s="86"/>
      <c r="K4" s="86"/>
      <c r="L4" s="86"/>
      <c r="M4" s="37"/>
      <c r="N4" s="37"/>
      <c r="O4" s="37"/>
      <c r="P4" s="37"/>
      <c r="Q4" s="37"/>
      <c r="R4" s="86"/>
      <c r="S4" s="86"/>
      <c r="T4" s="39"/>
      <c r="U4" s="86"/>
      <c r="V4" s="35"/>
    </row>
    <row r="5" spans="1:80" s="34" customFormat="1" x14ac:dyDescent="0.2">
      <c r="A5" s="112"/>
      <c r="C5" s="34" t="s">
        <v>37</v>
      </c>
      <c r="D5" s="36">
        <v>1</v>
      </c>
      <c r="E5" s="40" t="s">
        <v>38</v>
      </c>
      <c r="F5" s="40">
        <v>0.27777800000000002</v>
      </c>
      <c r="G5" s="146"/>
      <c r="H5" s="155"/>
      <c r="I5" s="38"/>
      <c r="J5" s="86"/>
      <c r="K5" s="86"/>
      <c r="L5" s="86"/>
      <c r="M5" s="37"/>
      <c r="N5" s="37"/>
      <c r="O5" s="37"/>
      <c r="P5" s="37"/>
      <c r="Q5" s="37"/>
      <c r="R5" s="86"/>
      <c r="S5" s="86"/>
      <c r="T5" s="39"/>
      <c r="U5" s="86"/>
      <c r="V5" s="35"/>
    </row>
    <row r="6" spans="1:80" s="34" customFormat="1" x14ac:dyDescent="0.2">
      <c r="A6" s="112"/>
      <c r="F6" s="86"/>
      <c r="G6" s="146"/>
      <c r="H6" s="155"/>
      <c r="I6" s="38"/>
      <c r="J6" s="86"/>
      <c r="K6" s="86"/>
      <c r="L6" s="86"/>
      <c r="M6" s="37"/>
      <c r="N6" s="37"/>
      <c r="O6" s="37"/>
      <c r="P6" s="37"/>
      <c r="Q6" s="37"/>
      <c r="R6" s="86"/>
      <c r="S6" s="86"/>
      <c r="T6" s="39"/>
      <c r="U6" s="86"/>
      <c r="V6" s="35"/>
    </row>
    <row r="7" spans="1:80" s="31" customFormat="1" x14ac:dyDescent="0.2">
      <c r="A7" s="111" t="s">
        <v>39</v>
      </c>
      <c r="G7" s="145"/>
      <c r="H7" s="145"/>
      <c r="I7" s="32"/>
      <c r="M7" s="32"/>
      <c r="N7" s="32"/>
      <c r="O7" s="32"/>
      <c r="P7" s="32"/>
      <c r="Q7" s="32"/>
      <c r="T7" s="33"/>
      <c r="V7" s="33"/>
    </row>
    <row r="8" spans="1:80" s="14" customFormat="1" x14ac:dyDescent="0.2">
      <c r="A8" s="223" t="s">
        <v>1</v>
      </c>
      <c r="B8" s="7" t="s">
        <v>18</v>
      </c>
      <c r="C8" s="7" t="s">
        <v>2</v>
      </c>
      <c r="D8" s="15"/>
      <c r="E8" s="41"/>
      <c r="F8" s="42"/>
      <c r="G8" s="147"/>
      <c r="H8" s="156"/>
      <c r="I8" s="44"/>
      <c r="J8" s="11"/>
      <c r="K8" s="11"/>
      <c r="M8" s="45"/>
      <c r="N8" s="45"/>
      <c r="O8" s="46"/>
      <c r="P8" s="46"/>
      <c r="Q8" s="46"/>
      <c r="S8" s="47"/>
      <c r="T8" s="48"/>
      <c r="V8" s="48"/>
    </row>
    <row r="9" spans="1:80" s="14" customFormat="1" x14ac:dyDescent="0.2">
      <c r="A9" s="225" t="s">
        <v>19</v>
      </c>
      <c r="B9" s="81">
        <v>80021</v>
      </c>
      <c r="C9" s="14" t="s">
        <v>1199</v>
      </c>
      <c r="D9" s="15"/>
      <c r="E9" s="49"/>
      <c r="F9" s="42"/>
      <c r="G9" s="147"/>
      <c r="H9" s="156"/>
      <c r="I9" s="44"/>
      <c r="J9" s="11"/>
      <c r="K9" s="11"/>
      <c r="M9" s="45"/>
      <c r="N9" s="45"/>
      <c r="O9" s="46"/>
      <c r="P9" s="46"/>
      <c r="Q9" s="46"/>
      <c r="S9" s="47"/>
      <c r="T9" s="48"/>
      <c r="V9" s="48"/>
    </row>
    <row r="10" spans="1:80" s="14" customFormat="1" x14ac:dyDescent="0.2">
      <c r="A10" s="225"/>
      <c r="D10" s="15"/>
      <c r="F10" s="50"/>
      <c r="G10" s="147"/>
      <c r="H10" s="156"/>
      <c r="I10" s="44"/>
      <c r="J10" s="11"/>
      <c r="K10" s="11"/>
      <c r="M10" s="45"/>
      <c r="N10" s="45"/>
      <c r="O10" s="46"/>
      <c r="P10" s="46"/>
      <c r="Q10" s="46"/>
      <c r="S10" s="47"/>
      <c r="T10" s="48"/>
      <c r="V10" s="48"/>
    </row>
    <row r="11" spans="1:80" s="58" customFormat="1" x14ac:dyDescent="0.2">
      <c r="A11" s="212" t="s">
        <v>1</v>
      </c>
      <c r="B11" s="51" t="s">
        <v>18</v>
      </c>
      <c r="C11" s="51" t="s">
        <v>2</v>
      </c>
      <c r="D11" s="51" t="s">
        <v>14</v>
      </c>
      <c r="E11" s="51" t="s">
        <v>9</v>
      </c>
      <c r="F11" s="52" t="s">
        <v>40</v>
      </c>
      <c r="G11" s="148" t="s">
        <v>13</v>
      </c>
      <c r="H11" s="157" t="s">
        <v>10</v>
      </c>
      <c r="I11" s="54" t="s">
        <v>7</v>
      </c>
      <c r="J11" s="55" t="s">
        <v>28</v>
      </c>
      <c r="K11" s="51" t="s">
        <v>15</v>
      </c>
      <c r="L11" s="51" t="s">
        <v>20</v>
      </c>
      <c r="M11" s="56" t="s">
        <v>21</v>
      </c>
      <c r="N11" s="56" t="s">
        <v>22</v>
      </c>
      <c r="O11" s="56" t="s">
        <v>29</v>
      </c>
      <c r="P11" s="57" t="s">
        <v>23</v>
      </c>
      <c r="Q11" s="57" t="s">
        <v>24</v>
      </c>
      <c r="R11" s="51" t="s">
        <v>25</v>
      </c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</row>
    <row r="12" spans="1:80" s="70" customFormat="1" x14ac:dyDescent="0.2">
      <c r="A12" s="229" t="s">
        <v>129</v>
      </c>
      <c r="B12" s="154">
        <v>80010</v>
      </c>
      <c r="C12" s="70" t="s">
        <v>1202</v>
      </c>
      <c r="D12" s="193" t="s">
        <v>1201</v>
      </c>
      <c r="E12" s="70" t="s">
        <v>82</v>
      </c>
      <c r="H12" s="197"/>
      <c r="I12" s="199">
        <v>40</v>
      </c>
      <c r="L12" s="70">
        <v>1</v>
      </c>
      <c r="M12" s="77">
        <v>-1.6</v>
      </c>
      <c r="N12" s="77"/>
      <c r="O12" s="77"/>
      <c r="P12" s="77"/>
      <c r="Q12" s="77"/>
      <c r="R12" s="75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</row>
    <row r="13" spans="1:80" s="70" customFormat="1" x14ac:dyDescent="0.2">
      <c r="A13" s="229" t="s">
        <v>129</v>
      </c>
      <c r="B13" s="154">
        <v>80020</v>
      </c>
      <c r="C13" s="70" t="s">
        <v>1203</v>
      </c>
      <c r="D13" s="193" t="s">
        <v>1201</v>
      </c>
      <c r="E13" s="70" t="s">
        <v>82</v>
      </c>
      <c r="H13" s="197"/>
      <c r="I13" s="199">
        <v>20</v>
      </c>
      <c r="L13" s="70">
        <v>1</v>
      </c>
      <c r="M13" s="77">
        <v>-1.6</v>
      </c>
      <c r="N13" s="77"/>
      <c r="O13" s="77"/>
      <c r="P13" s="77"/>
      <c r="Q13" s="77"/>
      <c r="R13" s="202" t="s">
        <v>1198</v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</row>
    <row r="14" spans="1:80" s="70" customFormat="1" x14ac:dyDescent="0.2">
      <c r="A14" s="229" t="s">
        <v>129</v>
      </c>
      <c r="B14" s="154">
        <v>80012</v>
      </c>
      <c r="C14" s="70" t="s">
        <v>1204</v>
      </c>
      <c r="D14" s="193" t="s">
        <v>1201</v>
      </c>
      <c r="E14" s="70" t="s">
        <v>106</v>
      </c>
      <c r="H14" s="197"/>
      <c r="I14" s="199">
        <v>40</v>
      </c>
      <c r="L14" s="70">
        <v>1</v>
      </c>
      <c r="M14" s="77">
        <v>-1.6</v>
      </c>
      <c r="N14" s="77"/>
      <c r="O14" s="77"/>
      <c r="P14" s="77"/>
      <c r="Q14" s="77"/>
      <c r="R14" s="75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</row>
    <row r="15" spans="1:80" s="70" customFormat="1" x14ac:dyDescent="0.2">
      <c r="A15" s="229" t="s">
        <v>129</v>
      </c>
      <c r="B15" s="154">
        <v>80013</v>
      </c>
      <c r="C15" s="70" t="s">
        <v>1205</v>
      </c>
      <c r="D15" s="193" t="s">
        <v>1201</v>
      </c>
      <c r="E15" s="70" t="s">
        <v>106</v>
      </c>
      <c r="H15" s="197"/>
      <c r="I15" s="199">
        <v>20</v>
      </c>
      <c r="L15" s="70">
        <v>1</v>
      </c>
      <c r="M15" s="77">
        <v>-1.6</v>
      </c>
      <c r="N15" s="77"/>
      <c r="O15" s="77"/>
      <c r="P15" s="77"/>
      <c r="Q15" s="77"/>
      <c r="R15" s="202" t="s">
        <v>1198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</row>
    <row r="16" spans="1:80" s="70" customFormat="1" x14ac:dyDescent="0.2">
      <c r="A16" s="229" t="s">
        <v>129</v>
      </c>
      <c r="B16" s="199">
        <v>80014</v>
      </c>
      <c r="C16" s="70" t="s">
        <v>1206</v>
      </c>
      <c r="D16" s="193" t="s">
        <v>1201</v>
      </c>
      <c r="E16" s="70" t="s">
        <v>87</v>
      </c>
      <c r="H16" s="197"/>
      <c r="I16" s="201">
        <v>5348.5</v>
      </c>
      <c r="L16" s="70">
        <v>1</v>
      </c>
      <c r="M16" s="77">
        <v>-1.6</v>
      </c>
      <c r="N16" s="77"/>
      <c r="O16" s="77"/>
      <c r="P16" s="71"/>
      <c r="Q16" s="77"/>
      <c r="R16" s="75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</row>
    <row r="17" spans="1:80" s="70" customFormat="1" x14ac:dyDescent="0.2">
      <c r="A17" s="229" t="s">
        <v>129</v>
      </c>
      <c r="B17" s="199">
        <v>80015</v>
      </c>
      <c r="C17" s="70" t="s">
        <v>1207</v>
      </c>
      <c r="D17" s="193" t="s">
        <v>1201</v>
      </c>
      <c r="E17" s="70" t="s">
        <v>87</v>
      </c>
      <c r="H17" s="197"/>
      <c r="I17" s="201">
        <v>5308.5</v>
      </c>
      <c r="L17" s="70">
        <v>1</v>
      </c>
      <c r="M17" s="77">
        <v>-1.6</v>
      </c>
      <c r="N17" s="77"/>
      <c r="O17" s="77"/>
      <c r="P17" s="71"/>
      <c r="Q17" s="77"/>
      <c r="R17" s="202" t="s">
        <v>1198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</row>
    <row r="18" spans="1:80" s="70" customFormat="1" x14ac:dyDescent="0.2">
      <c r="A18" s="229" t="s">
        <v>129</v>
      </c>
      <c r="B18" s="199">
        <v>80016</v>
      </c>
      <c r="C18" s="70" t="s">
        <v>1208</v>
      </c>
      <c r="D18" s="193" t="s">
        <v>1201</v>
      </c>
      <c r="E18" s="70" t="s">
        <v>91</v>
      </c>
      <c r="H18" s="197"/>
      <c r="I18" s="199">
        <v>210</v>
      </c>
      <c r="M18" s="77">
        <v>-1.6</v>
      </c>
      <c r="N18" s="77"/>
      <c r="O18" s="77"/>
      <c r="P18" s="71"/>
      <c r="Q18" s="77"/>
      <c r="R18" s="7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</row>
    <row r="19" spans="1:80" s="70" customFormat="1" x14ac:dyDescent="0.2">
      <c r="A19" s="229" t="s">
        <v>129</v>
      </c>
      <c r="B19" s="199">
        <v>80017</v>
      </c>
      <c r="C19" s="70" t="s">
        <v>1209</v>
      </c>
      <c r="D19" s="193" t="s">
        <v>1201</v>
      </c>
      <c r="E19" s="70" t="s">
        <v>91</v>
      </c>
      <c r="H19" s="197"/>
      <c r="I19" s="199">
        <v>250</v>
      </c>
      <c r="M19" s="77">
        <v>-1.6</v>
      </c>
      <c r="N19" s="77"/>
      <c r="O19" s="77"/>
      <c r="P19" s="71"/>
      <c r="Q19" s="77"/>
      <c r="R19" s="202" t="s">
        <v>1198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</row>
    <row r="20" spans="1:80" s="70" customFormat="1" x14ac:dyDescent="0.2">
      <c r="A20" s="229" t="s">
        <v>129</v>
      </c>
      <c r="B20" s="199">
        <v>80018</v>
      </c>
      <c r="C20" s="70" t="s">
        <v>1210</v>
      </c>
      <c r="D20" s="193" t="s">
        <v>1201</v>
      </c>
      <c r="E20" s="70" t="s">
        <v>87</v>
      </c>
      <c r="H20" s="197"/>
      <c r="I20" s="199">
        <v>210</v>
      </c>
      <c r="M20" s="77">
        <v>-1.6</v>
      </c>
      <c r="N20" s="77"/>
      <c r="O20" s="77"/>
      <c r="P20" s="71"/>
      <c r="Q20" s="77"/>
      <c r="R20" s="7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</row>
    <row r="21" spans="1:80" s="70" customFormat="1" x14ac:dyDescent="0.2">
      <c r="A21" s="229" t="s">
        <v>129</v>
      </c>
      <c r="B21" s="199">
        <v>80019</v>
      </c>
      <c r="C21" s="70" t="s">
        <v>1211</v>
      </c>
      <c r="D21" s="193" t="s">
        <v>1201</v>
      </c>
      <c r="E21" s="70" t="s">
        <v>87</v>
      </c>
      <c r="H21" s="197"/>
      <c r="I21" s="199">
        <v>250</v>
      </c>
      <c r="M21" s="77">
        <v>-1.6</v>
      </c>
      <c r="N21" s="77"/>
      <c r="O21" s="77"/>
      <c r="P21" s="71"/>
      <c r="Q21" s="77"/>
      <c r="R21" s="202" t="s">
        <v>1198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</row>
    <row r="22" spans="1:80" s="70" customFormat="1" x14ac:dyDescent="0.2">
      <c r="A22" s="229"/>
      <c r="B22" s="199"/>
      <c r="D22" s="193"/>
      <c r="H22" s="197"/>
      <c r="I22" s="199"/>
      <c r="M22" s="77"/>
      <c r="N22" s="77"/>
      <c r="O22" s="77"/>
      <c r="P22" s="71"/>
      <c r="Q22" s="77"/>
      <c r="R22" s="75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</row>
    <row r="23" spans="1:80" s="70" customFormat="1" x14ac:dyDescent="0.2">
      <c r="A23" s="229"/>
      <c r="B23" s="199"/>
      <c r="D23" s="193"/>
      <c r="H23" s="197"/>
      <c r="I23" s="199"/>
      <c r="M23" s="77"/>
      <c r="N23" s="77"/>
      <c r="O23" s="77"/>
      <c r="P23" s="71"/>
      <c r="Q23" s="77"/>
      <c r="R23" s="75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</row>
    <row r="24" spans="1:80" s="70" customFormat="1" x14ac:dyDescent="0.2">
      <c r="A24" s="229"/>
      <c r="B24" s="199"/>
      <c r="D24" s="193"/>
      <c r="H24" s="197"/>
      <c r="I24" s="199"/>
      <c r="M24" s="77"/>
      <c r="N24" s="77"/>
      <c r="O24" s="77"/>
      <c r="P24" s="71"/>
      <c r="Q24" s="77"/>
      <c r="R24" s="75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</row>
    <row r="25" spans="1:80" s="70" customFormat="1" x14ac:dyDescent="0.2">
      <c r="A25" s="229"/>
      <c r="B25" s="199"/>
      <c r="D25" s="193"/>
      <c r="H25" s="197"/>
      <c r="I25" s="199"/>
      <c r="M25" s="77"/>
      <c r="N25" s="77"/>
      <c r="O25" s="77"/>
      <c r="P25" s="71"/>
      <c r="Q25" s="77"/>
      <c r="R25" s="75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</row>
    <row r="26" spans="1:80" s="70" customFormat="1" x14ac:dyDescent="0.2">
      <c r="A26" s="229"/>
      <c r="B26" s="199"/>
      <c r="D26" s="193"/>
      <c r="H26" s="197"/>
      <c r="I26" s="199"/>
      <c r="M26" s="77"/>
      <c r="N26" s="77"/>
      <c r="O26" s="77"/>
      <c r="P26" s="71"/>
      <c r="Q26" s="77"/>
      <c r="R26" s="75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</row>
    <row r="27" spans="1:80" s="70" customFormat="1" x14ac:dyDescent="0.2">
      <c r="A27" s="229"/>
      <c r="B27" s="199"/>
      <c r="D27" s="193"/>
      <c r="H27" s="197"/>
      <c r="I27" s="199"/>
      <c r="M27" s="77"/>
      <c r="N27" s="77"/>
      <c r="O27" s="77"/>
      <c r="P27" s="71"/>
      <c r="Q27" s="77"/>
      <c r="R27" s="75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</row>
    <row r="28" spans="1:80" s="70" customFormat="1" x14ac:dyDescent="0.2">
      <c r="A28" s="229"/>
      <c r="B28" s="199"/>
      <c r="D28" s="193"/>
      <c r="H28" s="197"/>
      <c r="I28" s="199"/>
      <c r="M28" s="77"/>
      <c r="N28" s="77"/>
      <c r="O28" s="77"/>
      <c r="P28" s="71"/>
      <c r="Q28" s="77"/>
      <c r="R28" s="75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 spans="1:80" s="70" customFormat="1" x14ac:dyDescent="0.2">
      <c r="A29" s="229"/>
      <c r="B29" s="199"/>
      <c r="D29" s="193"/>
      <c r="H29" s="197"/>
      <c r="I29" s="199"/>
      <c r="M29" s="77"/>
      <c r="N29" s="77"/>
      <c r="O29" s="77"/>
      <c r="P29" s="71"/>
      <c r="Q29" s="77"/>
      <c r="R29" s="7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 spans="1:80" s="70" customFormat="1" x14ac:dyDescent="0.2">
      <c r="A30" s="229"/>
      <c r="B30" s="199"/>
      <c r="D30" s="193"/>
      <c r="H30" s="197"/>
      <c r="I30" s="199"/>
      <c r="M30" s="77"/>
      <c r="N30" s="77"/>
      <c r="O30" s="77"/>
      <c r="P30" s="71"/>
      <c r="Q30" s="77"/>
      <c r="R30" s="7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 spans="1:80" s="70" customFormat="1" x14ac:dyDescent="0.2">
      <c r="A31" s="229"/>
      <c r="B31" s="199"/>
      <c r="D31" s="193"/>
      <c r="H31" s="197"/>
      <c r="I31" s="199"/>
      <c r="M31" s="77"/>
      <c r="N31" s="77"/>
      <c r="O31" s="77"/>
      <c r="P31" s="71"/>
      <c r="Q31" s="77"/>
      <c r="R31" s="7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 spans="1:80" s="70" customFormat="1" x14ac:dyDescent="0.2">
      <c r="A32" s="229"/>
      <c r="B32" s="199"/>
      <c r="D32" s="193"/>
      <c r="H32" s="197"/>
      <c r="I32" s="199"/>
      <c r="M32" s="77"/>
      <c r="N32" s="77"/>
      <c r="O32" s="77"/>
      <c r="P32" s="71"/>
      <c r="Q32" s="77"/>
      <c r="R32" s="7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 spans="1:80" s="70" customFormat="1" x14ac:dyDescent="0.2">
      <c r="A33" s="229"/>
      <c r="B33" s="199"/>
      <c r="D33" s="193"/>
      <c r="H33" s="197"/>
      <c r="I33" s="199"/>
      <c r="M33" s="77"/>
      <c r="N33" s="77"/>
      <c r="O33" s="77"/>
      <c r="P33" s="71"/>
      <c r="Q33" s="77"/>
      <c r="R33" s="7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 spans="1:80" s="70" customFormat="1" x14ac:dyDescent="0.2">
      <c r="A34" s="229"/>
      <c r="B34" s="199"/>
      <c r="D34" s="193"/>
      <c r="H34" s="197"/>
      <c r="I34" s="199"/>
      <c r="M34" s="77"/>
      <c r="N34" s="77"/>
      <c r="O34" s="77"/>
      <c r="P34" s="71"/>
      <c r="Q34" s="77"/>
      <c r="R34" s="7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 spans="1:80" s="70" customFormat="1" x14ac:dyDescent="0.2">
      <c r="A35" s="229"/>
      <c r="B35" s="199"/>
      <c r="D35" s="193"/>
      <c r="H35" s="197"/>
      <c r="I35" s="199"/>
      <c r="M35" s="77"/>
      <c r="N35" s="77"/>
      <c r="O35" s="77"/>
      <c r="P35" s="71"/>
      <c r="Q35" s="77"/>
      <c r="R35" s="7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 spans="1:80" s="70" customFormat="1" x14ac:dyDescent="0.2">
      <c r="A36" s="229"/>
      <c r="B36" s="199"/>
      <c r="D36" s="193"/>
      <c r="H36" s="197"/>
      <c r="I36" s="199"/>
      <c r="M36" s="77"/>
      <c r="N36" s="77"/>
      <c r="O36" s="77"/>
      <c r="P36" s="71"/>
      <c r="Q36" s="77"/>
      <c r="R36" s="7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 spans="1:80" s="70" customFormat="1" x14ac:dyDescent="0.2">
      <c r="A37" s="229"/>
      <c r="B37" s="199"/>
      <c r="D37" s="193"/>
      <c r="H37" s="197"/>
      <c r="I37" s="199"/>
      <c r="M37" s="77"/>
      <c r="N37" s="77"/>
      <c r="O37" s="77"/>
      <c r="P37" s="71"/>
      <c r="Q37" s="77"/>
      <c r="R37" s="75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 spans="1:80" s="70" customFormat="1" x14ac:dyDescent="0.2">
      <c r="A38" s="229"/>
      <c r="B38" s="199"/>
      <c r="D38" s="193"/>
      <c r="H38" s="197"/>
      <c r="I38" s="199"/>
      <c r="M38" s="77"/>
      <c r="N38" s="77"/>
      <c r="O38" s="77"/>
      <c r="P38" s="71"/>
      <c r="Q38" s="77"/>
      <c r="R38" s="75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 spans="1:80" s="70" customFormat="1" x14ac:dyDescent="0.2">
      <c r="A39" s="229"/>
      <c r="B39" s="199"/>
      <c r="D39" s="193"/>
      <c r="H39" s="197"/>
      <c r="I39" s="199"/>
      <c r="M39" s="77"/>
      <c r="N39" s="77"/>
      <c r="O39" s="77"/>
      <c r="P39" s="71"/>
      <c r="Q39" s="77"/>
      <c r="R39" s="75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 spans="1:80" s="70" customFormat="1" x14ac:dyDescent="0.2">
      <c r="A40" s="229"/>
      <c r="B40" s="199"/>
      <c r="D40" s="193"/>
      <c r="H40" s="197"/>
      <c r="I40" s="199"/>
      <c r="M40" s="77"/>
      <c r="N40" s="77"/>
      <c r="O40" s="77"/>
      <c r="P40" s="71"/>
      <c r="Q40" s="77"/>
      <c r="R40" s="75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 spans="1:80" s="70" customFormat="1" x14ac:dyDescent="0.2">
      <c r="A41" s="229"/>
      <c r="B41" s="199"/>
      <c r="D41" s="193"/>
      <c r="H41" s="197"/>
      <c r="I41" s="199"/>
      <c r="M41" s="77"/>
      <c r="N41" s="77"/>
      <c r="O41" s="77"/>
      <c r="P41" s="71"/>
      <c r="Q41" s="77"/>
      <c r="R41" s="75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 spans="1:80" s="70" customFormat="1" x14ac:dyDescent="0.2">
      <c r="A42" s="229"/>
      <c r="B42" s="199"/>
      <c r="D42" s="193"/>
      <c r="H42" s="197"/>
      <c r="I42" s="199"/>
      <c r="M42" s="77"/>
      <c r="N42" s="77"/>
      <c r="O42" s="77"/>
      <c r="P42" s="71"/>
      <c r="Q42" s="77"/>
      <c r="R42" s="75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 spans="1:80" s="70" customFormat="1" x14ac:dyDescent="0.2">
      <c r="A43" s="229"/>
      <c r="B43" s="199"/>
      <c r="D43" s="193"/>
      <c r="H43" s="197"/>
      <c r="I43" s="199"/>
      <c r="M43" s="77"/>
      <c r="N43" s="77"/>
      <c r="O43" s="77"/>
      <c r="P43" s="71"/>
      <c r="Q43" s="77"/>
      <c r="R43" s="75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 spans="1:80" s="70" customFormat="1" x14ac:dyDescent="0.2">
      <c r="A44" s="229"/>
      <c r="B44" s="154"/>
      <c r="D44" s="193"/>
      <c r="G44" s="152"/>
      <c r="H44" s="197"/>
      <c r="I44" s="200"/>
      <c r="K44" s="76"/>
      <c r="L44" s="76"/>
      <c r="M44" s="77"/>
      <c r="N44" s="77"/>
      <c r="O44" s="77"/>
      <c r="P44" s="71"/>
      <c r="Q44" s="77"/>
      <c r="R44" s="75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 spans="1:80" s="70" customFormat="1" x14ac:dyDescent="0.2">
      <c r="A45" s="229"/>
      <c r="B45" s="154"/>
      <c r="D45" s="193"/>
      <c r="G45" s="152"/>
      <c r="H45" s="197"/>
      <c r="I45" s="200"/>
      <c r="K45" s="76"/>
      <c r="L45" s="76"/>
      <c r="M45" s="77"/>
      <c r="N45" s="77"/>
      <c r="O45" s="77"/>
      <c r="P45" s="71"/>
      <c r="Q45" s="77"/>
      <c r="R45" s="75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 spans="1:80" s="70" customFormat="1" x14ac:dyDescent="0.2">
      <c r="A46" s="229"/>
      <c r="B46" s="154"/>
      <c r="D46" s="193"/>
      <c r="G46" s="152"/>
      <c r="H46" s="197"/>
      <c r="I46" s="200"/>
      <c r="K46" s="76"/>
      <c r="L46" s="76"/>
      <c r="M46" s="77"/>
      <c r="N46" s="77"/>
      <c r="O46" s="77"/>
      <c r="P46" s="71"/>
      <c r="Q46" s="77"/>
      <c r="R46" s="75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 spans="1:80" s="70" customFormat="1" x14ac:dyDescent="0.2">
      <c r="A47" s="229"/>
      <c r="B47" s="154"/>
      <c r="D47" s="193"/>
      <c r="G47" s="152"/>
      <c r="H47" s="197"/>
      <c r="I47" s="200"/>
      <c r="K47" s="76"/>
      <c r="L47" s="76"/>
      <c r="M47" s="77"/>
      <c r="N47" s="77"/>
      <c r="O47" s="77"/>
      <c r="P47" s="71"/>
      <c r="Q47" s="77"/>
      <c r="R47" s="75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  <row r="48" spans="1:80" s="70" customFormat="1" x14ac:dyDescent="0.2">
      <c r="A48" s="229"/>
      <c r="B48" s="154"/>
      <c r="D48" s="193"/>
      <c r="G48" s="152"/>
      <c r="H48" s="197"/>
      <c r="I48" s="200"/>
      <c r="K48" s="76"/>
      <c r="L48" s="76"/>
      <c r="M48" s="77"/>
      <c r="N48" s="77"/>
      <c r="O48" s="77"/>
      <c r="P48" s="71"/>
      <c r="Q48" s="77"/>
      <c r="R48" s="75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</row>
    <row r="49" spans="1:80" s="70" customFormat="1" x14ac:dyDescent="0.2">
      <c r="A49" s="229"/>
      <c r="B49" s="154"/>
      <c r="D49" s="193"/>
      <c r="G49" s="152"/>
      <c r="H49" s="197"/>
      <c r="I49" s="200"/>
      <c r="K49" s="76"/>
      <c r="L49" s="76"/>
      <c r="M49" s="77"/>
      <c r="N49" s="77"/>
      <c r="O49" s="77"/>
      <c r="P49" s="71"/>
      <c r="Q49" s="77"/>
      <c r="R49" s="75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</row>
    <row r="50" spans="1:80" s="70" customFormat="1" x14ac:dyDescent="0.2">
      <c r="A50" s="229"/>
      <c r="B50" s="154"/>
      <c r="D50" s="193"/>
      <c r="G50" s="152"/>
      <c r="H50" s="197"/>
      <c r="I50" s="200"/>
      <c r="K50" s="76"/>
      <c r="L50" s="76"/>
      <c r="M50" s="77"/>
      <c r="N50" s="77"/>
      <c r="O50" s="77"/>
      <c r="P50" s="71"/>
      <c r="Q50" s="77"/>
      <c r="R50" s="75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</row>
    <row r="51" spans="1:80" s="70" customFormat="1" x14ac:dyDescent="0.2">
      <c r="A51" s="229"/>
      <c r="B51" s="154"/>
      <c r="D51" s="193"/>
      <c r="G51" s="152"/>
      <c r="H51" s="197"/>
      <c r="I51" s="200"/>
      <c r="K51" s="76"/>
      <c r="L51" s="76"/>
      <c r="M51" s="77"/>
      <c r="N51" s="77"/>
      <c r="O51" s="77"/>
      <c r="P51" s="71"/>
      <c r="Q51" s="77"/>
      <c r="R51" s="75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</row>
    <row r="52" spans="1:80" s="70" customFormat="1" x14ac:dyDescent="0.2">
      <c r="A52" s="229"/>
      <c r="B52" s="154"/>
      <c r="D52" s="193"/>
      <c r="G52" s="152"/>
      <c r="H52" s="197"/>
      <c r="I52" s="200"/>
      <c r="K52" s="76"/>
      <c r="L52" s="76"/>
      <c r="M52" s="77"/>
      <c r="N52" s="77"/>
      <c r="O52" s="77"/>
      <c r="P52" s="71"/>
      <c r="Q52" s="77"/>
      <c r="R52" s="75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</row>
    <row r="53" spans="1:80" s="70" customFormat="1" x14ac:dyDescent="0.2">
      <c r="A53" s="229"/>
      <c r="B53" s="154"/>
      <c r="D53" s="193"/>
      <c r="G53" s="152"/>
      <c r="H53" s="197"/>
      <c r="I53" s="200"/>
      <c r="K53" s="76"/>
      <c r="L53" s="76"/>
      <c r="M53" s="77"/>
      <c r="N53" s="77"/>
      <c r="O53" s="77"/>
      <c r="P53" s="71"/>
      <c r="Q53" s="77"/>
      <c r="R53" s="75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</row>
    <row r="54" spans="1:80" s="70" customFormat="1" x14ac:dyDescent="0.2">
      <c r="A54" s="229"/>
      <c r="B54" s="154"/>
      <c r="D54" s="193"/>
      <c r="G54" s="152"/>
      <c r="H54" s="197"/>
      <c r="I54" s="200"/>
      <c r="K54" s="76"/>
      <c r="L54" s="76"/>
      <c r="M54" s="77"/>
      <c r="N54" s="77"/>
      <c r="O54" s="77"/>
      <c r="P54" s="71"/>
      <c r="Q54" s="77"/>
      <c r="R54" s="75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</row>
    <row r="55" spans="1:80" s="70" customFormat="1" x14ac:dyDescent="0.2">
      <c r="A55" s="229"/>
      <c r="B55" s="154"/>
      <c r="D55" s="193"/>
      <c r="G55" s="152"/>
      <c r="H55" s="197"/>
      <c r="I55" s="200"/>
      <c r="K55" s="76"/>
      <c r="L55" s="76"/>
      <c r="M55" s="77"/>
      <c r="N55" s="77"/>
      <c r="O55" s="77"/>
      <c r="P55" s="71"/>
      <c r="Q55" s="77"/>
      <c r="R55" s="75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</row>
    <row r="56" spans="1:80" s="70" customFormat="1" x14ac:dyDescent="0.2">
      <c r="A56" s="229"/>
      <c r="B56" s="154"/>
      <c r="D56" s="193"/>
      <c r="G56" s="152"/>
      <c r="H56" s="197"/>
      <c r="I56" s="200"/>
      <c r="K56" s="76"/>
      <c r="L56" s="76"/>
      <c r="M56" s="77"/>
      <c r="N56" s="77"/>
      <c r="O56" s="77"/>
      <c r="P56" s="71"/>
      <c r="Q56" s="77"/>
      <c r="R56" s="75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</row>
    <row r="57" spans="1:80" s="70" customFormat="1" x14ac:dyDescent="0.2">
      <c r="A57" s="229"/>
      <c r="B57" s="154"/>
      <c r="D57" s="193"/>
      <c r="G57" s="152"/>
      <c r="H57" s="197"/>
      <c r="I57" s="200"/>
      <c r="K57" s="76"/>
      <c r="L57" s="76"/>
      <c r="M57" s="77"/>
      <c r="N57" s="77"/>
      <c r="O57" s="77"/>
      <c r="P57" s="71"/>
      <c r="Q57" s="77"/>
      <c r="R57" s="75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</row>
    <row r="58" spans="1:80" s="70" customFormat="1" x14ac:dyDescent="0.2">
      <c r="A58" s="229"/>
      <c r="B58" s="154"/>
      <c r="D58" s="193"/>
      <c r="G58" s="152"/>
      <c r="H58" s="197"/>
      <c r="I58" s="200"/>
      <c r="K58" s="76"/>
      <c r="L58" s="76"/>
      <c r="M58" s="77"/>
      <c r="N58" s="77"/>
      <c r="O58" s="77"/>
      <c r="P58" s="71"/>
      <c r="Q58" s="77"/>
      <c r="R58" s="75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</row>
    <row r="59" spans="1:80" s="70" customFormat="1" x14ac:dyDescent="0.2">
      <c r="A59" s="229"/>
      <c r="B59" s="154"/>
      <c r="D59" s="193"/>
      <c r="G59" s="152"/>
      <c r="H59" s="197"/>
      <c r="I59" s="200"/>
      <c r="K59" s="76"/>
      <c r="L59" s="76"/>
      <c r="M59" s="77"/>
      <c r="N59" s="77"/>
      <c r="O59" s="77"/>
      <c r="P59" s="71"/>
      <c r="Q59" s="77"/>
      <c r="R59" s="75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</row>
    <row r="60" spans="1:80" s="70" customFormat="1" x14ac:dyDescent="0.2">
      <c r="A60" s="229"/>
      <c r="B60" s="154"/>
      <c r="D60" s="193"/>
      <c r="G60" s="152"/>
      <c r="H60" s="197"/>
      <c r="I60" s="200"/>
      <c r="K60" s="76"/>
      <c r="L60" s="76"/>
      <c r="M60" s="77"/>
      <c r="N60" s="77"/>
      <c r="O60" s="77"/>
      <c r="P60" s="71"/>
      <c r="Q60" s="77"/>
      <c r="R60" s="75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</row>
    <row r="61" spans="1:80" s="70" customFormat="1" x14ac:dyDescent="0.2">
      <c r="A61" s="229"/>
      <c r="B61" s="154"/>
      <c r="D61" s="193"/>
      <c r="G61" s="152"/>
      <c r="H61" s="197"/>
      <c r="I61" s="200"/>
      <c r="K61" s="76"/>
      <c r="L61" s="76"/>
      <c r="M61" s="77"/>
      <c r="N61" s="77"/>
      <c r="O61" s="77"/>
      <c r="P61" s="71"/>
      <c r="Q61" s="77"/>
      <c r="R61" s="75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</row>
    <row r="62" spans="1:80" s="70" customFormat="1" x14ac:dyDescent="0.2">
      <c r="A62" s="229"/>
      <c r="B62" s="154"/>
      <c r="D62" s="193"/>
      <c r="G62" s="152"/>
      <c r="H62" s="197"/>
      <c r="I62" s="200"/>
      <c r="K62" s="76"/>
      <c r="L62" s="76"/>
      <c r="M62" s="77"/>
      <c r="N62" s="77"/>
      <c r="O62" s="77"/>
      <c r="P62" s="71"/>
      <c r="Q62" s="77"/>
      <c r="R62" s="75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</row>
    <row r="63" spans="1:80" s="70" customFormat="1" x14ac:dyDescent="0.2">
      <c r="A63" s="229"/>
      <c r="B63" s="154"/>
      <c r="D63" s="193"/>
      <c r="G63" s="152"/>
      <c r="H63" s="197"/>
      <c r="I63" s="200"/>
      <c r="K63" s="76"/>
      <c r="L63" s="76"/>
      <c r="M63" s="77"/>
      <c r="N63" s="77"/>
      <c r="O63" s="77"/>
      <c r="P63" s="71"/>
      <c r="Q63" s="77"/>
      <c r="R63" s="75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</row>
    <row r="64" spans="1:80" s="70" customFormat="1" x14ac:dyDescent="0.2">
      <c r="A64" s="229"/>
      <c r="B64" s="154"/>
      <c r="D64" s="193"/>
      <c r="G64" s="152"/>
      <c r="H64" s="197"/>
      <c r="I64" s="200"/>
      <c r="K64" s="76"/>
      <c r="L64" s="76"/>
      <c r="M64" s="77"/>
      <c r="N64" s="77"/>
      <c r="O64" s="77"/>
      <c r="P64" s="71"/>
      <c r="Q64" s="77"/>
      <c r="R64" s="75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</row>
    <row r="65" spans="1:80" s="70" customFormat="1" x14ac:dyDescent="0.2">
      <c r="A65" s="229"/>
      <c r="B65" s="154"/>
      <c r="D65" s="193"/>
      <c r="G65" s="152"/>
      <c r="H65" s="197"/>
      <c r="I65" s="200"/>
      <c r="K65" s="76"/>
      <c r="L65" s="76"/>
      <c r="M65" s="77"/>
      <c r="N65" s="77"/>
      <c r="O65" s="77"/>
      <c r="P65" s="71"/>
      <c r="Q65" s="77"/>
      <c r="R65" s="75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</row>
    <row r="66" spans="1:80" s="70" customFormat="1" x14ac:dyDescent="0.2">
      <c r="A66" s="229"/>
      <c r="B66" s="154"/>
      <c r="D66" s="193"/>
      <c r="G66" s="152"/>
      <c r="H66" s="197"/>
      <c r="I66" s="200"/>
      <c r="K66" s="76"/>
      <c r="L66" s="76"/>
      <c r="M66" s="77"/>
      <c r="N66" s="77"/>
      <c r="O66" s="77"/>
      <c r="P66" s="71"/>
      <c r="Q66" s="77"/>
      <c r="R66" s="75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</row>
    <row r="67" spans="1:80" s="70" customFormat="1" x14ac:dyDescent="0.2">
      <c r="A67" s="229"/>
      <c r="B67" s="154"/>
      <c r="D67" s="193"/>
      <c r="G67" s="152"/>
      <c r="H67" s="197"/>
      <c r="I67" s="200"/>
      <c r="K67" s="76"/>
      <c r="L67" s="76"/>
      <c r="M67" s="77"/>
      <c r="N67" s="77"/>
      <c r="O67" s="77"/>
      <c r="P67" s="71"/>
      <c r="Q67" s="77"/>
      <c r="R67" s="75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</row>
    <row r="68" spans="1:80" s="70" customFormat="1" x14ac:dyDescent="0.2">
      <c r="A68" s="229"/>
      <c r="B68" s="154"/>
      <c r="D68" s="193"/>
      <c r="G68" s="152"/>
      <c r="H68" s="197"/>
      <c r="I68" s="200"/>
      <c r="K68" s="76"/>
      <c r="L68" s="76"/>
      <c r="M68" s="77"/>
      <c r="N68" s="77"/>
      <c r="O68" s="77"/>
      <c r="P68" s="71"/>
      <c r="Q68" s="77"/>
      <c r="R68" s="75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</row>
    <row r="69" spans="1:80" s="70" customFormat="1" x14ac:dyDescent="0.2">
      <c r="A69" s="229"/>
      <c r="B69" s="154"/>
      <c r="D69" s="193"/>
      <c r="G69" s="152"/>
      <c r="H69" s="197"/>
      <c r="I69" s="200"/>
      <c r="K69" s="76"/>
      <c r="L69" s="76"/>
      <c r="M69" s="77"/>
      <c r="N69" s="77"/>
      <c r="O69" s="77"/>
      <c r="P69" s="71"/>
      <c r="Q69" s="77"/>
      <c r="R69" s="75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</row>
    <row r="70" spans="1:80" s="70" customFormat="1" x14ac:dyDescent="0.2">
      <c r="A70" s="229"/>
      <c r="B70" s="154"/>
      <c r="D70" s="193"/>
      <c r="G70" s="152"/>
      <c r="H70" s="197"/>
      <c r="I70" s="200"/>
      <c r="K70" s="76"/>
      <c r="L70" s="76"/>
      <c r="M70" s="77"/>
      <c r="N70" s="77"/>
      <c r="O70" s="77"/>
      <c r="P70" s="71"/>
      <c r="Q70" s="77"/>
      <c r="R70" s="75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</row>
    <row r="71" spans="1:80" s="70" customFormat="1" x14ac:dyDescent="0.2">
      <c r="A71" s="229"/>
      <c r="B71" s="154"/>
      <c r="D71" s="193"/>
      <c r="G71" s="152"/>
      <c r="H71" s="197"/>
      <c r="I71" s="200"/>
      <c r="K71" s="76"/>
      <c r="L71" s="76"/>
      <c r="M71" s="77"/>
      <c r="N71" s="77"/>
      <c r="O71" s="77"/>
      <c r="P71" s="71"/>
      <c r="Q71" s="77"/>
      <c r="R71" s="75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</row>
    <row r="72" spans="1:80" s="70" customFormat="1" x14ac:dyDescent="0.2">
      <c r="A72" s="229"/>
      <c r="B72" s="154"/>
      <c r="D72" s="193"/>
      <c r="G72" s="152"/>
      <c r="H72" s="197"/>
      <c r="I72" s="200"/>
      <c r="K72" s="76"/>
      <c r="L72" s="76"/>
      <c r="M72" s="77"/>
      <c r="N72" s="77"/>
      <c r="O72" s="77"/>
      <c r="P72" s="71"/>
      <c r="Q72" s="77"/>
      <c r="R72" s="75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</row>
    <row r="73" spans="1:80" s="70" customFormat="1" x14ac:dyDescent="0.2">
      <c r="A73" s="229"/>
      <c r="B73" s="154"/>
      <c r="D73" s="193"/>
      <c r="G73" s="152"/>
      <c r="H73" s="197"/>
      <c r="I73" s="200"/>
      <c r="K73" s="76"/>
      <c r="L73" s="76"/>
      <c r="M73" s="77"/>
      <c r="N73" s="77"/>
      <c r="O73" s="77"/>
      <c r="P73" s="71"/>
      <c r="Q73" s="77"/>
      <c r="R73" s="75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</row>
    <row r="74" spans="1:80" s="70" customFormat="1" x14ac:dyDescent="0.2">
      <c r="A74" s="229"/>
      <c r="B74" s="154"/>
      <c r="D74" s="193"/>
      <c r="G74" s="152"/>
      <c r="H74" s="197"/>
      <c r="I74" s="200"/>
      <c r="K74" s="76"/>
      <c r="L74" s="76"/>
      <c r="M74" s="77"/>
      <c r="N74" s="77"/>
      <c r="O74" s="77"/>
      <c r="P74" s="71"/>
      <c r="Q74" s="77"/>
      <c r="R74" s="75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</row>
    <row r="75" spans="1:80" s="70" customFormat="1" x14ac:dyDescent="0.2">
      <c r="A75" s="229"/>
      <c r="B75" s="154"/>
      <c r="D75" s="193"/>
      <c r="G75" s="152"/>
      <c r="H75" s="197"/>
      <c r="I75" s="200"/>
      <c r="K75" s="76"/>
      <c r="L75" s="76"/>
      <c r="M75" s="77"/>
      <c r="N75" s="77"/>
      <c r="O75" s="77"/>
      <c r="P75" s="71"/>
      <c r="Q75" s="77"/>
      <c r="R75" s="75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</row>
    <row r="76" spans="1:80" s="70" customFormat="1" x14ac:dyDescent="0.2">
      <c r="A76" s="229"/>
      <c r="B76" s="154"/>
      <c r="D76" s="193"/>
      <c r="G76" s="152"/>
      <c r="H76" s="197"/>
      <c r="I76" s="200"/>
      <c r="K76" s="76"/>
      <c r="L76" s="76"/>
      <c r="M76" s="77"/>
      <c r="N76" s="77"/>
      <c r="O76" s="77"/>
      <c r="P76" s="71"/>
      <c r="Q76" s="77"/>
      <c r="R76" s="75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</row>
    <row r="77" spans="1:80" s="70" customFormat="1" x14ac:dyDescent="0.2">
      <c r="A77" s="229"/>
      <c r="B77" s="154"/>
      <c r="D77" s="193"/>
      <c r="G77" s="152"/>
      <c r="H77" s="197"/>
      <c r="I77" s="200"/>
      <c r="K77" s="76"/>
      <c r="L77" s="76"/>
      <c r="M77" s="77"/>
      <c r="N77" s="77"/>
      <c r="O77" s="77"/>
      <c r="P77" s="71"/>
      <c r="Q77" s="77"/>
      <c r="R77" s="75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</row>
    <row r="78" spans="1:80" s="70" customFormat="1" x14ac:dyDescent="0.2">
      <c r="A78" s="229"/>
      <c r="B78" s="154"/>
      <c r="D78" s="193"/>
      <c r="G78" s="152"/>
      <c r="H78" s="197"/>
      <c r="I78" s="200"/>
      <c r="K78" s="76"/>
      <c r="L78" s="76"/>
      <c r="M78" s="77"/>
      <c r="N78" s="77"/>
      <c r="O78" s="77"/>
      <c r="P78" s="71"/>
      <c r="Q78" s="77"/>
      <c r="R78" s="75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</row>
    <row r="79" spans="1:80" s="70" customFormat="1" x14ac:dyDescent="0.2">
      <c r="A79" s="229"/>
      <c r="B79" s="154"/>
      <c r="D79" s="193"/>
      <c r="G79" s="152"/>
      <c r="H79" s="197"/>
      <c r="I79" s="200"/>
      <c r="K79" s="76"/>
      <c r="L79" s="76"/>
      <c r="M79" s="77"/>
      <c r="N79" s="77"/>
      <c r="O79" s="77"/>
      <c r="P79" s="71"/>
      <c r="Q79" s="77"/>
      <c r="R79" s="75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</row>
    <row r="80" spans="1:80" s="70" customFormat="1" x14ac:dyDescent="0.2">
      <c r="A80" s="229"/>
      <c r="B80" s="154"/>
      <c r="D80" s="193"/>
      <c r="G80" s="152"/>
      <c r="H80" s="197"/>
      <c r="I80" s="200"/>
      <c r="K80" s="76"/>
      <c r="L80" s="76"/>
      <c r="M80" s="77"/>
      <c r="N80" s="77"/>
      <c r="O80" s="77"/>
      <c r="P80" s="71"/>
      <c r="Q80" s="77"/>
      <c r="R80" s="75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</row>
    <row r="81" spans="1:80" s="70" customFormat="1" x14ac:dyDescent="0.2">
      <c r="A81" s="229"/>
      <c r="B81" s="154"/>
      <c r="D81" s="193"/>
      <c r="G81" s="152"/>
      <c r="H81" s="197"/>
      <c r="I81" s="200"/>
      <c r="K81" s="76"/>
      <c r="L81" s="76"/>
      <c r="M81" s="77"/>
      <c r="N81" s="77"/>
      <c r="O81" s="77"/>
      <c r="P81" s="71"/>
      <c r="Q81" s="77"/>
      <c r="R81" s="75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</row>
    <row r="82" spans="1:80" s="70" customFormat="1" x14ac:dyDescent="0.2">
      <c r="A82" s="229"/>
      <c r="B82" s="154"/>
      <c r="D82" s="193"/>
      <c r="G82" s="152"/>
      <c r="H82" s="197"/>
      <c r="I82" s="200"/>
      <c r="K82" s="76"/>
      <c r="L82" s="76"/>
      <c r="M82" s="77"/>
      <c r="N82" s="77"/>
      <c r="O82" s="77"/>
      <c r="P82" s="71"/>
      <c r="Q82" s="77"/>
      <c r="R82" s="75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</row>
    <row r="83" spans="1:80" s="70" customFormat="1" x14ac:dyDescent="0.2">
      <c r="A83" s="229"/>
      <c r="B83" s="154"/>
      <c r="D83" s="193"/>
      <c r="G83" s="152"/>
      <c r="H83" s="197"/>
      <c r="I83" s="200"/>
      <c r="K83" s="76"/>
      <c r="L83" s="76"/>
      <c r="M83" s="77"/>
      <c r="N83" s="77"/>
      <c r="O83" s="77"/>
      <c r="P83" s="71"/>
      <c r="Q83" s="77"/>
      <c r="R83" s="75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</row>
    <row r="84" spans="1:80" s="70" customFormat="1" x14ac:dyDescent="0.2">
      <c r="A84" s="229"/>
      <c r="B84" s="154"/>
      <c r="D84" s="193"/>
      <c r="G84" s="152"/>
      <c r="H84" s="197"/>
      <c r="I84" s="200"/>
      <c r="K84" s="76"/>
      <c r="L84" s="76"/>
      <c r="M84" s="77"/>
      <c r="N84" s="77"/>
      <c r="O84" s="77"/>
      <c r="P84" s="71"/>
      <c r="Q84" s="77"/>
      <c r="R84" s="75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</row>
    <row r="85" spans="1:80" s="70" customFormat="1" x14ac:dyDescent="0.2">
      <c r="A85" s="229"/>
      <c r="B85" s="154"/>
      <c r="D85" s="193"/>
      <c r="G85" s="152"/>
      <c r="H85" s="197"/>
      <c r="I85" s="200"/>
      <c r="K85" s="76"/>
      <c r="L85" s="76"/>
      <c r="M85" s="77"/>
      <c r="N85" s="77"/>
      <c r="O85" s="77"/>
      <c r="P85" s="71"/>
      <c r="Q85" s="77"/>
      <c r="R85" s="75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</row>
    <row r="86" spans="1:80" s="70" customFormat="1" x14ac:dyDescent="0.2">
      <c r="A86" s="229"/>
      <c r="B86" s="154"/>
      <c r="D86" s="193"/>
      <c r="G86" s="152"/>
      <c r="H86" s="197"/>
      <c r="I86" s="200"/>
      <c r="K86" s="76"/>
      <c r="L86" s="76"/>
      <c r="M86" s="77"/>
      <c r="N86" s="77"/>
      <c r="O86" s="77"/>
      <c r="P86" s="71"/>
      <c r="Q86" s="77"/>
      <c r="R86" s="75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</row>
    <row r="87" spans="1:80" s="70" customFormat="1" x14ac:dyDescent="0.2">
      <c r="A87" s="229"/>
      <c r="B87" s="154"/>
      <c r="D87" s="193"/>
      <c r="G87" s="152"/>
      <c r="H87" s="197"/>
      <c r="I87" s="200"/>
      <c r="K87" s="76"/>
      <c r="L87" s="76"/>
      <c r="M87" s="77"/>
      <c r="N87" s="77"/>
      <c r="O87" s="77"/>
      <c r="P87" s="71"/>
      <c r="Q87" s="77"/>
      <c r="R87" s="75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</row>
    <row r="88" spans="1:80" s="70" customFormat="1" x14ac:dyDescent="0.2">
      <c r="A88" s="229"/>
      <c r="B88" s="154"/>
      <c r="D88" s="193"/>
      <c r="G88" s="152"/>
      <c r="H88" s="197"/>
      <c r="I88" s="200"/>
      <c r="K88" s="76"/>
      <c r="L88" s="76"/>
      <c r="M88" s="77"/>
      <c r="N88" s="77"/>
      <c r="O88" s="77"/>
      <c r="P88" s="71"/>
      <c r="Q88" s="77"/>
      <c r="R88" s="75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</row>
    <row r="89" spans="1:80" s="70" customFormat="1" x14ac:dyDescent="0.2">
      <c r="A89" s="229"/>
      <c r="B89" s="154"/>
      <c r="D89" s="193"/>
      <c r="G89" s="152"/>
      <c r="H89" s="197"/>
      <c r="I89" s="200"/>
      <c r="K89" s="76"/>
      <c r="L89" s="76"/>
      <c r="M89" s="77"/>
      <c r="N89" s="77"/>
      <c r="O89" s="77"/>
      <c r="P89" s="71"/>
      <c r="Q89" s="77"/>
      <c r="R89" s="75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</row>
    <row r="90" spans="1:80" s="70" customFormat="1" x14ac:dyDescent="0.2">
      <c r="A90" s="229"/>
      <c r="B90" s="154"/>
      <c r="D90" s="193"/>
      <c r="G90" s="152"/>
      <c r="H90" s="197"/>
      <c r="I90" s="200"/>
      <c r="K90" s="76"/>
      <c r="L90" s="76"/>
      <c r="M90" s="77"/>
      <c r="N90" s="77"/>
      <c r="O90" s="77"/>
      <c r="P90" s="71"/>
      <c r="Q90" s="77"/>
      <c r="R90" s="75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</row>
    <row r="91" spans="1:80" s="70" customFormat="1" x14ac:dyDescent="0.2">
      <c r="A91" s="229"/>
      <c r="B91" s="154"/>
      <c r="D91" s="193"/>
      <c r="G91" s="152"/>
      <c r="H91" s="197"/>
      <c r="I91" s="200"/>
      <c r="K91" s="76"/>
      <c r="L91" s="76"/>
      <c r="M91" s="77"/>
      <c r="N91" s="77"/>
      <c r="O91" s="77"/>
      <c r="P91" s="71"/>
      <c r="Q91" s="77"/>
      <c r="R91" s="75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</row>
    <row r="92" spans="1:80" s="70" customFormat="1" x14ac:dyDescent="0.2">
      <c r="A92" s="229"/>
      <c r="B92" s="154"/>
      <c r="D92" s="193"/>
      <c r="G92" s="152"/>
      <c r="H92" s="197"/>
      <c r="I92" s="200"/>
      <c r="K92" s="76"/>
      <c r="L92" s="76"/>
      <c r="M92" s="77"/>
      <c r="N92" s="77"/>
      <c r="O92" s="77"/>
      <c r="P92" s="71"/>
      <c r="Q92" s="77"/>
      <c r="R92" s="75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</row>
    <row r="93" spans="1:80" s="70" customFormat="1" x14ac:dyDescent="0.2">
      <c r="A93" s="229"/>
      <c r="B93" s="154"/>
      <c r="D93" s="193"/>
      <c r="G93" s="152"/>
      <c r="H93" s="197"/>
      <c r="I93" s="200"/>
      <c r="K93" s="76"/>
      <c r="L93" s="76"/>
      <c r="M93" s="77"/>
      <c r="N93" s="77"/>
      <c r="O93" s="77"/>
      <c r="P93" s="71"/>
      <c r="Q93" s="77"/>
      <c r="R93" s="75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</row>
    <row r="94" spans="1:80" s="70" customFormat="1" x14ac:dyDescent="0.2">
      <c r="A94" s="229"/>
      <c r="B94" s="154"/>
      <c r="D94" s="193"/>
      <c r="G94" s="152"/>
      <c r="H94" s="197"/>
      <c r="I94" s="200"/>
      <c r="K94" s="76"/>
      <c r="L94" s="76"/>
      <c r="M94" s="77"/>
      <c r="N94" s="77"/>
      <c r="O94" s="77"/>
      <c r="P94" s="71"/>
      <c r="Q94" s="77"/>
      <c r="R94" s="75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</row>
    <row r="95" spans="1:80" s="70" customFormat="1" x14ac:dyDescent="0.2">
      <c r="A95" s="229"/>
      <c r="B95" s="154"/>
      <c r="D95" s="193"/>
      <c r="G95" s="152"/>
      <c r="H95" s="197"/>
      <c r="I95" s="200"/>
      <c r="K95" s="76"/>
      <c r="L95" s="76"/>
      <c r="M95" s="77"/>
      <c r="N95" s="77"/>
      <c r="O95" s="77"/>
      <c r="P95" s="71"/>
      <c r="Q95" s="77"/>
      <c r="R95" s="75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</row>
    <row r="96" spans="1:80" s="70" customFormat="1" x14ac:dyDescent="0.2">
      <c r="A96" s="229"/>
      <c r="B96" s="154"/>
      <c r="D96" s="193"/>
      <c r="G96" s="152"/>
      <c r="H96" s="197"/>
      <c r="I96" s="200"/>
      <c r="K96" s="76"/>
      <c r="L96" s="76"/>
      <c r="M96" s="77"/>
      <c r="N96" s="77"/>
      <c r="O96" s="77"/>
      <c r="P96" s="71"/>
      <c r="Q96" s="77"/>
      <c r="R96" s="75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</row>
    <row r="97" spans="1:80" s="70" customFormat="1" x14ac:dyDescent="0.2">
      <c r="A97" s="229"/>
      <c r="B97" s="154"/>
      <c r="D97" s="193"/>
      <c r="G97" s="152"/>
      <c r="H97" s="197"/>
      <c r="I97" s="200"/>
      <c r="K97" s="76"/>
      <c r="L97" s="76"/>
      <c r="M97" s="77"/>
      <c r="N97" s="77"/>
      <c r="O97" s="77"/>
      <c r="P97" s="71"/>
      <c r="Q97" s="77"/>
      <c r="R97" s="75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</row>
    <row r="98" spans="1:80" s="70" customFormat="1" x14ac:dyDescent="0.2">
      <c r="A98" s="229"/>
      <c r="B98" s="154"/>
      <c r="D98" s="193"/>
      <c r="G98" s="152"/>
      <c r="H98" s="197"/>
      <c r="I98" s="200"/>
      <c r="K98" s="76"/>
      <c r="L98" s="76"/>
      <c r="M98" s="77"/>
      <c r="N98" s="77"/>
      <c r="O98" s="77"/>
      <c r="P98" s="71"/>
      <c r="Q98" s="77"/>
      <c r="R98" s="75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</row>
    <row r="99" spans="1:80" s="70" customFormat="1" x14ac:dyDescent="0.2">
      <c r="A99" s="229"/>
      <c r="B99" s="154"/>
      <c r="D99" s="193"/>
      <c r="G99" s="152"/>
      <c r="H99" s="197"/>
      <c r="I99" s="200"/>
      <c r="K99" s="76"/>
      <c r="L99" s="76"/>
      <c r="M99" s="77"/>
      <c r="N99" s="77"/>
      <c r="O99" s="77"/>
      <c r="P99" s="71"/>
      <c r="Q99" s="77"/>
      <c r="R99" s="75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</row>
    <row r="100" spans="1:80" s="70" customFormat="1" x14ac:dyDescent="0.2">
      <c r="A100" s="229"/>
      <c r="B100" s="154"/>
      <c r="D100" s="193"/>
      <c r="G100" s="152"/>
      <c r="H100" s="197"/>
      <c r="I100" s="200"/>
      <c r="K100" s="76"/>
      <c r="L100" s="76"/>
      <c r="M100" s="77"/>
      <c r="N100" s="77"/>
      <c r="O100" s="77"/>
      <c r="P100" s="71"/>
      <c r="Q100" s="77"/>
      <c r="R100" s="75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</row>
    <row r="101" spans="1:80" s="70" customFormat="1" x14ac:dyDescent="0.2">
      <c r="A101" s="229"/>
      <c r="B101" s="154"/>
      <c r="D101" s="193"/>
      <c r="G101" s="152"/>
      <c r="H101" s="197"/>
      <c r="I101" s="200"/>
      <c r="K101" s="76"/>
      <c r="L101" s="76"/>
      <c r="M101" s="77"/>
      <c r="N101" s="77"/>
      <c r="O101" s="77"/>
      <c r="P101" s="71"/>
      <c r="Q101" s="77"/>
      <c r="R101" s="75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</row>
    <row r="102" spans="1:80" s="70" customFormat="1" x14ac:dyDescent="0.2">
      <c r="A102" s="229"/>
      <c r="B102" s="154"/>
      <c r="D102" s="193"/>
      <c r="G102" s="152"/>
      <c r="H102" s="197"/>
      <c r="I102" s="200"/>
      <c r="K102" s="76"/>
      <c r="L102" s="76"/>
      <c r="M102" s="77"/>
      <c r="N102" s="77"/>
      <c r="O102" s="77"/>
      <c r="P102" s="71"/>
      <c r="Q102" s="77"/>
      <c r="R102" s="75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</row>
    <row r="103" spans="1:80" s="70" customFormat="1" x14ac:dyDescent="0.2">
      <c r="A103" s="229"/>
      <c r="B103" s="154"/>
      <c r="D103" s="193"/>
      <c r="G103" s="152"/>
      <c r="H103" s="197"/>
      <c r="I103" s="200"/>
      <c r="K103" s="76"/>
      <c r="L103" s="76"/>
      <c r="M103" s="77"/>
      <c r="N103" s="77"/>
      <c r="O103" s="77"/>
      <c r="P103" s="71"/>
      <c r="Q103" s="77"/>
      <c r="R103" s="75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</row>
    <row r="104" spans="1:80" s="70" customFormat="1" x14ac:dyDescent="0.2">
      <c r="A104" s="229"/>
      <c r="B104" s="154"/>
      <c r="D104" s="193"/>
      <c r="G104" s="152"/>
      <c r="H104" s="197"/>
      <c r="I104" s="200"/>
      <c r="K104" s="76"/>
      <c r="L104" s="76"/>
      <c r="M104" s="77"/>
      <c r="N104" s="77"/>
      <c r="O104" s="77"/>
      <c r="P104" s="71"/>
      <c r="Q104" s="77"/>
      <c r="R104" s="75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</row>
    <row r="105" spans="1:80" s="70" customFormat="1" x14ac:dyDescent="0.2">
      <c r="A105" s="229"/>
      <c r="B105" s="154"/>
      <c r="D105" s="193"/>
      <c r="G105" s="152"/>
      <c r="H105" s="197"/>
      <c r="I105" s="200"/>
      <c r="K105" s="76"/>
      <c r="L105" s="76"/>
      <c r="M105" s="77"/>
      <c r="N105" s="77"/>
      <c r="O105" s="77"/>
      <c r="P105" s="71"/>
      <c r="Q105" s="77"/>
      <c r="R105" s="75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</row>
    <row r="106" spans="1:80" s="70" customFormat="1" x14ac:dyDescent="0.2">
      <c r="A106" s="229"/>
      <c r="B106" s="154"/>
      <c r="D106" s="193"/>
      <c r="G106" s="152"/>
      <c r="H106" s="197"/>
      <c r="I106" s="200"/>
      <c r="K106" s="76"/>
      <c r="L106" s="76"/>
      <c r="M106" s="77"/>
      <c r="N106" s="77"/>
      <c r="O106" s="77"/>
      <c r="P106" s="71"/>
      <c r="Q106" s="77"/>
      <c r="R106" s="75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</row>
    <row r="107" spans="1:80" s="70" customFormat="1" x14ac:dyDescent="0.2">
      <c r="A107" s="229"/>
      <c r="B107" s="154"/>
      <c r="D107" s="193"/>
      <c r="G107" s="152"/>
      <c r="H107" s="197"/>
      <c r="I107" s="200"/>
      <c r="K107" s="76"/>
      <c r="L107" s="76"/>
      <c r="M107" s="77"/>
      <c r="N107" s="77"/>
      <c r="O107" s="77"/>
      <c r="P107" s="71"/>
      <c r="Q107" s="77"/>
      <c r="R107" s="75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</row>
    <row r="108" spans="1:80" s="193" customFormat="1" x14ac:dyDescent="0.2">
      <c r="A108" s="229"/>
      <c r="B108" s="154"/>
      <c r="G108" s="194"/>
      <c r="H108" s="195"/>
      <c r="I108" s="200"/>
      <c r="J108" s="196"/>
      <c r="M108" s="77"/>
      <c r="N108" s="198"/>
      <c r="O108" s="198"/>
      <c r="P108" s="71"/>
      <c r="Q108" s="198"/>
      <c r="R108" s="75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</row>
    <row r="109" spans="1:80" s="193" customFormat="1" x14ac:dyDescent="0.2">
      <c r="A109" s="229"/>
      <c r="B109" s="154"/>
      <c r="G109" s="194"/>
      <c r="H109" s="195"/>
      <c r="I109" s="200"/>
      <c r="J109" s="196"/>
      <c r="M109" s="77"/>
      <c r="N109" s="198"/>
      <c r="O109" s="198"/>
      <c r="P109" s="71"/>
      <c r="Q109" s="198"/>
      <c r="R109" s="75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</row>
    <row r="110" spans="1:80" s="193" customFormat="1" x14ac:dyDescent="0.2">
      <c r="A110" s="229"/>
      <c r="B110" s="154"/>
      <c r="G110" s="194"/>
      <c r="H110" s="195"/>
      <c r="I110" s="200"/>
      <c r="J110" s="196"/>
      <c r="M110" s="77"/>
      <c r="N110" s="198"/>
      <c r="O110" s="198"/>
      <c r="P110" s="71"/>
      <c r="Q110" s="198"/>
      <c r="R110" s="75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</row>
    <row r="111" spans="1:80" s="193" customFormat="1" x14ac:dyDescent="0.2">
      <c r="A111" s="229"/>
      <c r="B111" s="154"/>
      <c r="G111" s="194"/>
      <c r="H111" s="195"/>
      <c r="I111" s="200"/>
      <c r="J111" s="196"/>
      <c r="M111" s="77"/>
      <c r="N111" s="198"/>
      <c r="O111" s="198"/>
      <c r="P111" s="71"/>
      <c r="Q111" s="198"/>
      <c r="R111" s="75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</row>
    <row r="112" spans="1:80" s="193" customFormat="1" x14ac:dyDescent="0.2">
      <c r="A112" s="229"/>
      <c r="B112" s="154"/>
      <c r="G112" s="194"/>
      <c r="H112" s="195"/>
      <c r="I112" s="200"/>
      <c r="J112" s="196"/>
      <c r="M112" s="77"/>
      <c r="N112" s="198"/>
      <c r="O112" s="198"/>
      <c r="P112" s="71"/>
      <c r="Q112" s="198"/>
      <c r="R112" s="75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</row>
    <row r="113" spans="1:80" s="193" customFormat="1" x14ac:dyDescent="0.2">
      <c r="A113" s="229"/>
      <c r="B113" s="154"/>
      <c r="G113" s="194"/>
      <c r="H113" s="195"/>
      <c r="I113" s="200"/>
      <c r="J113" s="196"/>
      <c r="M113" s="77"/>
      <c r="N113" s="198"/>
      <c r="O113" s="198"/>
      <c r="P113" s="71"/>
      <c r="Q113" s="198"/>
      <c r="R113" s="75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</row>
    <row r="114" spans="1:80" s="193" customFormat="1" x14ac:dyDescent="0.2">
      <c r="A114" s="229"/>
      <c r="B114" s="154"/>
      <c r="G114" s="194"/>
      <c r="H114" s="195"/>
      <c r="I114" s="200"/>
      <c r="J114" s="196"/>
      <c r="M114" s="77"/>
      <c r="N114" s="198"/>
      <c r="O114" s="198"/>
      <c r="P114" s="71"/>
      <c r="Q114" s="198"/>
      <c r="R114" s="75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</row>
    <row r="115" spans="1:80" s="193" customFormat="1" x14ac:dyDescent="0.2">
      <c r="A115" s="229"/>
      <c r="B115" s="154"/>
      <c r="G115" s="194"/>
      <c r="H115" s="195"/>
      <c r="I115" s="200"/>
      <c r="J115" s="196"/>
      <c r="M115" s="77"/>
      <c r="N115" s="198"/>
      <c r="O115" s="198"/>
      <c r="P115" s="71"/>
      <c r="Q115" s="198"/>
      <c r="R115" s="75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</row>
  </sheetData>
  <mergeCells count="1">
    <mergeCell ref="E2:U2"/>
  </mergeCells>
  <conditionalFormatting sqref="N11:O11">
    <cfRule type="cellIs" dxfId="3" priority="1" stopIfTrue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64DCF-9FAB-4D25-9C1E-A2A35243B285}">
  <dimension ref="A1:W12"/>
  <sheetViews>
    <sheetView workbookViewId="0">
      <selection activeCell="I9" sqref="I9 I10 I11 I12"/>
    </sheetView>
  </sheetViews>
  <sheetFormatPr defaultRowHeight="12.75" x14ac:dyDescent="0.2"/>
  <cols>
    <col min="1" max="1" width="8.85546875" style="218" customWidth="1"/>
    <col min="3" max="3" width="31.5703125" bestFit="1" customWidth="1"/>
    <col min="4" max="4" width="30" customWidth="1"/>
    <col min="5" max="5" width="23.140625" customWidth="1"/>
    <col min="9" max="9" width="11" bestFit="1" customWidth="1"/>
    <col min="10" max="10" width="15.140625" bestFit="1" customWidth="1"/>
    <col min="11" max="11" width="11.140625" bestFit="1" customWidth="1"/>
    <col min="12" max="12" width="13.85546875" bestFit="1" customWidth="1"/>
    <col min="257" max="257" width="8.85546875" customWidth="1"/>
    <col min="259" max="259" width="31.5703125" bestFit="1" customWidth="1"/>
    <col min="260" max="260" width="34.85546875" bestFit="1" customWidth="1"/>
    <col min="265" max="265" width="11" bestFit="1" customWidth="1"/>
    <col min="268" max="268" width="13.85546875" bestFit="1" customWidth="1"/>
    <col min="513" max="513" width="8.85546875" customWidth="1"/>
    <col min="515" max="515" width="31.5703125" bestFit="1" customWidth="1"/>
    <col min="516" max="516" width="34.85546875" bestFit="1" customWidth="1"/>
    <col min="521" max="521" width="11" bestFit="1" customWidth="1"/>
    <col min="524" max="524" width="13.85546875" bestFit="1" customWidth="1"/>
    <col min="769" max="769" width="8.85546875" customWidth="1"/>
    <col min="771" max="771" width="31.5703125" bestFit="1" customWidth="1"/>
    <col min="772" max="772" width="34.85546875" bestFit="1" customWidth="1"/>
    <col min="777" max="777" width="11" bestFit="1" customWidth="1"/>
    <col min="780" max="780" width="13.85546875" bestFit="1" customWidth="1"/>
    <col min="1025" max="1025" width="8.85546875" customWidth="1"/>
    <col min="1027" max="1027" width="31.5703125" bestFit="1" customWidth="1"/>
    <col min="1028" max="1028" width="34.85546875" bestFit="1" customWidth="1"/>
    <col min="1033" max="1033" width="11" bestFit="1" customWidth="1"/>
    <col min="1036" max="1036" width="13.85546875" bestFit="1" customWidth="1"/>
    <col min="1281" max="1281" width="8.85546875" customWidth="1"/>
    <col min="1283" max="1283" width="31.5703125" bestFit="1" customWidth="1"/>
    <col min="1284" max="1284" width="34.85546875" bestFit="1" customWidth="1"/>
    <col min="1289" max="1289" width="11" bestFit="1" customWidth="1"/>
    <col min="1292" max="1292" width="13.85546875" bestFit="1" customWidth="1"/>
    <col min="1537" max="1537" width="8.85546875" customWidth="1"/>
    <col min="1539" max="1539" width="31.5703125" bestFit="1" customWidth="1"/>
    <col min="1540" max="1540" width="34.85546875" bestFit="1" customWidth="1"/>
    <col min="1545" max="1545" width="11" bestFit="1" customWidth="1"/>
    <col min="1548" max="1548" width="13.85546875" bestFit="1" customWidth="1"/>
    <col min="1793" max="1793" width="8.85546875" customWidth="1"/>
    <col min="1795" max="1795" width="31.5703125" bestFit="1" customWidth="1"/>
    <col min="1796" max="1796" width="34.85546875" bestFit="1" customWidth="1"/>
    <col min="1801" max="1801" width="11" bestFit="1" customWidth="1"/>
    <col min="1804" max="1804" width="13.85546875" bestFit="1" customWidth="1"/>
    <col min="2049" max="2049" width="8.85546875" customWidth="1"/>
    <col min="2051" max="2051" width="31.5703125" bestFit="1" customWidth="1"/>
    <col min="2052" max="2052" width="34.85546875" bestFit="1" customWidth="1"/>
    <col min="2057" max="2057" width="11" bestFit="1" customWidth="1"/>
    <col min="2060" max="2060" width="13.85546875" bestFit="1" customWidth="1"/>
    <col min="2305" max="2305" width="8.85546875" customWidth="1"/>
    <col min="2307" max="2307" width="31.5703125" bestFit="1" customWidth="1"/>
    <col min="2308" max="2308" width="34.85546875" bestFit="1" customWidth="1"/>
    <col min="2313" max="2313" width="11" bestFit="1" customWidth="1"/>
    <col min="2316" max="2316" width="13.85546875" bestFit="1" customWidth="1"/>
    <col min="2561" max="2561" width="8.85546875" customWidth="1"/>
    <col min="2563" max="2563" width="31.5703125" bestFit="1" customWidth="1"/>
    <col min="2564" max="2564" width="34.85546875" bestFit="1" customWidth="1"/>
    <col min="2569" max="2569" width="11" bestFit="1" customWidth="1"/>
    <col min="2572" max="2572" width="13.85546875" bestFit="1" customWidth="1"/>
    <col min="2817" max="2817" width="8.85546875" customWidth="1"/>
    <col min="2819" max="2819" width="31.5703125" bestFit="1" customWidth="1"/>
    <col min="2820" max="2820" width="34.85546875" bestFit="1" customWidth="1"/>
    <col min="2825" max="2825" width="11" bestFit="1" customWidth="1"/>
    <col min="2828" max="2828" width="13.85546875" bestFit="1" customWidth="1"/>
    <col min="3073" max="3073" width="8.85546875" customWidth="1"/>
    <col min="3075" max="3075" width="31.5703125" bestFit="1" customWidth="1"/>
    <col min="3076" max="3076" width="34.85546875" bestFit="1" customWidth="1"/>
    <col min="3081" max="3081" width="11" bestFit="1" customWidth="1"/>
    <col min="3084" max="3084" width="13.85546875" bestFit="1" customWidth="1"/>
    <col min="3329" max="3329" width="8.85546875" customWidth="1"/>
    <col min="3331" max="3331" width="31.5703125" bestFit="1" customWidth="1"/>
    <col min="3332" max="3332" width="34.85546875" bestFit="1" customWidth="1"/>
    <col min="3337" max="3337" width="11" bestFit="1" customWidth="1"/>
    <col min="3340" max="3340" width="13.85546875" bestFit="1" customWidth="1"/>
    <col min="3585" max="3585" width="8.85546875" customWidth="1"/>
    <col min="3587" max="3587" width="31.5703125" bestFit="1" customWidth="1"/>
    <col min="3588" max="3588" width="34.85546875" bestFit="1" customWidth="1"/>
    <col min="3593" max="3593" width="11" bestFit="1" customWidth="1"/>
    <col min="3596" max="3596" width="13.85546875" bestFit="1" customWidth="1"/>
    <col min="3841" max="3841" width="8.85546875" customWidth="1"/>
    <col min="3843" max="3843" width="31.5703125" bestFit="1" customWidth="1"/>
    <col min="3844" max="3844" width="34.85546875" bestFit="1" customWidth="1"/>
    <col min="3849" max="3849" width="11" bestFit="1" customWidth="1"/>
    <col min="3852" max="3852" width="13.85546875" bestFit="1" customWidth="1"/>
    <col min="4097" max="4097" width="8.85546875" customWidth="1"/>
    <col min="4099" max="4099" width="31.5703125" bestFit="1" customWidth="1"/>
    <col min="4100" max="4100" width="34.85546875" bestFit="1" customWidth="1"/>
    <col min="4105" max="4105" width="11" bestFit="1" customWidth="1"/>
    <col min="4108" max="4108" width="13.85546875" bestFit="1" customWidth="1"/>
    <col min="4353" max="4353" width="8.85546875" customWidth="1"/>
    <col min="4355" max="4355" width="31.5703125" bestFit="1" customWidth="1"/>
    <col min="4356" max="4356" width="34.85546875" bestFit="1" customWidth="1"/>
    <col min="4361" max="4361" width="11" bestFit="1" customWidth="1"/>
    <col min="4364" max="4364" width="13.85546875" bestFit="1" customWidth="1"/>
    <col min="4609" max="4609" width="8.85546875" customWidth="1"/>
    <col min="4611" max="4611" width="31.5703125" bestFit="1" customWidth="1"/>
    <col min="4612" max="4612" width="34.85546875" bestFit="1" customWidth="1"/>
    <col min="4617" max="4617" width="11" bestFit="1" customWidth="1"/>
    <col min="4620" max="4620" width="13.85546875" bestFit="1" customWidth="1"/>
    <col min="4865" max="4865" width="8.85546875" customWidth="1"/>
    <col min="4867" max="4867" width="31.5703125" bestFit="1" customWidth="1"/>
    <col min="4868" max="4868" width="34.85546875" bestFit="1" customWidth="1"/>
    <col min="4873" max="4873" width="11" bestFit="1" customWidth="1"/>
    <col min="4876" max="4876" width="13.85546875" bestFit="1" customWidth="1"/>
    <col min="5121" max="5121" width="8.85546875" customWidth="1"/>
    <col min="5123" max="5123" width="31.5703125" bestFit="1" customWidth="1"/>
    <col min="5124" max="5124" width="34.85546875" bestFit="1" customWidth="1"/>
    <col min="5129" max="5129" width="11" bestFit="1" customWidth="1"/>
    <col min="5132" max="5132" width="13.85546875" bestFit="1" customWidth="1"/>
    <col min="5377" max="5377" width="8.85546875" customWidth="1"/>
    <col min="5379" max="5379" width="31.5703125" bestFit="1" customWidth="1"/>
    <col min="5380" max="5380" width="34.85546875" bestFit="1" customWidth="1"/>
    <col min="5385" max="5385" width="11" bestFit="1" customWidth="1"/>
    <col min="5388" max="5388" width="13.85546875" bestFit="1" customWidth="1"/>
    <col min="5633" max="5633" width="8.85546875" customWidth="1"/>
    <col min="5635" max="5635" width="31.5703125" bestFit="1" customWidth="1"/>
    <col min="5636" max="5636" width="34.85546875" bestFit="1" customWidth="1"/>
    <col min="5641" max="5641" width="11" bestFit="1" customWidth="1"/>
    <col min="5644" max="5644" width="13.85546875" bestFit="1" customWidth="1"/>
    <col min="5889" max="5889" width="8.85546875" customWidth="1"/>
    <col min="5891" max="5891" width="31.5703125" bestFit="1" customWidth="1"/>
    <col min="5892" max="5892" width="34.85546875" bestFit="1" customWidth="1"/>
    <col min="5897" max="5897" width="11" bestFit="1" customWidth="1"/>
    <col min="5900" max="5900" width="13.85546875" bestFit="1" customWidth="1"/>
    <col min="6145" max="6145" width="8.85546875" customWidth="1"/>
    <col min="6147" max="6147" width="31.5703125" bestFit="1" customWidth="1"/>
    <col min="6148" max="6148" width="34.85546875" bestFit="1" customWidth="1"/>
    <col min="6153" max="6153" width="11" bestFit="1" customWidth="1"/>
    <col min="6156" max="6156" width="13.85546875" bestFit="1" customWidth="1"/>
    <col min="6401" max="6401" width="8.85546875" customWidth="1"/>
    <col min="6403" max="6403" width="31.5703125" bestFit="1" customWidth="1"/>
    <col min="6404" max="6404" width="34.85546875" bestFit="1" customWidth="1"/>
    <col min="6409" max="6409" width="11" bestFit="1" customWidth="1"/>
    <col min="6412" max="6412" width="13.85546875" bestFit="1" customWidth="1"/>
    <col min="6657" max="6657" width="8.85546875" customWidth="1"/>
    <col min="6659" max="6659" width="31.5703125" bestFit="1" customWidth="1"/>
    <col min="6660" max="6660" width="34.85546875" bestFit="1" customWidth="1"/>
    <col min="6665" max="6665" width="11" bestFit="1" customWidth="1"/>
    <col min="6668" max="6668" width="13.85546875" bestFit="1" customWidth="1"/>
    <col min="6913" max="6913" width="8.85546875" customWidth="1"/>
    <col min="6915" max="6915" width="31.5703125" bestFit="1" customWidth="1"/>
    <col min="6916" max="6916" width="34.85546875" bestFit="1" customWidth="1"/>
    <col min="6921" max="6921" width="11" bestFit="1" customWidth="1"/>
    <col min="6924" max="6924" width="13.85546875" bestFit="1" customWidth="1"/>
    <col min="7169" max="7169" width="8.85546875" customWidth="1"/>
    <col min="7171" max="7171" width="31.5703125" bestFit="1" customWidth="1"/>
    <col min="7172" max="7172" width="34.85546875" bestFit="1" customWidth="1"/>
    <col min="7177" max="7177" width="11" bestFit="1" customWidth="1"/>
    <col min="7180" max="7180" width="13.85546875" bestFit="1" customWidth="1"/>
    <col min="7425" max="7425" width="8.85546875" customWidth="1"/>
    <col min="7427" max="7427" width="31.5703125" bestFit="1" customWidth="1"/>
    <col min="7428" max="7428" width="34.85546875" bestFit="1" customWidth="1"/>
    <col min="7433" max="7433" width="11" bestFit="1" customWidth="1"/>
    <col min="7436" max="7436" width="13.85546875" bestFit="1" customWidth="1"/>
    <col min="7681" max="7681" width="8.85546875" customWidth="1"/>
    <col min="7683" max="7683" width="31.5703125" bestFit="1" customWidth="1"/>
    <col min="7684" max="7684" width="34.85546875" bestFit="1" customWidth="1"/>
    <col min="7689" max="7689" width="11" bestFit="1" customWidth="1"/>
    <col min="7692" max="7692" width="13.85546875" bestFit="1" customWidth="1"/>
    <col min="7937" max="7937" width="8.85546875" customWidth="1"/>
    <col min="7939" max="7939" width="31.5703125" bestFit="1" customWidth="1"/>
    <col min="7940" max="7940" width="34.85546875" bestFit="1" customWidth="1"/>
    <col min="7945" max="7945" width="11" bestFit="1" customWidth="1"/>
    <col min="7948" max="7948" width="13.85546875" bestFit="1" customWidth="1"/>
    <col min="8193" max="8193" width="8.85546875" customWidth="1"/>
    <col min="8195" max="8195" width="31.5703125" bestFit="1" customWidth="1"/>
    <col min="8196" max="8196" width="34.85546875" bestFit="1" customWidth="1"/>
    <col min="8201" max="8201" width="11" bestFit="1" customWidth="1"/>
    <col min="8204" max="8204" width="13.85546875" bestFit="1" customWidth="1"/>
    <col min="8449" max="8449" width="8.85546875" customWidth="1"/>
    <col min="8451" max="8451" width="31.5703125" bestFit="1" customWidth="1"/>
    <col min="8452" max="8452" width="34.85546875" bestFit="1" customWidth="1"/>
    <col min="8457" max="8457" width="11" bestFit="1" customWidth="1"/>
    <col min="8460" max="8460" width="13.85546875" bestFit="1" customWidth="1"/>
    <col min="8705" max="8705" width="8.85546875" customWidth="1"/>
    <col min="8707" max="8707" width="31.5703125" bestFit="1" customWidth="1"/>
    <col min="8708" max="8708" width="34.85546875" bestFit="1" customWidth="1"/>
    <col min="8713" max="8713" width="11" bestFit="1" customWidth="1"/>
    <col min="8716" max="8716" width="13.85546875" bestFit="1" customWidth="1"/>
    <col min="8961" max="8961" width="8.85546875" customWidth="1"/>
    <col min="8963" max="8963" width="31.5703125" bestFit="1" customWidth="1"/>
    <col min="8964" max="8964" width="34.85546875" bestFit="1" customWidth="1"/>
    <col min="8969" max="8969" width="11" bestFit="1" customWidth="1"/>
    <col min="8972" max="8972" width="13.85546875" bestFit="1" customWidth="1"/>
    <col min="9217" max="9217" width="8.85546875" customWidth="1"/>
    <col min="9219" max="9219" width="31.5703125" bestFit="1" customWidth="1"/>
    <col min="9220" max="9220" width="34.85546875" bestFit="1" customWidth="1"/>
    <col min="9225" max="9225" width="11" bestFit="1" customWidth="1"/>
    <col min="9228" max="9228" width="13.85546875" bestFit="1" customWidth="1"/>
    <col min="9473" max="9473" width="8.85546875" customWidth="1"/>
    <col min="9475" max="9475" width="31.5703125" bestFit="1" customWidth="1"/>
    <col min="9476" max="9476" width="34.85546875" bestFit="1" customWidth="1"/>
    <col min="9481" max="9481" width="11" bestFit="1" customWidth="1"/>
    <col min="9484" max="9484" width="13.85546875" bestFit="1" customWidth="1"/>
    <col min="9729" max="9729" width="8.85546875" customWidth="1"/>
    <col min="9731" max="9731" width="31.5703125" bestFit="1" customWidth="1"/>
    <col min="9732" max="9732" width="34.85546875" bestFit="1" customWidth="1"/>
    <col min="9737" max="9737" width="11" bestFit="1" customWidth="1"/>
    <col min="9740" max="9740" width="13.85546875" bestFit="1" customWidth="1"/>
    <col min="9985" max="9985" width="8.85546875" customWidth="1"/>
    <col min="9987" max="9987" width="31.5703125" bestFit="1" customWidth="1"/>
    <col min="9988" max="9988" width="34.85546875" bestFit="1" customWidth="1"/>
    <col min="9993" max="9993" width="11" bestFit="1" customWidth="1"/>
    <col min="9996" max="9996" width="13.85546875" bestFit="1" customWidth="1"/>
    <col min="10241" max="10241" width="8.85546875" customWidth="1"/>
    <col min="10243" max="10243" width="31.5703125" bestFit="1" customWidth="1"/>
    <col min="10244" max="10244" width="34.85546875" bestFit="1" customWidth="1"/>
    <col min="10249" max="10249" width="11" bestFit="1" customWidth="1"/>
    <col min="10252" max="10252" width="13.85546875" bestFit="1" customWidth="1"/>
    <col min="10497" max="10497" width="8.85546875" customWidth="1"/>
    <col min="10499" max="10499" width="31.5703125" bestFit="1" customWidth="1"/>
    <col min="10500" max="10500" width="34.85546875" bestFit="1" customWidth="1"/>
    <col min="10505" max="10505" width="11" bestFit="1" customWidth="1"/>
    <col min="10508" max="10508" width="13.85546875" bestFit="1" customWidth="1"/>
    <col min="10753" max="10753" width="8.85546875" customWidth="1"/>
    <col min="10755" max="10755" width="31.5703125" bestFit="1" customWidth="1"/>
    <col min="10756" max="10756" width="34.85546875" bestFit="1" customWidth="1"/>
    <col min="10761" max="10761" width="11" bestFit="1" customWidth="1"/>
    <col min="10764" max="10764" width="13.85546875" bestFit="1" customWidth="1"/>
    <col min="11009" max="11009" width="8.85546875" customWidth="1"/>
    <col min="11011" max="11011" width="31.5703125" bestFit="1" customWidth="1"/>
    <col min="11012" max="11012" width="34.85546875" bestFit="1" customWidth="1"/>
    <col min="11017" max="11017" width="11" bestFit="1" customWidth="1"/>
    <col min="11020" max="11020" width="13.85546875" bestFit="1" customWidth="1"/>
    <col min="11265" max="11265" width="8.85546875" customWidth="1"/>
    <col min="11267" max="11267" width="31.5703125" bestFit="1" customWidth="1"/>
    <col min="11268" max="11268" width="34.85546875" bestFit="1" customWidth="1"/>
    <col min="11273" max="11273" width="11" bestFit="1" customWidth="1"/>
    <col min="11276" max="11276" width="13.85546875" bestFit="1" customWidth="1"/>
    <col min="11521" max="11521" width="8.85546875" customWidth="1"/>
    <col min="11523" max="11523" width="31.5703125" bestFit="1" customWidth="1"/>
    <col min="11524" max="11524" width="34.85546875" bestFit="1" customWidth="1"/>
    <col min="11529" max="11529" width="11" bestFit="1" customWidth="1"/>
    <col min="11532" max="11532" width="13.85546875" bestFit="1" customWidth="1"/>
    <col min="11777" max="11777" width="8.85546875" customWidth="1"/>
    <col min="11779" max="11779" width="31.5703125" bestFit="1" customWidth="1"/>
    <col min="11780" max="11780" width="34.85546875" bestFit="1" customWidth="1"/>
    <col min="11785" max="11785" width="11" bestFit="1" customWidth="1"/>
    <col min="11788" max="11788" width="13.85546875" bestFit="1" customWidth="1"/>
    <col min="12033" max="12033" width="8.85546875" customWidth="1"/>
    <col min="12035" max="12035" width="31.5703125" bestFit="1" customWidth="1"/>
    <col min="12036" max="12036" width="34.85546875" bestFit="1" customWidth="1"/>
    <col min="12041" max="12041" width="11" bestFit="1" customWidth="1"/>
    <col min="12044" max="12044" width="13.85546875" bestFit="1" customWidth="1"/>
    <col min="12289" max="12289" width="8.85546875" customWidth="1"/>
    <col min="12291" max="12291" width="31.5703125" bestFit="1" customWidth="1"/>
    <col min="12292" max="12292" width="34.85546875" bestFit="1" customWidth="1"/>
    <col min="12297" max="12297" width="11" bestFit="1" customWidth="1"/>
    <col min="12300" max="12300" width="13.85546875" bestFit="1" customWidth="1"/>
    <col min="12545" max="12545" width="8.85546875" customWidth="1"/>
    <col min="12547" max="12547" width="31.5703125" bestFit="1" customWidth="1"/>
    <col min="12548" max="12548" width="34.85546875" bestFit="1" customWidth="1"/>
    <col min="12553" max="12553" width="11" bestFit="1" customWidth="1"/>
    <col min="12556" max="12556" width="13.85546875" bestFit="1" customWidth="1"/>
    <col min="12801" max="12801" width="8.85546875" customWidth="1"/>
    <col min="12803" max="12803" width="31.5703125" bestFit="1" customWidth="1"/>
    <col min="12804" max="12804" width="34.85546875" bestFit="1" customWidth="1"/>
    <col min="12809" max="12809" width="11" bestFit="1" customWidth="1"/>
    <col min="12812" max="12812" width="13.85546875" bestFit="1" customWidth="1"/>
    <col min="13057" max="13057" width="8.85546875" customWidth="1"/>
    <col min="13059" max="13059" width="31.5703125" bestFit="1" customWidth="1"/>
    <col min="13060" max="13060" width="34.85546875" bestFit="1" customWidth="1"/>
    <col min="13065" max="13065" width="11" bestFit="1" customWidth="1"/>
    <col min="13068" max="13068" width="13.85546875" bestFit="1" customWidth="1"/>
    <col min="13313" max="13313" width="8.85546875" customWidth="1"/>
    <col min="13315" max="13315" width="31.5703125" bestFit="1" customWidth="1"/>
    <col min="13316" max="13316" width="34.85546875" bestFit="1" customWidth="1"/>
    <col min="13321" max="13321" width="11" bestFit="1" customWidth="1"/>
    <col min="13324" max="13324" width="13.85546875" bestFit="1" customWidth="1"/>
    <col min="13569" max="13569" width="8.85546875" customWidth="1"/>
    <col min="13571" max="13571" width="31.5703125" bestFit="1" customWidth="1"/>
    <col min="13572" max="13572" width="34.85546875" bestFit="1" customWidth="1"/>
    <col min="13577" max="13577" width="11" bestFit="1" customWidth="1"/>
    <col min="13580" max="13580" width="13.85546875" bestFit="1" customWidth="1"/>
    <col min="13825" max="13825" width="8.85546875" customWidth="1"/>
    <col min="13827" max="13827" width="31.5703125" bestFit="1" customWidth="1"/>
    <col min="13828" max="13828" width="34.85546875" bestFit="1" customWidth="1"/>
    <col min="13833" max="13833" width="11" bestFit="1" customWidth="1"/>
    <col min="13836" max="13836" width="13.85546875" bestFit="1" customWidth="1"/>
    <col min="14081" max="14081" width="8.85546875" customWidth="1"/>
    <col min="14083" max="14083" width="31.5703125" bestFit="1" customWidth="1"/>
    <col min="14084" max="14084" width="34.85546875" bestFit="1" customWidth="1"/>
    <col min="14089" max="14089" width="11" bestFit="1" customWidth="1"/>
    <col min="14092" max="14092" width="13.85546875" bestFit="1" customWidth="1"/>
    <col min="14337" max="14337" width="8.85546875" customWidth="1"/>
    <col min="14339" max="14339" width="31.5703125" bestFit="1" customWidth="1"/>
    <col min="14340" max="14340" width="34.85546875" bestFit="1" customWidth="1"/>
    <col min="14345" max="14345" width="11" bestFit="1" customWidth="1"/>
    <col min="14348" max="14348" width="13.85546875" bestFit="1" customWidth="1"/>
    <col min="14593" max="14593" width="8.85546875" customWidth="1"/>
    <col min="14595" max="14595" width="31.5703125" bestFit="1" customWidth="1"/>
    <col min="14596" max="14596" width="34.85546875" bestFit="1" customWidth="1"/>
    <col min="14601" max="14601" width="11" bestFit="1" customWidth="1"/>
    <col min="14604" max="14604" width="13.85546875" bestFit="1" customWidth="1"/>
    <col min="14849" max="14849" width="8.85546875" customWidth="1"/>
    <col min="14851" max="14851" width="31.5703125" bestFit="1" customWidth="1"/>
    <col min="14852" max="14852" width="34.85546875" bestFit="1" customWidth="1"/>
    <col min="14857" max="14857" width="11" bestFit="1" customWidth="1"/>
    <col min="14860" max="14860" width="13.85546875" bestFit="1" customWidth="1"/>
    <col min="15105" max="15105" width="8.85546875" customWidth="1"/>
    <col min="15107" max="15107" width="31.5703125" bestFit="1" customWidth="1"/>
    <col min="15108" max="15108" width="34.85546875" bestFit="1" customWidth="1"/>
    <col min="15113" max="15113" width="11" bestFit="1" customWidth="1"/>
    <col min="15116" max="15116" width="13.85546875" bestFit="1" customWidth="1"/>
    <col min="15361" max="15361" width="8.85546875" customWidth="1"/>
    <col min="15363" max="15363" width="31.5703125" bestFit="1" customWidth="1"/>
    <col min="15364" max="15364" width="34.85546875" bestFit="1" customWidth="1"/>
    <col min="15369" max="15369" width="11" bestFit="1" customWidth="1"/>
    <col min="15372" max="15372" width="13.85546875" bestFit="1" customWidth="1"/>
    <col min="15617" max="15617" width="8.85546875" customWidth="1"/>
    <col min="15619" max="15619" width="31.5703125" bestFit="1" customWidth="1"/>
    <col min="15620" max="15620" width="34.85546875" bestFit="1" customWidth="1"/>
    <col min="15625" max="15625" width="11" bestFit="1" customWidth="1"/>
    <col min="15628" max="15628" width="13.85546875" bestFit="1" customWidth="1"/>
    <col min="15873" max="15873" width="8.85546875" customWidth="1"/>
    <col min="15875" max="15875" width="31.5703125" bestFit="1" customWidth="1"/>
    <col min="15876" max="15876" width="34.85546875" bestFit="1" customWidth="1"/>
    <col min="15881" max="15881" width="11" bestFit="1" customWidth="1"/>
    <col min="15884" max="15884" width="13.85546875" bestFit="1" customWidth="1"/>
    <col min="16129" max="16129" width="8.85546875" customWidth="1"/>
    <col min="16131" max="16131" width="31.5703125" bestFit="1" customWidth="1"/>
    <col min="16132" max="16132" width="34.85546875" bestFit="1" customWidth="1"/>
    <col min="16137" max="16137" width="11" bestFit="1" customWidth="1"/>
    <col min="16140" max="16140" width="13.85546875" bestFit="1" customWidth="1"/>
  </cols>
  <sheetData>
    <row r="1" spans="1:23" x14ac:dyDescent="0.2">
      <c r="A1" s="223" t="s">
        <v>1</v>
      </c>
      <c r="B1" s="7" t="s">
        <v>18</v>
      </c>
      <c r="C1" s="7" t="s">
        <v>2</v>
      </c>
      <c r="D1" s="15"/>
      <c r="E1" s="203"/>
      <c r="F1" s="8"/>
      <c r="G1" s="50"/>
      <c r="H1" s="9"/>
      <c r="I1" s="10"/>
      <c r="J1" s="11"/>
      <c r="K1" s="12"/>
      <c r="L1" s="12"/>
      <c r="M1" s="12"/>
      <c r="N1" s="117"/>
      <c r="O1" s="25"/>
      <c r="P1" s="25"/>
      <c r="Q1" s="12"/>
      <c r="R1" s="12"/>
      <c r="S1" s="12"/>
      <c r="T1" s="13"/>
      <c r="U1" s="14"/>
      <c r="V1" s="14"/>
      <c r="W1" s="14"/>
    </row>
    <row r="2" spans="1:23" x14ac:dyDescent="0.2">
      <c r="A2" s="224" t="s">
        <v>19</v>
      </c>
      <c r="B2" s="81">
        <v>90003</v>
      </c>
      <c r="C2" s="12" t="s">
        <v>1215</v>
      </c>
      <c r="D2" t="s">
        <v>1213</v>
      </c>
      <c r="E2">
        <v>0</v>
      </c>
      <c r="F2" s="8"/>
      <c r="G2" s="50"/>
      <c r="H2" s="9"/>
      <c r="I2" s="10"/>
      <c r="J2" s="11"/>
      <c r="K2" s="12"/>
      <c r="L2" s="12"/>
      <c r="M2" s="12"/>
      <c r="N2" s="117"/>
      <c r="O2" s="25"/>
      <c r="P2" s="25"/>
      <c r="Q2" s="12"/>
      <c r="R2" s="12"/>
      <c r="S2" s="12"/>
      <c r="T2" s="13"/>
      <c r="U2" s="14"/>
      <c r="V2" s="14"/>
      <c r="W2" s="14"/>
    </row>
    <row r="3" spans="1:23" x14ac:dyDescent="0.2">
      <c r="A3" s="224"/>
      <c r="B3" s="14"/>
      <c r="C3" s="12"/>
      <c r="D3" s="15"/>
      <c r="E3" s="203"/>
      <c r="F3" s="8"/>
      <c r="G3" s="50"/>
      <c r="H3" s="9"/>
      <c r="I3" s="10"/>
      <c r="J3" s="11"/>
      <c r="K3" s="12"/>
      <c r="L3" s="12"/>
      <c r="M3" s="12"/>
      <c r="N3" s="117"/>
      <c r="O3" s="25"/>
      <c r="P3" s="25"/>
      <c r="Q3" s="12"/>
      <c r="R3" s="12"/>
      <c r="S3" s="12"/>
      <c r="T3" s="13"/>
      <c r="U3" s="14"/>
      <c r="V3" s="14"/>
      <c r="W3" s="14"/>
    </row>
    <row r="4" spans="1:23" x14ac:dyDescent="0.2">
      <c r="A4" s="224"/>
      <c r="B4" s="14"/>
      <c r="C4" s="12"/>
      <c r="D4" s="15"/>
      <c r="E4" s="204"/>
      <c r="F4" s="50"/>
      <c r="G4" s="50"/>
      <c r="H4" s="9"/>
      <c r="I4" s="10"/>
      <c r="J4" s="11"/>
      <c r="K4" s="12"/>
      <c r="L4" s="12"/>
      <c r="M4" s="12"/>
      <c r="N4" s="117"/>
      <c r="O4" s="25"/>
      <c r="P4" s="25"/>
      <c r="Q4" s="12"/>
      <c r="R4" s="12"/>
      <c r="S4" s="12"/>
      <c r="T4" s="13"/>
      <c r="U4" s="14"/>
      <c r="V4" s="14"/>
      <c r="W4" s="14"/>
    </row>
    <row r="5" spans="1:23" x14ac:dyDescent="0.2">
      <c r="A5" s="211" t="s">
        <v>1</v>
      </c>
      <c r="B5" s="16" t="s">
        <v>18</v>
      </c>
      <c r="C5" s="16" t="s">
        <v>2</v>
      </c>
      <c r="D5" s="16" t="s">
        <v>14</v>
      </c>
      <c r="E5" s="205" t="s">
        <v>9</v>
      </c>
      <c r="F5" s="120" t="s">
        <v>40</v>
      </c>
      <c r="G5" s="120" t="s">
        <v>13</v>
      </c>
      <c r="H5" s="17" t="s">
        <v>10</v>
      </c>
      <c r="I5" s="18" t="s">
        <v>7</v>
      </c>
      <c r="J5" s="19" t="s">
        <v>6</v>
      </c>
      <c r="K5" s="16" t="s">
        <v>15</v>
      </c>
      <c r="L5" s="16" t="s">
        <v>28</v>
      </c>
      <c r="M5" s="16" t="s">
        <v>20</v>
      </c>
      <c r="N5" s="121" t="s">
        <v>21</v>
      </c>
      <c r="O5" s="28" t="s">
        <v>22</v>
      </c>
      <c r="P5" s="28" t="s">
        <v>29</v>
      </c>
      <c r="Q5" s="16" t="s">
        <v>23</v>
      </c>
      <c r="R5" s="16" t="s">
        <v>24</v>
      </c>
      <c r="S5" s="16" t="s">
        <v>25</v>
      </c>
      <c r="T5" s="123"/>
      <c r="U5" s="21"/>
      <c r="V5" s="21"/>
      <c r="W5" s="21"/>
    </row>
    <row r="6" spans="1:23" ht="15" x14ac:dyDescent="0.25">
      <c r="A6" s="206"/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</row>
    <row r="7" spans="1:23" ht="14.25" x14ac:dyDescent="0.2">
      <c r="A7" s="208"/>
      <c r="B7" s="209"/>
      <c r="C7" s="209"/>
      <c r="D7" s="209" t="s">
        <v>1214</v>
      </c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</row>
    <row r="8" spans="1:23" ht="15" x14ac:dyDescent="0.25">
      <c r="A8" s="206"/>
      <c r="B8" s="207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</row>
    <row r="9" spans="1:23" x14ac:dyDescent="0.2">
      <c r="A9" s="218" t="s">
        <v>129</v>
      </c>
      <c r="B9" s="81">
        <v>90001</v>
      </c>
      <c r="C9" t="s">
        <v>1216</v>
      </c>
      <c r="D9" t="s">
        <v>1212</v>
      </c>
      <c r="E9" t="s">
        <v>125</v>
      </c>
      <c r="G9">
        <v>131</v>
      </c>
      <c r="H9">
        <v>131</v>
      </c>
      <c r="I9" s="236">
        <f>IF("generated"=1, "Path=Track_10_5, Scaled Offset=131", 131)</f>
        <v>131</v>
      </c>
      <c r="K9" t="s">
        <v>64</v>
      </c>
      <c r="S9" t="s">
        <v>52</v>
      </c>
    </row>
    <row r="10" spans="1:23" x14ac:dyDescent="0.2">
      <c r="A10" s="218" t="s">
        <v>129</v>
      </c>
      <c r="B10" s="81">
        <v>90001</v>
      </c>
      <c r="C10" t="s">
        <v>1216</v>
      </c>
      <c r="D10" t="s">
        <v>1212</v>
      </c>
      <c r="E10" t="s">
        <v>91</v>
      </c>
      <c r="G10">
        <v>251</v>
      </c>
      <c r="H10">
        <v>251</v>
      </c>
      <c r="I10" s="236">
        <f>IF("generated"=1, "Path=Track_20_5_Track_3, Scaled Offset=251", 251)</f>
        <v>251</v>
      </c>
      <c r="K10" t="s">
        <v>64</v>
      </c>
      <c r="S10" t="s">
        <v>52</v>
      </c>
    </row>
    <row r="11" spans="1:23" x14ac:dyDescent="0.2">
      <c r="A11" s="218" t="s">
        <v>129</v>
      </c>
      <c r="B11" s="81">
        <v>90002</v>
      </c>
      <c r="C11" t="s">
        <v>1217</v>
      </c>
      <c r="D11" t="s">
        <v>1212</v>
      </c>
      <c r="E11" t="s">
        <v>126</v>
      </c>
      <c r="G11">
        <v>6384</v>
      </c>
      <c r="H11">
        <v>6384</v>
      </c>
      <c r="I11" s="236">
        <f>IF("generated"=1, "Path=Track_10_Track_2, Scaled Offset=6384", 6384)</f>
        <v>6384</v>
      </c>
      <c r="K11" t="s">
        <v>64</v>
      </c>
      <c r="S11" t="s">
        <v>52</v>
      </c>
    </row>
    <row r="12" spans="1:23" x14ac:dyDescent="0.2">
      <c r="A12" s="218" t="s">
        <v>129</v>
      </c>
      <c r="B12" s="81">
        <v>90002</v>
      </c>
      <c r="C12" t="s">
        <v>1217</v>
      </c>
      <c r="D12" t="s">
        <v>1212</v>
      </c>
      <c r="E12" t="s">
        <v>92</v>
      </c>
      <c r="G12">
        <v>6631</v>
      </c>
      <c r="H12">
        <v>6631</v>
      </c>
      <c r="I12" s="236">
        <f>IF("generated"=1, "Path=Track_20_Track_2, Scaled Offset=6631", 6631)</f>
        <v>6631</v>
      </c>
      <c r="K12" t="s">
        <v>64</v>
      </c>
      <c r="S12" t="s">
        <v>52</v>
      </c>
    </row>
  </sheetData>
  <conditionalFormatting sqref="F1:F8">
    <cfRule type="cellIs" dxfId="2" priority="5" stopIfTrue="1" operator="lessThan">
      <formula>0</formula>
    </cfRule>
    <cfRule type="cellIs" dxfId="1" priority="6" stopIfTrue="1" operator="greaterThan">
      <formula>0</formula>
    </cfRule>
  </conditionalFormatting>
  <conditionalFormatting sqref="O1:P8">
    <cfRule type="cellIs" dxfId="0" priority="4" stopIfTrue="1" operator="greaterThan">
      <formula>0.5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"/>
  <sheetViews>
    <sheetView workbookViewId="0"/>
  </sheetViews>
  <sheetFormatPr defaultColWidth="9.140625" defaultRowHeight="12.75" x14ac:dyDescent="0.2"/>
  <cols>
    <col min="1" max="1" width="15.5703125" style="218" customWidth="1"/>
    <col min="3" max="3" width="11.42578125" customWidth="1"/>
  </cols>
  <sheetData>
    <row r="1" spans="1:4" ht="15" x14ac:dyDescent="0.25">
      <c r="A1" s="220" t="s">
        <v>1</v>
      </c>
      <c r="B1" s="5" t="s">
        <v>14</v>
      </c>
      <c r="C1" s="5" t="s">
        <v>15</v>
      </c>
      <c r="D1" s="5" t="s">
        <v>16</v>
      </c>
    </row>
    <row r="2" spans="1:4" x14ac:dyDescent="0.2">
      <c r="A2" s="218" t="s">
        <v>17</v>
      </c>
      <c r="C2" t="s">
        <v>12</v>
      </c>
      <c r="D2">
        <v>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A39DF-159C-4600-9288-479BD1D63E31}">
  <sheetPr codeName="Sheet6"/>
  <dimension ref="A1:V4317"/>
  <sheetViews>
    <sheetView topLeftCell="A2709" workbookViewId="0">
      <selection activeCell="C2720" sqref="C2720"/>
    </sheetView>
  </sheetViews>
  <sheetFormatPr defaultColWidth="9.140625" defaultRowHeight="12.75" x14ac:dyDescent="0.2"/>
  <cols>
    <col min="1" max="1" width="9.140625" style="218" customWidth="1"/>
    <col min="3" max="3" width="22.42578125" bestFit="1" customWidth="1"/>
    <col min="4" max="4" width="9.85546875" bestFit="1" customWidth="1"/>
    <col min="257" max="257" width="9.140625" customWidth="1"/>
    <col min="259" max="259" width="22.42578125" bestFit="1" customWidth="1"/>
    <col min="260" max="260" width="9.85546875" bestFit="1" customWidth="1"/>
    <col min="513" max="513" width="9.140625" customWidth="1"/>
    <col min="515" max="515" width="22.42578125" bestFit="1" customWidth="1"/>
    <col min="516" max="516" width="9.85546875" bestFit="1" customWidth="1"/>
    <col min="769" max="769" width="9.140625" customWidth="1"/>
    <col min="771" max="771" width="22.42578125" bestFit="1" customWidth="1"/>
    <col min="772" max="772" width="9.85546875" bestFit="1" customWidth="1"/>
    <col min="1025" max="1025" width="9.140625" customWidth="1"/>
    <col min="1027" max="1027" width="22.42578125" bestFit="1" customWidth="1"/>
    <col min="1028" max="1028" width="9.85546875" bestFit="1" customWidth="1"/>
    <col min="1281" max="1281" width="9.140625" customWidth="1"/>
    <col min="1283" max="1283" width="22.42578125" bestFit="1" customWidth="1"/>
    <col min="1284" max="1284" width="9.85546875" bestFit="1" customWidth="1"/>
    <col min="1537" max="1537" width="9.140625" customWidth="1"/>
    <col min="1539" max="1539" width="22.42578125" bestFit="1" customWidth="1"/>
    <col min="1540" max="1540" width="9.85546875" bestFit="1" customWidth="1"/>
    <col min="1793" max="1793" width="9.140625" customWidth="1"/>
    <col min="1795" max="1795" width="22.42578125" bestFit="1" customWidth="1"/>
    <col min="1796" max="1796" width="9.85546875" bestFit="1" customWidth="1"/>
    <col min="2049" max="2049" width="9.140625" customWidth="1"/>
    <col min="2051" max="2051" width="22.42578125" bestFit="1" customWidth="1"/>
    <col min="2052" max="2052" width="9.85546875" bestFit="1" customWidth="1"/>
    <col min="2305" max="2305" width="9.140625" customWidth="1"/>
    <col min="2307" max="2307" width="22.42578125" bestFit="1" customWidth="1"/>
    <col min="2308" max="2308" width="9.85546875" bestFit="1" customWidth="1"/>
    <col min="2561" max="2561" width="9.140625" customWidth="1"/>
    <col min="2563" max="2563" width="22.42578125" bestFit="1" customWidth="1"/>
    <col min="2564" max="2564" width="9.85546875" bestFit="1" customWidth="1"/>
    <col min="2817" max="2817" width="9.140625" customWidth="1"/>
    <col min="2819" max="2819" width="22.42578125" bestFit="1" customWidth="1"/>
    <col min="2820" max="2820" width="9.85546875" bestFit="1" customWidth="1"/>
    <col min="3073" max="3073" width="9.140625" customWidth="1"/>
    <col min="3075" max="3075" width="22.42578125" bestFit="1" customWidth="1"/>
    <col min="3076" max="3076" width="9.85546875" bestFit="1" customWidth="1"/>
    <col min="3329" max="3329" width="9.140625" customWidth="1"/>
    <col min="3331" max="3331" width="22.42578125" bestFit="1" customWidth="1"/>
    <col min="3332" max="3332" width="9.85546875" bestFit="1" customWidth="1"/>
    <col min="3585" max="3585" width="9.140625" customWidth="1"/>
    <col min="3587" max="3587" width="22.42578125" bestFit="1" customWidth="1"/>
    <col min="3588" max="3588" width="9.85546875" bestFit="1" customWidth="1"/>
    <col min="3841" max="3841" width="9.140625" customWidth="1"/>
    <col min="3843" max="3843" width="22.42578125" bestFit="1" customWidth="1"/>
    <col min="3844" max="3844" width="9.85546875" bestFit="1" customWidth="1"/>
    <col min="4097" max="4097" width="9.140625" customWidth="1"/>
    <col min="4099" max="4099" width="22.42578125" bestFit="1" customWidth="1"/>
    <col min="4100" max="4100" width="9.85546875" bestFit="1" customWidth="1"/>
    <col min="4353" max="4353" width="9.140625" customWidth="1"/>
    <col min="4355" max="4355" width="22.42578125" bestFit="1" customWidth="1"/>
    <col min="4356" max="4356" width="9.85546875" bestFit="1" customWidth="1"/>
    <col min="4609" max="4609" width="9.140625" customWidth="1"/>
    <col min="4611" max="4611" width="22.42578125" bestFit="1" customWidth="1"/>
    <col min="4612" max="4612" width="9.85546875" bestFit="1" customWidth="1"/>
    <col min="4865" max="4865" width="9.140625" customWidth="1"/>
    <col min="4867" max="4867" width="22.42578125" bestFit="1" customWidth="1"/>
    <col min="4868" max="4868" width="9.85546875" bestFit="1" customWidth="1"/>
    <col min="5121" max="5121" width="9.140625" customWidth="1"/>
    <col min="5123" max="5123" width="22.42578125" bestFit="1" customWidth="1"/>
    <col min="5124" max="5124" width="9.85546875" bestFit="1" customWidth="1"/>
    <col min="5377" max="5377" width="9.140625" customWidth="1"/>
    <col min="5379" max="5379" width="22.42578125" bestFit="1" customWidth="1"/>
    <col min="5380" max="5380" width="9.85546875" bestFit="1" customWidth="1"/>
    <col min="5633" max="5633" width="9.140625" customWidth="1"/>
    <col min="5635" max="5635" width="22.42578125" bestFit="1" customWidth="1"/>
    <col min="5636" max="5636" width="9.85546875" bestFit="1" customWidth="1"/>
    <col min="5889" max="5889" width="9.140625" customWidth="1"/>
    <col min="5891" max="5891" width="22.42578125" bestFit="1" customWidth="1"/>
    <col min="5892" max="5892" width="9.85546875" bestFit="1" customWidth="1"/>
    <col min="6145" max="6145" width="9.140625" customWidth="1"/>
    <col min="6147" max="6147" width="22.42578125" bestFit="1" customWidth="1"/>
    <col min="6148" max="6148" width="9.85546875" bestFit="1" customWidth="1"/>
    <col min="6401" max="6401" width="9.140625" customWidth="1"/>
    <col min="6403" max="6403" width="22.42578125" bestFit="1" customWidth="1"/>
    <col min="6404" max="6404" width="9.85546875" bestFit="1" customWidth="1"/>
    <col min="6657" max="6657" width="9.140625" customWidth="1"/>
    <col min="6659" max="6659" width="22.42578125" bestFit="1" customWidth="1"/>
    <col min="6660" max="6660" width="9.85546875" bestFit="1" customWidth="1"/>
    <col min="6913" max="6913" width="9.140625" customWidth="1"/>
    <col min="6915" max="6915" width="22.42578125" bestFit="1" customWidth="1"/>
    <col min="6916" max="6916" width="9.85546875" bestFit="1" customWidth="1"/>
    <col min="7169" max="7169" width="9.140625" customWidth="1"/>
    <col min="7171" max="7171" width="22.42578125" bestFit="1" customWidth="1"/>
    <col min="7172" max="7172" width="9.85546875" bestFit="1" customWidth="1"/>
    <col min="7425" max="7425" width="9.140625" customWidth="1"/>
    <col min="7427" max="7427" width="22.42578125" bestFit="1" customWidth="1"/>
    <col min="7428" max="7428" width="9.85546875" bestFit="1" customWidth="1"/>
    <col min="7681" max="7681" width="9.140625" customWidth="1"/>
    <col min="7683" max="7683" width="22.42578125" bestFit="1" customWidth="1"/>
    <col min="7684" max="7684" width="9.85546875" bestFit="1" customWidth="1"/>
    <col min="7937" max="7937" width="9.140625" customWidth="1"/>
    <col min="7939" max="7939" width="22.42578125" bestFit="1" customWidth="1"/>
    <col min="7940" max="7940" width="9.85546875" bestFit="1" customWidth="1"/>
    <col min="8193" max="8193" width="9.140625" customWidth="1"/>
    <col min="8195" max="8195" width="22.42578125" bestFit="1" customWidth="1"/>
    <col min="8196" max="8196" width="9.85546875" bestFit="1" customWidth="1"/>
    <col min="8449" max="8449" width="9.140625" customWidth="1"/>
    <col min="8451" max="8451" width="22.42578125" bestFit="1" customWidth="1"/>
    <col min="8452" max="8452" width="9.85546875" bestFit="1" customWidth="1"/>
    <col min="8705" max="8705" width="9.140625" customWidth="1"/>
    <col min="8707" max="8707" width="22.42578125" bestFit="1" customWidth="1"/>
    <col min="8708" max="8708" width="9.85546875" bestFit="1" customWidth="1"/>
    <col min="8961" max="8961" width="9.140625" customWidth="1"/>
    <col min="8963" max="8963" width="22.42578125" bestFit="1" customWidth="1"/>
    <col min="8964" max="8964" width="9.85546875" bestFit="1" customWidth="1"/>
    <col min="9217" max="9217" width="9.140625" customWidth="1"/>
    <col min="9219" max="9219" width="22.42578125" bestFit="1" customWidth="1"/>
    <col min="9220" max="9220" width="9.85546875" bestFit="1" customWidth="1"/>
    <col min="9473" max="9473" width="9.140625" customWidth="1"/>
    <col min="9475" max="9475" width="22.42578125" bestFit="1" customWidth="1"/>
    <col min="9476" max="9476" width="9.85546875" bestFit="1" customWidth="1"/>
    <col min="9729" max="9729" width="9.140625" customWidth="1"/>
    <col min="9731" max="9731" width="22.42578125" bestFit="1" customWidth="1"/>
    <col min="9732" max="9732" width="9.85546875" bestFit="1" customWidth="1"/>
    <col min="9985" max="9985" width="9.140625" customWidth="1"/>
    <col min="9987" max="9987" width="22.42578125" bestFit="1" customWidth="1"/>
    <col min="9988" max="9988" width="9.85546875" bestFit="1" customWidth="1"/>
    <col min="10241" max="10241" width="9.140625" customWidth="1"/>
    <col min="10243" max="10243" width="22.42578125" bestFit="1" customWidth="1"/>
    <col min="10244" max="10244" width="9.85546875" bestFit="1" customWidth="1"/>
    <col min="10497" max="10497" width="9.140625" customWidth="1"/>
    <col min="10499" max="10499" width="22.42578125" bestFit="1" customWidth="1"/>
    <col min="10500" max="10500" width="9.85546875" bestFit="1" customWidth="1"/>
    <col min="10753" max="10753" width="9.140625" customWidth="1"/>
    <col min="10755" max="10755" width="22.42578125" bestFit="1" customWidth="1"/>
    <col min="10756" max="10756" width="9.85546875" bestFit="1" customWidth="1"/>
    <col min="11009" max="11009" width="9.140625" customWidth="1"/>
    <col min="11011" max="11011" width="22.42578125" bestFit="1" customWidth="1"/>
    <col min="11012" max="11012" width="9.85546875" bestFit="1" customWidth="1"/>
    <col min="11265" max="11265" width="9.140625" customWidth="1"/>
    <col min="11267" max="11267" width="22.42578125" bestFit="1" customWidth="1"/>
    <col min="11268" max="11268" width="9.85546875" bestFit="1" customWidth="1"/>
    <col min="11521" max="11521" width="9.140625" customWidth="1"/>
    <col min="11523" max="11523" width="22.42578125" bestFit="1" customWidth="1"/>
    <col min="11524" max="11524" width="9.85546875" bestFit="1" customWidth="1"/>
    <col min="11777" max="11777" width="9.140625" customWidth="1"/>
    <col min="11779" max="11779" width="22.42578125" bestFit="1" customWidth="1"/>
    <col min="11780" max="11780" width="9.85546875" bestFit="1" customWidth="1"/>
    <col min="12033" max="12033" width="9.140625" customWidth="1"/>
    <col min="12035" max="12035" width="22.42578125" bestFit="1" customWidth="1"/>
    <col min="12036" max="12036" width="9.85546875" bestFit="1" customWidth="1"/>
    <col min="12289" max="12289" width="9.140625" customWidth="1"/>
    <col min="12291" max="12291" width="22.42578125" bestFit="1" customWidth="1"/>
    <col min="12292" max="12292" width="9.85546875" bestFit="1" customWidth="1"/>
    <col min="12545" max="12545" width="9.140625" customWidth="1"/>
    <col min="12547" max="12547" width="22.42578125" bestFit="1" customWidth="1"/>
    <col min="12548" max="12548" width="9.85546875" bestFit="1" customWidth="1"/>
    <col min="12801" max="12801" width="9.140625" customWidth="1"/>
    <col min="12803" max="12803" width="22.42578125" bestFit="1" customWidth="1"/>
    <col min="12804" max="12804" width="9.85546875" bestFit="1" customWidth="1"/>
    <col min="13057" max="13057" width="9.140625" customWidth="1"/>
    <col min="13059" max="13059" width="22.42578125" bestFit="1" customWidth="1"/>
    <col min="13060" max="13060" width="9.85546875" bestFit="1" customWidth="1"/>
    <col min="13313" max="13313" width="9.140625" customWidth="1"/>
    <col min="13315" max="13315" width="22.42578125" bestFit="1" customWidth="1"/>
    <col min="13316" max="13316" width="9.85546875" bestFit="1" customWidth="1"/>
    <col min="13569" max="13569" width="9.140625" customWidth="1"/>
    <col min="13571" max="13571" width="22.42578125" bestFit="1" customWidth="1"/>
    <col min="13572" max="13572" width="9.85546875" bestFit="1" customWidth="1"/>
    <col min="13825" max="13825" width="9.140625" customWidth="1"/>
    <col min="13827" max="13827" width="22.42578125" bestFit="1" customWidth="1"/>
    <col min="13828" max="13828" width="9.85546875" bestFit="1" customWidth="1"/>
    <col min="14081" max="14081" width="9.140625" customWidth="1"/>
    <col min="14083" max="14083" width="22.42578125" bestFit="1" customWidth="1"/>
    <col min="14084" max="14084" width="9.85546875" bestFit="1" customWidth="1"/>
    <col min="14337" max="14337" width="9.140625" customWidth="1"/>
    <col min="14339" max="14339" width="22.42578125" bestFit="1" customWidth="1"/>
    <col min="14340" max="14340" width="9.85546875" bestFit="1" customWidth="1"/>
    <col min="14593" max="14593" width="9.140625" customWidth="1"/>
    <col min="14595" max="14595" width="22.42578125" bestFit="1" customWidth="1"/>
    <col min="14596" max="14596" width="9.85546875" bestFit="1" customWidth="1"/>
    <col min="14849" max="14849" width="9.140625" customWidth="1"/>
    <col min="14851" max="14851" width="22.42578125" bestFit="1" customWidth="1"/>
    <col min="14852" max="14852" width="9.85546875" bestFit="1" customWidth="1"/>
    <col min="15105" max="15105" width="9.140625" customWidth="1"/>
    <col min="15107" max="15107" width="22.42578125" bestFit="1" customWidth="1"/>
    <col min="15108" max="15108" width="9.85546875" bestFit="1" customWidth="1"/>
    <col min="15361" max="15361" width="9.140625" customWidth="1"/>
    <col min="15363" max="15363" width="22.42578125" bestFit="1" customWidth="1"/>
    <col min="15364" max="15364" width="9.85546875" bestFit="1" customWidth="1"/>
    <col min="15617" max="15617" width="9.140625" customWidth="1"/>
    <col min="15619" max="15619" width="22.42578125" bestFit="1" customWidth="1"/>
    <col min="15620" max="15620" width="9.85546875" bestFit="1" customWidth="1"/>
    <col min="15873" max="15873" width="9.140625" customWidth="1"/>
    <col min="15875" max="15875" width="22.42578125" bestFit="1" customWidth="1"/>
    <col min="15876" max="15876" width="9.85546875" bestFit="1" customWidth="1"/>
    <col min="16129" max="16129" width="9.140625" customWidth="1"/>
    <col min="16131" max="16131" width="22.42578125" bestFit="1" customWidth="1"/>
    <col min="16132" max="16132" width="9.85546875" bestFit="1" customWidth="1"/>
  </cols>
  <sheetData>
    <row r="1" spans="1:22" s="95" customFormat="1" x14ac:dyDescent="0.2">
      <c r="A1" s="221"/>
      <c r="B1" s="95" t="s">
        <v>18</v>
      </c>
      <c r="C1" s="95" t="s">
        <v>2</v>
      </c>
      <c r="D1" s="95" t="s">
        <v>14</v>
      </c>
      <c r="E1" s="95" t="s">
        <v>8</v>
      </c>
      <c r="F1" s="95" t="s">
        <v>6</v>
      </c>
      <c r="G1" s="95" t="s">
        <v>7</v>
      </c>
      <c r="H1" s="95" t="s">
        <v>15</v>
      </c>
      <c r="I1" s="95" t="s">
        <v>21</v>
      </c>
      <c r="J1" s="95" t="s">
        <v>22</v>
      </c>
      <c r="K1" s="95" t="s">
        <v>23</v>
      </c>
      <c r="L1" s="95" t="s">
        <v>24</v>
      </c>
      <c r="M1" s="95" t="s">
        <v>9</v>
      </c>
      <c r="N1" s="95" t="s">
        <v>42</v>
      </c>
      <c r="O1" s="95" t="s">
        <v>43</v>
      </c>
      <c r="P1" s="95" t="s">
        <v>44</v>
      </c>
      <c r="Q1" s="95" t="s">
        <v>21</v>
      </c>
      <c r="R1" s="95" t="s">
        <v>22</v>
      </c>
      <c r="S1" s="95" t="s">
        <v>29</v>
      </c>
      <c r="T1" s="95" t="s">
        <v>45</v>
      </c>
      <c r="U1" s="95" t="s">
        <v>46</v>
      </c>
      <c r="V1" s="95" t="s">
        <v>47</v>
      </c>
    </row>
    <row r="2" spans="1:22" x14ac:dyDescent="0.2">
      <c r="A2"/>
      <c r="B2">
        <v>1</v>
      </c>
      <c r="C2" t="s">
        <v>90</v>
      </c>
      <c r="D2" t="s">
        <v>1219</v>
      </c>
      <c r="E2" t="s">
        <v>74</v>
      </c>
      <c r="Q2">
        <v>5679.4764414399997</v>
      </c>
      <c r="R2">
        <v>28223.181468300001</v>
      </c>
      <c r="S2">
        <v>5.2501949120900004</v>
      </c>
      <c r="T2">
        <v>0</v>
      </c>
      <c r="U2">
        <v>0</v>
      </c>
      <c r="V2">
        <v>0</v>
      </c>
    </row>
    <row r="3" spans="1:22" x14ac:dyDescent="0.2">
      <c r="A3"/>
      <c r="B3">
        <v>2</v>
      </c>
      <c r="C3" t="s">
        <v>88</v>
      </c>
      <c r="D3" t="s">
        <v>1219</v>
      </c>
      <c r="E3" t="s">
        <v>74</v>
      </c>
      <c r="Q3">
        <v>5614.6888510500003</v>
      </c>
      <c r="R3">
        <v>27827.211188199999</v>
      </c>
      <c r="S3">
        <v>5.2558385635500002</v>
      </c>
      <c r="T3">
        <v>0</v>
      </c>
      <c r="U3">
        <v>0</v>
      </c>
      <c r="V3">
        <v>0</v>
      </c>
    </row>
    <row r="4" spans="1:22" x14ac:dyDescent="0.2">
      <c r="A4"/>
      <c r="B4">
        <v>3</v>
      </c>
      <c r="C4" t="s">
        <v>86</v>
      </c>
      <c r="D4" t="s">
        <v>1219</v>
      </c>
      <c r="E4" t="s">
        <v>74</v>
      </c>
      <c r="Q4">
        <v>5027.0229261499999</v>
      </c>
      <c r="R4">
        <v>22368.1049886</v>
      </c>
      <c r="S4">
        <v>-1.7324842626500001</v>
      </c>
      <c r="T4">
        <v>0</v>
      </c>
      <c r="U4">
        <v>0</v>
      </c>
      <c r="V4">
        <v>0</v>
      </c>
    </row>
    <row r="5" spans="1:22" x14ac:dyDescent="0.2">
      <c r="A5"/>
      <c r="B5">
        <v>4</v>
      </c>
      <c r="C5" t="s">
        <v>93</v>
      </c>
      <c r="D5" t="s">
        <v>1219</v>
      </c>
      <c r="E5" t="s">
        <v>74</v>
      </c>
      <c r="Q5">
        <v>4937.8028677100001</v>
      </c>
      <c r="R5">
        <v>21922.346803</v>
      </c>
      <c r="S5">
        <v>-1.0679256558E-2</v>
      </c>
      <c r="T5">
        <v>0</v>
      </c>
      <c r="U5">
        <v>0</v>
      </c>
      <c r="V5">
        <v>0</v>
      </c>
    </row>
    <row r="6" spans="1:22" x14ac:dyDescent="0.2">
      <c r="A6"/>
      <c r="B6">
        <v>5</v>
      </c>
      <c r="C6" t="s">
        <v>85</v>
      </c>
      <c r="D6" t="s">
        <v>1219</v>
      </c>
      <c r="E6" t="s">
        <v>74</v>
      </c>
      <c r="Q6">
        <v>4918.4976782100002</v>
      </c>
      <c r="R6">
        <v>21847.520709299999</v>
      </c>
      <c r="S6">
        <v>-1.43929070544E-2</v>
      </c>
      <c r="T6">
        <v>0</v>
      </c>
      <c r="U6">
        <v>0</v>
      </c>
      <c r="V6">
        <v>0</v>
      </c>
    </row>
    <row r="7" spans="1:22" x14ac:dyDescent="0.2">
      <c r="A7"/>
      <c r="B7">
        <v>6</v>
      </c>
      <c r="C7" t="s">
        <v>94</v>
      </c>
      <c r="D7" t="s">
        <v>1219</v>
      </c>
      <c r="E7" t="s">
        <v>74</v>
      </c>
      <c r="Q7">
        <v>5662.1351553599998</v>
      </c>
      <c r="R7">
        <v>28147.795966199999</v>
      </c>
      <c r="S7">
        <v>5.2320619779499999</v>
      </c>
      <c r="T7">
        <v>0</v>
      </c>
      <c r="U7">
        <v>0</v>
      </c>
      <c r="V7">
        <v>0</v>
      </c>
    </row>
    <row r="8" spans="1:22" x14ac:dyDescent="0.2">
      <c r="A8"/>
      <c r="B8">
        <v>7</v>
      </c>
      <c r="C8" t="s">
        <v>95</v>
      </c>
      <c r="D8" t="s">
        <v>1219</v>
      </c>
      <c r="E8" t="s">
        <v>74</v>
      </c>
      <c r="Q8">
        <v>5622.2299045700001</v>
      </c>
      <c r="R8">
        <v>27903.9570853</v>
      </c>
      <c r="S8">
        <v>5.2167133570299997</v>
      </c>
      <c r="T8">
        <v>0</v>
      </c>
      <c r="U8">
        <v>0</v>
      </c>
      <c r="V8">
        <v>0</v>
      </c>
    </row>
    <row r="9" spans="1:22" x14ac:dyDescent="0.2">
      <c r="A9"/>
      <c r="B9">
        <v>8</v>
      </c>
      <c r="C9" t="s">
        <v>96</v>
      </c>
      <c r="D9" t="s">
        <v>1219</v>
      </c>
      <c r="E9" t="s">
        <v>74</v>
      </c>
      <c r="Q9">
        <v>5008.4779295099997</v>
      </c>
      <c r="R9">
        <v>22292.7670598</v>
      </c>
      <c r="S9">
        <v>-1.7207073739500001</v>
      </c>
      <c r="T9">
        <v>0</v>
      </c>
      <c r="U9">
        <v>0</v>
      </c>
      <c r="V9">
        <v>0</v>
      </c>
    </row>
    <row r="10" spans="1:22" x14ac:dyDescent="0.2">
      <c r="A10"/>
      <c r="B10">
        <v>9</v>
      </c>
      <c r="C10" t="s">
        <v>97</v>
      </c>
      <c r="D10" t="s">
        <v>1219</v>
      </c>
      <c r="E10" t="s">
        <v>74</v>
      </c>
      <c r="Q10">
        <v>4933.0219176600003</v>
      </c>
      <c r="R10">
        <v>21923.761928399999</v>
      </c>
      <c r="S10">
        <v>-3.7574947366300002E-3</v>
      </c>
      <c r="T10">
        <v>0</v>
      </c>
      <c r="U10">
        <v>0</v>
      </c>
      <c r="V10">
        <v>0</v>
      </c>
    </row>
    <row r="11" spans="1:22" x14ac:dyDescent="0.2">
      <c r="A11"/>
      <c r="B11">
        <v>10</v>
      </c>
      <c r="C11" t="s">
        <v>98</v>
      </c>
      <c r="D11" t="s">
        <v>1219</v>
      </c>
      <c r="E11" t="s">
        <v>74</v>
      </c>
      <c r="Q11">
        <v>4913.7106739000001</v>
      </c>
      <c r="R11">
        <v>21848.941324300002</v>
      </c>
      <c r="S11">
        <v>-2.38552984872E-3</v>
      </c>
      <c r="T11">
        <v>0</v>
      </c>
      <c r="U11">
        <v>0</v>
      </c>
      <c r="V11">
        <v>0</v>
      </c>
    </row>
    <row r="12" spans="1:22" x14ac:dyDescent="0.2">
      <c r="A12"/>
      <c r="B12">
        <v>11</v>
      </c>
      <c r="C12" t="s">
        <v>99</v>
      </c>
      <c r="D12" t="s">
        <v>1219</v>
      </c>
      <c r="E12" t="s">
        <v>74</v>
      </c>
      <c r="Q12">
        <v>6677.6285206299999</v>
      </c>
      <c r="R12">
        <v>36346.739417800003</v>
      </c>
      <c r="S12">
        <v>-3.96594197192</v>
      </c>
      <c r="T12">
        <v>0</v>
      </c>
      <c r="U12">
        <v>0</v>
      </c>
      <c r="V12">
        <v>0</v>
      </c>
    </row>
    <row r="13" spans="1:22" x14ac:dyDescent="0.2">
      <c r="A13"/>
      <c r="B13">
        <v>12</v>
      </c>
      <c r="C13" t="s">
        <v>100</v>
      </c>
      <c r="D13" t="s">
        <v>1219</v>
      </c>
      <c r="E13" t="s">
        <v>74</v>
      </c>
      <c r="Q13">
        <v>6674.8023727399996</v>
      </c>
      <c r="R13">
        <v>36331.675279399999</v>
      </c>
      <c r="S13">
        <v>-3.9641121040699998</v>
      </c>
      <c r="T13">
        <v>0</v>
      </c>
      <c r="U13">
        <v>0</v>
      </c>
      <c r="V13">
        <v>0</v>
      </c>
    </row>
    <row r="14" spans="1:22" x14ac:dyDescent="0.2">
      <c r="A14"/>
      <c r="B14">
        <v>13</v>
      </c>
      <c r="C14" t="s">
        <v>101</v>
      </c>
      <c r="D14" t="s">
        <v>1219</v>
      </c>
      <c r="E14" t="s">
        <v>74</v>
      </c>
      <c r="Q14">
        <v>6660.6188890900003</v>
      </c>
      <c r="R14">
        <v>36255.901188999997</v>
      </c>
      <c r="S14">
        <v>-3.9629824046</v>
      </c>
      <c r="T14">
        <v>0</v>
      </c>
      <c r="U14">
        <v>0</v>
      </c>
      <c r="V14">
        <v>0</v>
      </c>
    </row>
    <row r="15" spans="1:22" x14ac:dyDescent="0.2">
      <c r="A15"/>
      <c r="B15">
        <v>14</v>
      </c>
      <c r="C15" t="s">
        <v>102</v>
      </c>
      <c r="D15" t="s">
        <v>1219</v>
      </c>
      <c r="E15" t="s">
        <v>74</v>
      </c>
      <c r="Q15">
        <v>6655.7334552599996</v>
      </c>
      <c r="R15">
        <v>36256.606704999998</v>
      </c>
      <c r="S15">
        <v>-4.00220543956</v>
      </c>
      <c r="T15">
        <v>0</v>
      </c>
      <c r="U15">
        <v>0</v>
      </c>
      <c r="V15">
        <v>0</v>
      </c>
    </row>
    <row r="16" spans="1:22" x14ac:dyDescent="0.2">
      <c r="A16"/>
      <c r="B16">
        <v>15</v>
      </c>
      <c r="C16" t="s">
        <v>103</v>
      </c>
      <c r="D16" t="s">
        <v>1219</v>
      </c>
      <c r="E16" t="s">
        <v>74</v>
      </c>
      <c r="Q16">
        <v>6679.6836907099996</v>
      </c>
      <c r="R16">
        <v>36330.751295000002</v>
      </c>
      <c r="S16">
        <v>-3.9718148500799999</v>
      </c>
      <c r="T16">
        <v>0</v>
      </c>
      <c r="U16">
        <v>0</v>
      </c>
      <c r="V16">
        <v>0</v>
      </c>
    </row>
    <row r="17" spans="1:22" x14ac:dyDescent="0.2">
      <c r="A17"/>
      <c r="B17">
        <v>16</v>
      </c>
      <c r="C17" t="s">
        <v>1220</v>
      </c>
      <c r="D17" t="s">
        <v>1219</v>
      </c>
      <c r="E17" t="s">
        <v>74</v>
      </c>
      <c r="Q17">
        <v>7075.9062405499999</v>
      </c>
      <c r="R17">
        <v>37039.199094399999</v>
      </c>
      <c r="S17">
        <v>-9.1615174389099998</v>
      </c>
      <c r="T17">
        <v>0</v>
      </c>
      <c r="U17">
        <v>0</v>
      </c>
      <c r="V17">
        <v>0</v>
      </c>
    </row>
    <row r="18" spans="1:22" x14ac:dyDescent="0.2">
      <c r="A18"/>
      <c r="B18">
        <v>17</v>
      </c>
      <c r="C18" t="s">
        <v>104</v>
      </c>
      <c r="D18" t="s">
        <v>1219</v>
      </c>
      <c r="E18" t="s">
        <v>74</v>
      </c>
      <c r="Q18">
        <v>6832.4814520299997</v>
      </c>
      <c r="R18">
        <v>36713.987497399998</v>
      </c>
      <c r="S18">
        <v>-9.1531696352700003</v>
      </c>
      <c r="T18">
        <v>0</v>
      </c>
      <c r="U18">
        <v>0</v>
      </c>
      <c r="V18">
        <v>0</v>
      </c>
    </row>
    <row r="19" spans="1:22" x14ac:dyDescent="0.2">
      <c r="A19"/>
      <c r="B19">
        <v>18</v>
      </c>
      <c r="C19" t="s">
        <v>1221</v>
      </c>
      <c r="D19" t="s">
        <v>1219</v>
      </c>
      <c r="E19" t="s">
        <v>74</v>
      </c>
      <c r="Q19">
        <v>7024.4880338599996</v>
      </c>
      <c r="R19">
        <v>36978.775738700002</v>
      </c>
      <c r="S19">
        <v>-9.1428745997099998</v>
      </c>
      <c r="T19">
        <v>0</v>
      </c>
      <c r="U19">
        <v>0</v>
      </c>
      <c r="V19">
        <v>0</v>
      </c>
    </row>
    <row r="20" spans="1:22" x14ac:dyDescent="0.2">
      <c r="A20"/>
      <c r="B20">
        <v>19</v>
      </c>
      <c r="C20" t="s">
        <v>105</v>
      </c>
      <c r="D20" t="s">
        <v>1219</v>
      </c>
      <c r="E20" t="s">
        <v>74</v>
      </c>
      <c r="Q20">
        <v>6875.1710332299999</v>
      </c>
      <c r="R20">
        <v>36779.280584699998</v>
      </c>
      <c r="S20">
        <v>-9.1508861475599996</v>
      </c>
      <c r="T20">
        <v>0</v>
      </c>
      <c r="U20">
        <v>0</v>
      </c>
      <c r="V20">
        <v>0</v>
      </c>
    </row>
    <row r="21" spans="1:22" x14ac:dyDescent="0.2">
      <c r="A21"/>
      <c r="B21">
        <v>20</v>
      </c>
      <c r="C21" t="s">
        <v>1222</v>
      </c>
      <c r="D21" t="s">
        <v>1219</v>
      </c>
      <c r="E21" t="s">
        <v>74</v>
      </c>
      <c r="Q21">
        <v>3260.5130771899999</v>
      </c>
      <c r="R21">
        <v>31683.748328599999</v>
      </c>
      <c r="S21">
        <v>-10.799219035</v>
      </c>
      <c r="T21">
        <v>0</v>
      </c>
      <c r="U21">
        <v>0</v>
      </c>
      <c r="V21">
        <v>0</v>
      </c>
    </row>
    <row r="22" spans="1:22" x14ac:dyDescent="0.2">
      <c r="A22"/>
      <c r="B22">
        <v>21</v>
      </c>
      <c r="C22" t="s">
        <v>1223</v>
      </c>
      <c r="D22" t="s">
        <v>1219</v>
      </c>
      <c r="E22" t="s">
        <v>74</v>
      </c>
      <c r="Q22">
        <v>3309.8089913499998</v>
      </c>
      <c r="R22">
        <v>31936.472714299998</v>
      </c>
      <c r="S22">
        <v>-10.7966107335</v>
      </c>
      <c r="T22">
        <v>0</v>
      </c>
      <c r="U22">
        <v>0</v>
      </c>
      <c r="V22">
        <v>0</v>
      </c>
    </row>
    <row r="23" spans="1:22" x14ac:dyDescent="0.2">
      <c r="A23"/>
      <c r="B23">
        <v>22</v>
      </c>
      <c r="C23" t="s">
        <v>1224</v>
      </c>
      <c r="D23" t="s">
        <v>1219</v>
      </c>
      <c r="E23" t="s">
        <v>74</v>
      </c>
      <c r="Q23">
        <v>3340.0244515600002</v>
      </c>
      <c r="R23">
        <v>32052.826644699999</v>
      </c>
      <c r="S23">
        <v>-10.800202643800001</v>
      </c>
      <c r="T23">
        <v>0</v>
      </c>
      <c r="U23">
        <v>0</v>
      </c>
      <c r="V23">
        <v>0</v>
      </c>
    </row>
    <row r="24" spans="1:22" x14ac:dyDescent="0.2">
      <c r="A24"/>
      <c r="B24">
        <v>23</v>
      </c>
      <c r="C24" t="s">
        <v>1225</v>
      </c>
      <c r="D24" t="s">
        <v>1219</v>
      </c>
      <c r="E24" t="s">
        <v>74</v>
      </c>
      <c r="Q24">
        <v>3408.0262166399998</v>
      </c>
      <c r="R24">
        <v>32383.300509500001</v>
      </c>
      <c r="S24">
        <v>-10.795587745200001</v>
      </c>
      <c r="T24">
        <v>0</v>
      </c>
      <c r="U24">
        <v>0</v>
      </c>
      <c r="V24">
        <v>0</v>
      </c>
    </row>
    <row r="25" spans="1:22" x14ac:dyDescent="0.2">
      <c r="A25"/>
      <c r="B25">
        <v>24</v>
      </c>
      <c r="C25" t="s">
        <v>1226</v>
      </c>
      <c r="D25" t="s">
        <v>1219</v>
      </c>
      <c r="E25" t="s">
        <v>74</v>
      </c>
      <c r="Q25">
        <v>3409.11316635</v>
      </c>
      <c r="R25">
        <v>32389.675578499999</v>
      </c>
      <c r="S25">
        <v>-10.7950499639</v>
      </c>
      <c r="T25">
        <v>0</v>
      </c>
      <c r="U25">
        <v>0</v>
      </c>
      <c r="V25">
        <v>0</v>
      </c>
    </row>
    <row r="26" spans="1:22" x14ac:dyDescent="0.2">
      <c r="A26"/>
      <c r="B26">
        <v>25</v>
      </c>
      <c r="C26" t="s">
        <v>1227</v>
      </c>
      <c r="D26" t="s">
        <v>1219</v>
      </c>
      <c r="E26" t="s">
        <v>74</v>
      </c>
      <c r="Q26">
        <v>3334.1190599400002</v>
      </c>
      <c r="R26">
        <v>32010.463716999999</v>
      </c>
      <c r="S26">
        <v>-10.770629533999999</v>
      </c>
      <c r="T26">
        <v>0</v>
      </c>
      <c r="U26">
        <v>0</v>
      </c>
      <c r="V26">
        <v>0</v>
      </c>
    </row>
    <row r="27" spans="1:22" x14ac:dyDescent="0.2">
      <c r="A27"/>
      <c r="B27">
        <v>26</v>
      </c>
      <c r="C27" t="s">
        <v>1228</v>
      </c>
      <c r="D27" t="s">
        <v>1219</v>
      </c>
      <c r="E27" t="s">
        <v>74</v>
      </c>
      <c r="Q27">
        <v>3427.1423495200002</v>
      </c>
      <c r="R27">
        <v>32465.8966425</v>
      </c>
      <c r="S27">
        <v>-10.7644019264</v>
      </c>
      <c r="T27">
        <v>0</v>
      </c>
      <c r="U27">
        <v>0</v>
      </c>
      <c r="V27">
        <v>0</v>
      </c>
    </row>
    <row r="28" spans="1:22" x14ac:dyDescent="0.2">
      <c r="A28"/>
      <c r="B28">
        <v>27</v>
      </c>
      <c r="C28" t="s">
        <v>1229</v>
      </c>
      <c r="D28" t="s">
        <v>1219</v>
      </c>
      <c r="E28" t="s">
        <v>74</v>
      </c>
      <c r="Q28">
        <v>2291.64588396</v>
      </c>
      <c r="R28">
        <v>31428.619126599999</v>
      </c>
      <c r="S28">
        <v>-28.7768468443</v>
      </c>
      <c r="T28">
        <v>0</v>
      </c>
      <c r="U28">
        <v>0</v>
      </c>
      <c r="V28">
        <v>0</v>
      </c>
    </row>
    <row r="29" spans="1:22" x14ac:dyDescent="0.2">
      <c r="A29"/>
      <c r="B29">
        <v>28</v>
      </c>
      <c r="C29" t="s">
        <v>1230</v>
      </c>
      <c r="D29" t="s">
        <v>1219</v>
      </c>
      <c r="E29" t="s">
        <v>74</v>
      </c>
      <c r="Q29">
        <v>2326.9066998399999</v>
      </c>
      <c r="R29">
        <v>31421.245437199999</v>
      </c>
      <c r="S29">
        <v>-28.341047878200001</v>
      </c>
      <c r="T29">
        <v>0</v>
      </c>
      <c r="U29">
        <v>0</v>
      </c>
      <c r="V29">
        <v>0</v>
      </c>
    </row>
    <row r="30" spans="1:22" x14ac:dyDescent="0.2">
      <c r="A30"/>
      <c r="B30">
        <v>29</v>
      </c>
      <c r="C30" t="s">
        <v>1231</v>
      </c>
      <c r="D30" t="s">
        <v>1219</v>
      </c>
      <c r="E30" t="s">
        <v>74</v>
      </c>
      <c r="Q30">
        <v>2428.0074457599999</v>
      </c>
      <c r="R30">
        <v>31384.671120700001</v>
      </c>
      <c r="S30">
        <v>-26.999140787399998</v>
      </c>
      <c r="T30">
        <v>0</v>
      </c>
      <c r="U30">
        <v>0</v>
      </c>
      <c r="V30">
        <v>0</v>
      </c>
    </row>
    <row r="31" spans="1:22" x14ac:dyDescent="0.2">
      <c r="A31"/>
      <c r="B31">
        <v>30</v>
      </c>
      <c r="C31" t="s">
        <v>1232</v>
      </c>
      <c r="D31" t="s">
        <v>1219</v>
      </c>
      <c r="E31" t="s">
        <v>74</v>
      </c>
      <c r="Q31">
        <v>2295.3671753899998</v>
      </c>
      <c r="R31">
        <v>31370.759650200001</v>
      </c>
      <c r="S31">
        <v>-28.444750583299999</v>
      </c>
      <c r="T31">
        <v>0</v>
      </c>
      <c r="U31">
        <v>0</v>
      </c>
      <c r="V31">
        <v>0</v>
      </c>
    </row>
    <row r="32" spans="1:22" x14ac:dyDescent="0.2">
      <c r="A32"/>
      <c r="B32">
        <v>31</v>
      </c>
      <c r="C32" t="s">
        <v>1233</v>
      </c>
      <c r="D32" t="s">
        <v>1219</v>
      </c>
      <c r="E32" t="s">
        <v>74</v>
      </c>
      <c r="Q32">
        <v>2272.14311413</v>
      </c>
      <c r="R32">
        <v>31374.909809799999</v>
      </c>
      <c r="S32">
        <v>-28.7383562897</v>
      </c>
      <c r="T32">
        <v>0</v>
      </c>
      <c r="U32">
        <v>0</v>
      </c>
      <c r="V32">
        <v>0</v>
      </c>
    </row>
    <row r="33" spans="1:22" x14ac:dyDescent="0.2">
      <c r="A33"/>
      <c r="B33">
        <v>32</v>
      </c>
      <c r="C33" t="s">
        <v>1234</v>
      </c>
      <c r="D33" t="s">
        <v>1219</v>
      </c>
      <c r="E33" t="s">
        <v>74</v>
      </c>
      <c r="Q33">
        <v>2299.66696731</v>
      </c>
      <c r="R33">
        <v>31376.056530599999</v>
      </c>
      <c r="S33">
        <v>-28.4248079266</v>
      </c>
      <c r="T33">
        <v>0</v>
      </c>
      <c r="U33">
        <v>0</v>
      </c>
      <c r="V33">
        <v>0</v>
      </c>
    </row>
    <row r="34" spans="1:22" x14ac:dyDescent="0.2">
      <c r="A34"/>
      <c r="B34">
        <v>33</v>
      </c>
      <c r="C34" t="s">
        <v>1235</v>
      </c>
      <c r="D34" t="s">
        <v>1219</v>
      </c>
      <c r="E34" t="s">
        <v>74</v>
      </c>
      <c r="Q34">
        <v>2335.5700228599999</v>
      </c>
      <c r="R34">
        <v>31378.760621400001</v>
      </c>
      <c r="S34">
        <v>-28.022260819700001</v>
      </c>
      <c r="T34">
        <v>0</v>
      </c>
      <c r="U34">
        <v>0</v>
      </c>
      <c r="V34">
        <v>0</v>
      </c>
    </row>
    <row r="35" spans="1:22" x14ac:dyDescent="0.2">
      <c r="A35"/>
      <c r="B35">
        <v>34</v>
      </c>
      <c r="C35" t="s">
        <v>1236</v>
      </c>
      <c r="D35" t="s">
        <v>1219</v>
      </c>
      <c r="E35" t="s">
        <v>74</v>
      </c>
      <c r="Q35">
        <v>2228.4983922800002</v>
      </c>
      <c r="R35">
        <v>31422.1332286</v>
      </c>
      <c r="S35">
        <v>-29.468289175700001</v>
      </c>
      <c r="T35">
        <v>0</v>
      </c>
      <c r="U35">
        <v>0</v>
      </c>
      <c r="V35">
        <v>0</v>
      </c>
    </row>
    <row r="36" spans="1:22" x14ac:dyDescent="0.2">
      <c r="A36"/>
      <c r="B36">
        <v>35</v>
      </c>
      <c r="C36" t="s">
        <v>1237</v>
      </c>
      <c r="D36" t="s">
        <v>1219</v>
      </c>
      <c r="E36" t="s">
        <v>74</v>
      </c>
      <c r="Q36">
        <v>2248.8582559299998</v>
      </c>
      <c r="R36">
        <v>31422.0439181</v>
      </c>
      <c r="S36">
        <v>-29.232993901099999</v>
      </c>
      <c r="T36">
        <v>0</v>
      </c>
      <c r="U36">
        <v>0</v>
      </c>
      <c r="V36">
        <v>0</v>
      </c>
    </row>
    <row r="37" spans="1:22" x14ac:dyDescent="0.2">
      <c r="A37"/>
      <c r="B37">
        <v>36</v>
      </c>
      <c r="C37" t="s">
        <v>1238</v>
      </c>
      <c r="D37" t="s">
        <v>1219</v>
      </c>
      <c r="E37" t="s">
        <v>74</v>
      </c>
      <c r="Q37">
        <v>2296.6091223200001</v>
      </c>
      <c r="R37">
        <v>31414.906867500002</v>
      </c>
      <c r="S37">
        <v>-28.650434157500001</v>
      </c>
      <c r="T37">
        <v>0</v>
      </c>
      <c r="U37">
        <v>0</v>
      </c>
      <c r="V37">
        <v>0</v>
      </c>
    </row>
    <row r="38" spans="1:22" x14ac:dyDescent="0.2">
      <c r="A38"/>
      <c r="B38">
        <v>37</v>
      </c>
      <c r="C38" t="s">
        <v>1239</v>
      </c>
      <c r="D38" t="s">
        <v>1219</v>
      </c>
      <c r="E38" t="s">
        <v>74</v>
      </c>
      <c r="Q38">
        <v>2273.8695316100002</v>
      </c>
      <c r="R38">
        <v>31538.573639599999</v>
      </c>
      <c r="S38">
        <v>-29.5203168882</v>
      </c>
      <c r="T38">
        <v>0</v>
      </c>
      <c r="U38">
        <v>0</v>
      </c>
      <c r="V38">
        <v>0</v>
      </c>
    </row>
    <row r="39" spans="1:22" x14ac:dyDescent="0.2">
      <c r="A39"/>
      <c r="B39">
        <v>38</v>
      </c>
      <c r="C39" t="s">
        <v>1240</v>
      </c>
      <c r="D39" t="s">
        <v>1219</v>
      </c>
      <c r="E39" t="s">
        <v>74</v>
      </c>
      <c r="Q39">
        <v>2348.4114777700001</v>
      </c>
      <c r="R39">
        <v>31429.899580500001</v>
      </c>
      <c r="S39">
        <v>-28.139028283599998</v>
      </c>
      <c r="T39">
        <v>0</v>
      </c>
      <c r="U39">
        <v>0</v>
      </c>
      <c r="V39">
        <v>0</v>
      </c>
    </row>
    <row r="40" spans="1:22" x14ac:dyDescent="0.2">
      <c r="A40"/>
      <c r="B40">
        <v>39</v>
      </c>
      <c r="C40" t="s">
        <v>1241</v>
      </c>
      <c r="D40" t="s">
        <v>1219</v>
      </c>
      <c r="E40" t="s">
        <v>74</v>
      </c>
      <c r="Q40">
        <v>2418.7015651900001</v>
      </c>
      <c r="R40">
        <v>31387.928867099999</v>
      </c>
      <c r="S40">
        <v>-27.120154144400001</v>
      </c>
      <c r="T40">
        <v>0</v>
      </c>
      <c r="U40">
        <v>0</v>
      </c>
      <c r="V40">
        <v>0</v>
      </c>
    </row>
    <row r="41" spans="1:22" x14ac:dyDescent="0.2">
      <c r="A41"/>
      <c r="B41">
        <v>40</v>
      </c>
      <c r="C41" t="s">
        <v>1242</v>
      </c>
      <c r="D41" t="s">
        <v>1219</v>
      </c>
      <c r="E41" t="s">
        <v>74</v>
      </c>
      <c r="Q41">
        <v>2454.3741764599999</v>
      </c>
      <c r="R41">
        <v>31362.739204199999</v>
      </c>
      <c r="S41">
        <v>-26.508522081999999</v>
      </c>
      <c r="T41">
        <v>0</v>
      </c>
      <c r="U41">
        <v>0</v>
      </c>
      <c r="V41">
        <v>0</v>
      </c>
    </row>
    <row r="42" spans="1:22" x14ac:dyDescent="0.2">
      <c r="A42"/>
      <c r="B42">
        <v>41</v>
      </c>
      <c r="C42" t="s">
        <v>1243</v>
      </c>
      <c r="D42" t="s">
        <v>1219</v>
      </c>
      <c r="E42" t="s">
        <v>74</v>
      </c>
      <c r="Q42">
        <v>2329.4369872699999</v>
      </c>
      <c r="R42">
        <v>31483.673283600001</v>
      </c>
      <c r="S42">
        <v>-28.6145753178</v>
      </c>
      <c r="T42">
        <v>0</v>
      </c>
      <c r="U42">
        <v>0</v>
      </c>
      <c r="V42">
        <v>0</v>
      </c>
    </row>
    <row r="43" spans="1:22" x14ac:dyDescent="0.2">
      <c r="A43"/>
      <c r="B43">
        <v>42</v>
      </c>
      <c r="C43" t="s">
        <v>1244</v>
      </c>
      <c r="D43" t="s">
        <v>1219</v>
      </c>
      <c r="E43" t="s">
        <v>74</v>
      </c>
      <c r="Q43">
        <v>2446.28885171</v>
      </c>
      <c r="R43">
        <v>31381.710642999999</v>
      </c>
      <c r="S43">
        <v>-26.768514646900002</v>
      </c>
      <c r="T43">
        <v>0</v>
      </c>
      <c r="U43">
        <v>0</v>
      </c>
      <c r="V43">
        <v>0</v>
      </c>
    </row>
    <row r="44" spans="1:22" x14ac:dyDescent="0.2">
      <c r="A44"/>
      <c r="B44">
        <v>43</v>
      </c>
      <c r="C44" t="s">
        <v>1245</v>
      </c>
      <c r="D44" t="s">
        <v>1219</v>
      </c>
      <c r="E44" t="s">
        <v>74</v>
      </c>
      <c r="Q44">
        <v>2492.5799542099999</v>
      </c>
      <c r="R44">
        <v>31342.869040400001</v>
      </c>
      <c r="S44">
        <v>-25.478392470300001</v>
      </c>
      <c r="T44">
        <v>0</v>
      </c>
      <c r="U44">
        <v>0</v>
      </c>
      <c r="V44">
        <v>0</v>
      </c>
    </row>
    <row r="45" spans="1:22" x14ac:dyDescent="0.2">
      <c r="A45"/>
      <c r="B45">
        <v>44</v>
      </c>
      <c r="C45" t="s">
        <v>1246</v>
      </c>
      <c r="D45" t="s">
        <v>1219</v>
      </c>
      <c r="E45" t="s">
        <v>74</v>
      </c>
      <c r="Q45">
        <v>2268.1544069800002</v>
      </c>
      <c r="R45">
        <v>31422.424332300001</v>
      </c>
      <c r="S45">
        <v>-29.010265230600002</v>
      </c>
      <c r="T45">
        <v>0</v>
      </c>
      <c r="U45">
        <v>0</v>
      </c>
      <c r="V45">
        <v>0</v>
      </c>
    </row>
    <row r="46" spans="1:22" x14ac:dyDescent="0.2">
      <c r="A46"/>
      <c r="B46">
        <v>45</v>
      </c>
      <c r="C46" t="s">
        <v>1247</v>
      </c>
      <c r="D46" t="s">
        <v>1219</v>
      </c>
      <c r="E46" t="s">
        <v>74</v>
      </c>
      <c r="Q46">
        <v>2345.6767338099999</v>
      </c>
      <c r="R46">
        <v>31438.088107899999</v>
      </c>
      <c r="S46">
        <v>-28.204764819600001</v>
      </c>
      <c r="T46">
        <v>0</v>
      </c>
      <c r="U46">
        <v>0</v>
      </c>
      <c r="V46">
        <v>0</v>
      </c>
    </row>
    <row r="47" spans="1:22" x14ac:dyDescent="0.2">
      <c r="A47"/>
      <c r="B47">
        <v>46</v>
      </c>
      <c r="C47" t="s">
        <v>1248</v>
      </c>
      <c r="D47" t="s">
        <v>1219</v>
      </c>
      <c r="E47" t="s">
        <v>74</v>
      </c>
      <c r="Q47">
        <v>2261.68179513</v>
      </c>
      <c r="R47">
        <v>31432.8923426</v>
      </c>
      <c r="S47">
        <v>-29.1405201</v>
      </c>
      <c r="T47">
        <v>0</v>
      </c>
      <c r="U47">
        <v>0</v>
      </c>
      <c r="V47">
        <v>0</v>
      </c>
    </row>
    <row r="48" spans="1:22" x14ac:dyDescent="0.2">
      <c r="A48"/>
      <c r="B48">
        <v>47</v>
      </c>
      <c r="C48" t="s">
        <v>1249</v>
      </c>
      <c r="D48" t="s">
        <v>1219</v>
      </c>
      <c r="E48" t="s">
        <v>74</v>
      </c>
      <c r="Q48">
        <v>2290.8109406399999</v>
      </c>
      <c r="R48">
        <v>31420.434774699999</v>
      </c>
      <c r="S48">
        <v>-28.743389280399999</v>
      </c>
      <c r="T48">
        <v>0</v>
      </c>
      <c r="U48">
        <v>0</v>
      </c>
      <c r="V48">
        <v>0</v>
      </c>
    </row>
    <row r="49" spans="1:22" x14ac:dyDescent="0.2">
      <c r="A49"/>
      <c r="B49">
        <v>48</v>
      </c>
      <c r="C49" t="s">
        <v>1250</v>
      </c>
      <c r="D49" t="s">
        <v>1219</v>
      </c>
      <c r="E49" t="s">
        <v>74</v>
      </c>
      <c r="Q49">
        <v>2323.9232390000002</v>
      </c>
      <c r="R49">
        <v>31405.839755600002</v>
      </c>
      <c r="S49">
        <v>-28.291171886600001</v>
      </c>
      <c r="T49">
        <v>0</v>
      </c>
      <c r="U49">
        <v>0</v>
      </c>
      <c r="V49">
        <v>0</v>
      </c>
    </row>
    <row r="50" spans="1:22" x14ac:dyDescent="0.2">
      <c r="A50"/>
      <c r="B50">
        <v>49</v>
      </c>
      <c r="C50" t="s">
        <v>1251</v>
      </c>
      <c r="D50" t="s">
        <v>1219</v>
      </c>
      <c r="E50" t="s">
        <v>74</v>
      </c>
      <c r="Q50">
        <v>2422.5565556000001</v>
      </c>
      <c r="R50">
        <v>31360.208301300001</v>
      </c>
      <c r="S50">
        <v>-26.9422824502</v>
      </c>
      <c r="T50">
        <v>0</v>
      </c>
      <c r="U50">
        <v>0</v>
      </c>
      <c r="V50">
        <v>0</v>
      </c>
    </row>
    <row r="51" spans="1:22" x14ac:dyDescent="0.2">
      <c r="A51"/>
      <c r="B51">
        <v>50</v>
      </c>
      <c r="C51" t="s">
        <v>1252</v>
      </c>
      <c r="D51" t="s">
        <v>1219</v>
      </c>
      <c r="E51" t="s">
        <v>74</v>
      </c>
      <c r="Q51">
        <v>2650.6667242499998</v>
      </c>
      <c r="R51">
        <v>31242.6585825</v>
      </c>
      <c r="S51">
        <v>-20.869054017</v>
      </c>
      <c r="T51">
        <v>0</v>
      </c>
      <c r="U51">
        <v>0</v>
      </c>
      <c r="V51">
        <v>0</v>
      </c>
    </row>
    <row r="52" spans="1:22" x14ac:dyDescent="0.2">
      <c r="A52"/>
      <c r="B52">
        <v>51</v>
      </c>
      <c r="C52" t="s">
        <v>1253</v>
      </c>
      <c r="D52" t="s">
        <v>1219</v>
      </c>
      <c r="E52" t="s">
        <v>74</v>
      </c>
      <c r="Q52">
        <v>2698.0064470299999</v>
      </c>
      <c r="R52">
        <v>31207.792520700001</v>
      </c>
      <c r="S52">
        <v>-20.290603240500001</v>
      </c>
      <c r="T52">
        <v>0</v>
      </c>
      <c r="U52">
        <v>0</v>
      </c>
      <c r="V52">
        <v>0</v>
      </c>
    </row>
    <row r="53" spans="1:22" x14ac:dyDescent="0.2">
      <c r="A53"/>
      <c r="B53">
        <v>52</v>
      </c>
      <c r="C53" t="s">
        <v>1254</v>
      </c>
      <c r="D53" t="s">
        <v>1219</v>
      </c>
      <c r="E53" t="s">
        <v>74</v>
      </c>
      <c r="Q53">
        <v>3249.5489069300002</v>
      </c>
      <c r="R53">
        <v>31601.012305200002</v>
      </c>
      <c r="S53">
        <v>-10.790271436499999</v>
      </c>
      <c r="T53">
        <v>0</v>
      </c>
      <c r="U53">
        <v>0</v>
      </c>
      <c r="V53">
        <v>0</v>
      </c>
    </row>
    <row r="54" spans="1:22" x14ac:dyDescent="0.2">
      <c r="A54"/>
      <c r="B54">
        <v>53</v>
      </c>
      <c r="C54" t="s">
        <v>1255</v>
      </c>
      <c r="D54" t="s">
        <v>1219</v>
      </c>
      <c r="E54" t="s">
        <v>74</v>
      </c>
      <c r="Q54">
        <v>3250.2836279899998</v>
      </c>
      <c r="R54">
        <v>31611.297887100001</v>
      </c>
      <c r="S54">
        <v>-10.796545627</v>
      </c>
      <c r="T54">
        <v>0</v>
      </c>
      <c r="U54">
        <v>0</v>
      </c>
      <c r="V54">
        <v>0</v>
      </c>
    </row>
    <row r="55" spans="1:22" x14ac:dyDescent="0.2">
      <c r="A55"/>
      <c r="B55">
        <v>54</v>
      </c>
      <c r="C55" t="s">
        <v>1256</v>
      </c>
      <c r="D55" t="s">
        <v>1219</v>
      </c>
      <c r="E55" t="s">
        <v>74</v>
      </c>
      <c r="Q55">
        <v>2322.3156731499998</v>
      </c>
      <c r="R55">
        <v>31411.843210700001</v>
      </c>
      <c r="S55">
        <v>-28.340373069799998</v>
      </c>
      <c r="T55">
        <v>0</v>
      </c>
      <c r="U55">
        <v>0</v>
      </c>
      <c r="V55">
        <v>0</v>
      </c>
    </row>
    <row r="56" spans="1:22" x14ac:dyDescent="0.2">
      <c r="A56"/>
      <c r="B56">
        <v>55</v>
      </c>
      <c r="C56" t="s">
        <v>1257</v>
      </c>
      <c r="D56" t="s">
        <v>1219</v>
      </c>
      <c r="E56" t="s">
        <v>74</v>
      </c>
      <c r="Q56">
        <v>2474.0310264999998</v>
      </c>
      <c r="R56">
        <v>31345.350883800002</v>
      </c>
      <c r="S56">
        <v>-25.917930836</v>
      </c>
      <c r="T56">
        <v>0</v>
      </c>
      <c r="U56">
        <v>0</v>
      </c>
      <c r="V56">
        <v>0</v>
      </c>
    </row>
    <row r="57" spans="1:22" x14ac:dyDescent="0.2">
      <c r="A57"/>
      <c r="B57">
        <v>56</v>
      </c>
      <c r="C57" t="s">
        <v>1258</v>
      </c>
      <c r="D57" t="s">
        <v>1219</v>
      </c>
      <c r="E57" t="s">
        <v>74</v>
      </c>
      <c r="Q57">
        <v>2497.2352019700002</v>
      </c>
      <c r="R57">
        <v>31334.910462799999</v>
      </c>
      <c r="S57">
        <v>-25.2887501258</v>
      </c>
      <c r="T57">
        <v>0</v>
      </c>
      <c r="U57">
        <v>0</v>
      </c>
      <c r="V57">
        <v>0</v>
      </c>
    </row>
    <row r="58" spans="1:22" x14ac:dyDescent="0.2">
      <c r="A58"/>
      <c r="B58">
        <v>57</v>
      </c>
      <c r="C58" t="s">
        <v>1259</v>
      </c>
      <c r="D58" t="s">
        <v>1219</v>
      </c>
      <c r="E58" t="s">
        <v>74</v>
      </c>
      <c r="Q58">
        <v>2536.3740096800002</v>
      </c>
      <c r="R58">
        <v>31317.2977292</v>
      </c>
      <c r="S58">
        <v>-24.212725156000001</v>
      </c>
      <c r="T58">
        <v>0</v>
      </c>
      <c r="U58">
        <v>0</v>
      </c>
      <c r="V58">
        <v>0</v>
      </c>
    </row>
    <row r="59" spans="1:22" x14ac:dyDescent="0.2">
      <c r="A59"/>
      <c r="B59">
        <v>58</v>
      </c>
      <c r="C59" t="s">
        <v>1260</v>
      </c>
      <c r="D59" t="s">
        <v>1219</v>
      </c>
      <c r="E59" t="s">
        <v>74</v>
      </c>
      <c r="Q59">
        <v>2653.6253449599999</v>
      </c>
      <c r="R59">
        <v>31246.685674799999</v>
      </c>
      <c r="S59">
        <v>-20.883357850900001</v>
      </c>
      <c r="T59">
        <v>0</v>
      </c>
      <c r="U59">
        <v>0</v>
      </c>
      <c r="V59">
        <v>0</v>
      </c>
    </row>
    <row r="60" spans="1:22" x14ac:dyDescent="0.2">
      <c r="A60"/>
      <c r="B60">
        <v>59</v>
      </c>
      <c r="C60" t="s">
        <v>1261</v>
      </c>
      <c r="D60" t="s">
        <v>1219</v>
      </c>
      <c r="E60" t="s">
        <v>74</v>
      </c>
      <c r="Q60">
        <v>2701.0495565699998</v>
      </c>
      <c r="R60">
        <v>31211.9023505</v>
      </c>
      <c r="S60">
        <v>-20.290839645399998</v>
      </c>
      <c r="T60">
        <v>0</v>
      </c>
      <c r="U60">
        <v>0</v>
      </c>
      <c r="V60">
        <v>0</v>
      </c>
    </row>
    <row r="61" spans="1:22" x14ac:dyDescent="0.2">
      <c r="A61"/>
      <c r="B61">
        <v>60</v>
      </c>
      <c r="C61" t="s">
        <v>1262</v>
      </c>
      <c r="D61" t="s">
        <v>1219</v>
      </c>
      <c r="E61" t="s">
        <v>74</v>
      </c>
      <c r="Q61">
        <v>3239.0908548399998</v>
      </c>
      <c r="R61">
        <v>31522.499304699999</v>
      </c>
      <c r="S61">
        <v>-10.7927802942</v>
      </c>
      <c r="T61">
        <v>0</v>
      </c>
      <c r="U61">
        <v>0</v>
      </c>
      <c r="V61">
        <v>0</v>
      </c>
    </row>
    <row r="62" spans="1:22" x14ac:dyDescent="0.2">
      <c r="A62"/>
      <c r="B62">
        <v>61</v>
      </c>
      <c r="C62" t="s">
        <v>1263</v>
      </c>
      <c r="D62" t="s">
        <v>1219</v>
      </c>
      <c r="E62" t="s">
        <v>74</v>
      </c>
      <c r="Q62">
        <v>3293.0248044199998</v>
      </c>
      <c r="R62">
        <v>31919.05629</v>
      </c>
      <c r="S62">
        <v>-10.785913984800001</v>
      </c>
      <c r="T62">
        <v>0</v>
      </c>
      <c r="U62">
        <v>0</v>
      </c>
      <c r="V62">
        <v>0</v>
      </c>
    </row>
    <row r="63" spans="1:22" x14ac:dyDescent="0.2">
      <c r="A63"/>
      <c r="B63">
        <v>62</v>
      </c>
      <c r="C63" t="s">
        <v>1264</v>
      </c>
      <c r="D63" t="s">
        <v>1219</v>
      </c>
      <c r="E63" t="s">
        <v>74</v>
      </c>
      <c r="Q63">
        <v>3374.8552301700001</v>
      </c>
      <c r="R63">
        <v>32266.909906000001</v>
      </c>
      <c r="S63">
        <v>-10.7906130752</v>
      </c>
      <c r="T63">
        <v>0</v>
      </c>
      <c r="U63">
        <v>0</v>
      </c>
      <c r="V63">
        <v>0</v>
      </c>
    </row>
    <row r="64" spans="1:22" x14ac:dyDescent="0.2">
      <c r="A64"/>
      <c r="B64">
        <v>63</v>
      </c>
      <c r="C64" t="s">
        <v>1265</v>
      </c>
      <c r="D64" t="s">
        <v>1219</v>
      </c>
      <c r="E64" t="s">
        <v>74</v>
      </c>
      <c r="Q64">
        <v>2544.1218945700002</v>
      </c>
      <c r="R64">
        <v>23558.100501600002</v>
      </c>
      <c r="S64">
        <v>-8.1981412096300001</v>
      </c>
      <c r="T64">
        <v>0</v>
      </c>
      <c r="U64">
        <v>0</v>
      </c>
      <c r="V64">
        <v>0</v>
      </c>
    </row>
    <row r="65" spans="1:22" x14ac:dyDescent="0.2">
      <c r="A65"/>
      <c r="B65">
        <v>64</v>
      </c>
      <c r="C65" t="s">
        <v>1266</v>
      </c>
      <c r="D65" t="s">
        <v>1219</v>
      </c>
      <c r="E65" t="s">
        <v>74</v>
      </c>
      <c r="Q65">
        <v>2636.2965003700001</v>
      </c>
      <c r="R65">
        <v>24166.754371800002</v>
      </c>
      <c r="S65">
        <v>-11.165953975900001</v>
      </c>
      <c r="T65">
        <v>0</v>
      </c>
      <c r="U65">
        <v>0</v>
      </c>
      <c r="V65">
        <v>0</v>
      </c>
    </row>
    <row r="66" spans="1:22" x14ac:dyDescent="0.2">
      <c r="A66"/>
      <c r="B66">
        <v>65</v>
      </c>
      <c r="C66" t="s">
        <v>1267</v>
      </c>
      <c r="D66" t="s">
        <v>1219</v>
      </c>
      <c r="E66" t="s">
        <v>74</v>
      </c>
      <c r="Q66">
        <v>2548.1993945999998</v>
      </c>
      <c r="R66">
        <v>23479.099812100001</v>
      </c>
      <c r="S66">
        <v>-9.6008830302800003</v>
      </c>
      <c r="T66">
        <v>0</v>
      </c>
      <c r="U66">
        <v>0</v>
      </c>
      <c r="V66">
        <v>0</v>
      </c>
    </row>
    <row r="67" spans="1:22" x14ac:dyDescent="0.2">
      <c r="A67"/>
      <c r="B67">
        <v>66</v>
      </c>
      <c r="C67" t="s">
        <v>1268</v>
      </c>
      <c r="D67" t="s">
        <v>1219</v>
      </c>
      <c r="E67" t="s">
        <v>74</v>
      </c>
      <c r="Q67">
        <v>2659.4873235</v>
      </c>
      <c r="R67">
        <v>24242.072194</v>
      </c>
      <c r="S67">
        <v>-12.6800619238</v>
      </c>
      <c r="T67">
        <v>0</v>
      </c>
      <c r="U67">
        <v>0</v>
      </c>
      <c r="V67">
        <v>0</v>
      </c>
    </row>
    <row r="68" spans="1:22" x14ac:dyDescent="0.2">
      <c r="A68"/>
      <c r="B68">
        <v>8001</v>
      </c>
      <c r="C68" t="s">
        <v>1910</v>
      </c>
      <c r="D68" t="s">
        <v>1212</v>
      </c>
      <c r="E68" t="s">
        <v>52</v>
      </c>
      <c r="F68" t="s">
        <v>1911</v>
      </c>
      <c r="G68">
        <v>58</v>
      </c>
      <c r="H68" t="s">
        <v>248</v>
      </c>
      <c r="Q68">
        <v>2424.0665107300001</v>
      </c>
      <c r="R68">
        <v>31374.6796927</v>
      </c>
      <c r="S68">
        <v>-26.993119577400002</v>
      </c>
      <c r="T68">
        <v>148.438303835</v>
      </c>
      <c r="U68">
        <v>0</v>
      </c>
      <c r="V68">
        <v>0</v>
      </c>
    </row>
    <row r="69" spans="1:22" x14ac:dyDescent="0.2">
      <c r="A69"/>
      <c r="B69">
        <v>8001</v>
      </c>
      <c r="C69" t="s">
        <v>1910</v>
      </c>
      <c r="D69" t="s">
        <v>1212</v>
      </c>
      <c r="E69" t="s">
        <v>52</v>
      </c>
      <c r="F69" t="s">
        <v>1911</v>
      </c>
      <c r="G69">
        <v>152</v>
      </c>
      <c r="H69" t="s">
        <v>248</v>
      </c>
      <c r="Q69">
        <v>2424.0665107300001</v>
      </c>
      <c r="R69">
        <v>31374.6796927</v>
      </c>
      <c r="S69">
        <v>-26.993119577400002</v>
      </c>
      <c r="T69">
        <v>148.438303835</v>
      </c>
      <c r="U69">
        <v>0</v>
      </c>
      <c r="V69">
        <v>0</v>
      </c>
    </row>
    <row r="70" spans="1:22" x14ac:dyDescent="0.2">
      <c r="A70"/>
      <c r="B70">
        <v>8002</v>
      </c>
      <c r="C70" t="s">
        <v>1912</v>
      </c>
      <c r="D70" t="s">
        <v>1913</v>
      </c>
      <c r="E70" t="s">
        <v>1914</v>
      </c>
      <c r="F70" t="s">
        <v>1915</v>
      </c>
      <c r="G70">
        <v>7502</v>
      </c>
      <c r="H70" t="s">
        <v>248</v>
      </c>
      <c r="Q70">
        <v>3680.8273731899999</v>
      </c>
      <c r="R70">
        <v>32994.243154999996</v>
      </c>
      <c r="S70">
        <v>-11.285813617000001</v>
      </c>
      <c r="T70">
        <v>-130.18405528599999</v>
      </c>
      <c r="U70">
        <v>0</v>
      </c>
      <c r="V70">
        <v>0</v>
      </c>
    </row>
    <row r="71" spans="1:22" x14ac:dyDescent="0.2">
      <c r="A71"/>
      <c r="B71">
        <v>8003</v>
      </c>
      <c r="C71" t="s">
        <v>1916</v>
      </c>
      <c r="D71" t="s">
        <v>1913</v>
      </c>
      <c r="E71" t="s">
        <v>1914</v>
      </c>
      <c r="F71" t="s">
        <v>126</v>
      </c>
      <c r="G71">
        <v>4009</v>
      </c>
      <c r="H71" t="s">
        <v>248</v>
      </c>
      <c r="Q71">
        <v>6746.74454608</v>
      </c>
      <c r="R71">
        <v>33118.852176599998</v>
      </c>
      <c r="S71">
        <v>1.8733267089300001</v>
      </c>
      <c r="T71">
        <v>105.464715586</v>
      </c>
      <c r="U71">
        <v>0</v>
      </c>
      <c r="V71">
        <v>0</v>
      </c>
    </row>
    <row r="72" spans="1:22" x14ac:dyDescent="0.2">
      <c r="A72"/>
      <c r="B72">
        <v>8100</v>
      </c>
      <c r="C72" t="s">
        <v>1917</v>
      </c>
      <c r="D72" t="s">
        <v>1918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/>
      <c r="B73">
        <v>8101</v>
      </c>
      <c r="C73" t="s">
        <v>1919</v>
      </c>
      <c r="D73" t="s">
        <v>1919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/>
      <c r="B74">
        <v>8102</v>
      </c>
      <c r="C74" t="s">
        <v>4345</v>
      </c>
      <c r="D74" t="s">
        <v>4345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/>
      <c r="B75">
        <v>20000</v>
      </c>
      <c r="C75" t="s">
        <v>2301</v>
      </c>
      <c r="D75" t="s">
        <v>1052</v>
      </c>
      <c r="E75" t="s">
        <v>1269</v>
      </c>
      <c r="F75" t="s">
        <v>2302</v>
      </c>
      <c r="G75">
        <v>11.8832029949</v>
      </c>
      <c r="H75" t="s">
        <v>1270</v>
      </c>
      <c r="Q75">
        <v>6884.0474798300002</v>
      </c>
      <c r="R75">
        <v>36787.481636999997</v>
      </c>
      <c r="S75">
        <v>-9.1502484002099997</v>
      </c>
      <c r="T75">
        <v>-126.778152042</v>
      </c>
      <c r="U75">
        <v>0</v>
      </c>
      <c r="V75">
        <v>0</v>
      </c>
    </row>
    <row r="76" spans="1:22" x14ac:dyDescent="0.2">
      <c r="A76"/>
      <c r="B76">
        <v>20001</v>
      </c>
      <c r="C76" t="s">
        <v>2303</v>
      </c>
      <c r="D76" t="s">
        <v>1044</v>
      </c>
      <c r="E76" t="s">
        <v>1271</v>
      </c>
      <c r="F76" t="s">
        <v>2302</v>
      </c>
      <c r="G76">
        <v>11.8832029949</v>
      </c>
      <c r="H76" t="s">
        <v>1270</v>
      </c>
      <c r="Q76">
        <v>6884.0473790699998</v>
      </c>
      <c r="R76">
        <v>36787.481502199997</v>
      </c>
      <c r="S76">
        <v>-5.9502484046399999</v>
      </c>
      <c r="T76">
        <v>-126.778152042</v>
      </c>
      <c r="U76">
        <v>0</v>
      </c>
      <c r="V76">
        <v>0</v>
      </c>
    </row>
    <row r="77" spans="1:22" x14ac:dyDescent="0.2">
      <c r="A77"/>
      <c r="B77">
        <v>20002</v>
      </c>
      <c r="C77" t="s">
        <v>2304</v>
      </c>
      <c r="D77" t="s">
        <v>918</v>
      </c>
      <c r="E77" t="s">
        <v>1269</v>
      </c>
      <c r="F77" t="s">
        <v>2302</v>
      </c>
      <c r="G77">
        <v>203.79518554500001</v>
      </c>
      <c r="H77" t="s">
        <v>12</v>
      </c>
      <c r="Q77">
        <v>6995.5094824300004</v>
      </c>
      <c r="R77">
        <v>36943.769005800001</v>
      </c>
      <c r="S77">
        <v>-9.14349518651</v>
      </c>
      <c r="T77">
        <v>53.162585888300001</v>
      </c>
      <c r="U77">
        <v>0</v>
      </c>
      <c r="V77">
        <v>0</v>
      </c>
    </row>
    <row r="78" spans="1:22" x14ac:dyDescent="0.2">
      <c r="A78"/>
      <c r="B78">
        <v>20003</v>
      </c>
      <c r="C78" t="s">
        <v>2305</v>
      </c>
      <c r="D78" t="s">
        <v>1044</v>
      </c>
      <c r="E78" t="s">
        <v>1271</v>
      </c>
      <c r="F78" t="s">
        <v>2302</v>
      </c>
      <c r="G78">
        <v>203.79518554500001</v>
      </c>
      <c r="H78" t="s">
        <v>12</v>
      </c>
      <c r="Q78">
        <v>6995.5094269700003</v>
      </c>
      <c r="R78">
        <v>36943.768931799998</v>
      </c>
      <c r="S78">
        <v>-3.9434951873299999</v>
      </c>
      <c r="T78">
        <v>53.162585888300001</v>
      </c>
      <c r="U78">
        <v>0</v>
      </c>
      <c r="V78">
        <v>0</v>
      </c>
    </row>
    <row r="79" spans="1:22" x14ac:dyDescent="0.2">
      <c r="A79"/>
      <c r="B79">
        <v>20004</v>
      </c>
      <c r="C79" t="s">
        <v>2306</v>
      </c>
      <c r="D79" t="s">
        <v>1052</v>
      </c>
      <c r="E79" t="s">
        <v>1269</v>
      </c>
      <c r="F79" t="s">
        <v>1915</v>
      </c>
      <c r="G79">
        <v>142.632089197</v>
      </c>
      <c r="H79" t="s">
        <v>1270</v>
      </c>
      <c r="Q79">
        <v>7111.7192001699996</v>
      </c>
      <c r="R79">
        <v>37091.6466793</v>
      </c>
      <c r="S79">
        <v>-9.7187141749699997</v>
      </c>
      <c r="T79">
        <v>-126.710514452</v>
      </c>
      <c r="U79">
        <v>0</v>
      </c>
      <c r="V79">
        <v>0</v>
      </c>
    </row>
    <row r="80" spans="1:22" x14ac:dyDescent="0.2">
      <c r="A80"/>
      <c r="B80">
        <v>20005</v>
      </c>
      <c r="C80" t="s">
        <v>2307</v>
      </c>
      <c r="D80" t="s">
        <v>918</v>
      </c>
      <c r="E80" t="s">
        <v>1269</v>
      </c>
      <c r="F80" t="s">
        <v>1920</v>
      </c>
      <c r="G80">
        <v>89.706777645900004</v>
      </c>
      <c r="H80" t="s">
        <v>1270</v>
      </c>
      <c r="Q80">
        <v>6887.9272768999999</v>
      </c>
      <c r="R80">
        <v>36784.539349799998</v>
      </c>
      <c r="S80">
        <v>-9.1648001161600003</v>
      </c>
      <c r="T80">
        <v>-126.80781534099999</v>
      </c>
      <c r="U80">
        <v>0</v>
      </c>
      <c r="V80">
        <v>0</v>
      </c>
    </row>
    <row r="81" spans="1:22" x14ac:dyDescent="0.2">
      <c r="A81"/>
      <c r="B81">
        <v>20006</v>
      </c>
      <c r="C81" t="s">
        <v>2308</v>
      </c>
      <c r="D81" t="s">
        <v>1052</v>
      </c>
      <c r="E81" t="s">
        <v>1269</v>
      </c>
      <c r="F81" t="s">
        <v>1920</v>
      </c>
      <c r="G81">
        <v>281.469176382</v>
      </c>
      <c r="H81" t="s">
        <v>12</v>
      </c>
      <c r="Q81">
        <v>6999.3651692000003</v>
      </c>
      <c r="R81">
        <v>36940.659214699997</v>
      </c>
      <c r="S81">
        <v>-9.1432252060499994</v>
      </c>
      <c r="T81">
        <v>53.165157770900002</v>
      </c>
      <c r="U81">
        <v>0</v>
      </c>
      <c r="V81">
        <v>0</v>
      </c>
    </row>
    <row r="82" spans="1:22" x14ac:dyDescent="0.2">
      <c r="A82"/>
      <c r="B82">
        <v>20007</v>
      </c>
      <c r="C82" t="s">
        <v>2309</v>
      </c>
      <c r="D82" t="s">
        <v>1052</v>
      </c>
      <c r="E82" t="s">
        <v>1269</v>
      </c>
      <c r="F82" t="s">
        <v>2310</v>
      </c>
      <c r="G82">
        <v>65.695420517100004</v>
      </c>
      <c r="H82" t="s">
        <v>1270</v>
      </c>
      <c r="Q82">
        <v>7117.0398329099999</v>
      </c>
      <c r="R82">
        <v>37090.469774600002</v>
      </c>
      <c r="S82">
        <v>-9.6958282254900006</v>
      </c>
      <c r="T82">
        <v>-126.76980299900001</v>
      </c>
      <c r="U82">
        <v>0</v>
      </c>
      <c r="V82">
        <v>0</v>
      </c>
    </row>
    <row r="83" spans="1:22" x14ac:dyDescent="0.2">
      <c r="A83"/>
      <c r="B83">
        <v>20008</v>
      </c>
      <c r="C83" t="s">
        <v>2311</v>
      </c>
      <c r="D83" t="s">
        <v>1044</v>
      </c>
      <c r="E83" t="s">
        <v>1271</v>
      </c>
      <c r="F83" t="s">
        <v>2310</v>
      </c>
      <c r="G83">
        <v>65.695420517100004</v>
      </c>
      <c r="H83" t="s">
        <v>1270</v>
      </c>
      <c r="Q83">
        <v>7117.06646361</v>
      </c>
      <c r="R83">
        <v>37090.505411799997</v>
      </c>
      <c r="S83">
        <v>-6.4961374903899998</v>
      </c>
      <c r="T83">
        <v>-126.76980299900001</v>
      </c>
      <c r="U83">
        <v>0</v>
      </c>
      <c r="V83">
        <v>0</v>
      </c>
    </row>
    <row r="84" spans="1:22" x14ac:dyDescent="0.2">
      <c r="A84"/>
      <c r="B84">
        <v>20009</v>
      </c>
      <c r="C84" t="s">
        <v>2312</v>
      </c>
      <c r="D84" t="s">
        <v>918</v>
      </c>
      <c r="E84" t="s">
        <v>1269</v>
      </c>
      <c r="F84" t="s">
        <v>2313</v>
      </c>
      <c r="G84">
        <v>208.37181016100001</v>
      </c>
      <c r="H84" t="s">
        <v>12</v>
      </c>
      <c r="Q84">
        <v>3437.77950349</v>
      </c>
      <c r="R84">
        <v>32538.5110456</v>
      </c>
      <c r="S84">
        <v>-10.7731846217</v>
      </c>
      <c r="T84">
        <v>-101.985159776</v>
      </c>
      <c r="U84">
        <v>0</v>
      </c>
      <c r="V84">
        <v>0</v>
      </c>
    </row>
    <row r="85" spans="1:22" x14ac:dyDescent="0.2">
      <c r="A85"/>
      <c r="B85">
        <v>20010</v>
      </c>
      <c r="C85" t="s">
        <v>2314</v>
      </c>
      <c r="D85" t="s">
        <v>1044</v>
      </c>
      <c r="E85" t="s">
        <v>1271</v>
      </c>
      <c r="F85" t="s">
        <v>2313</v>
      </c>
      <c r="G85">
        <v>208.37181016100001</v>
      </c>
      <c r="H85" t="s">
        <v>12</v>
      </c>
      <c r="Q85">
        <v>3437.7792131000001</v>
      </c>
      <c r="R85">
        <v>32538.509677599999</v>
      </c>
      <c r="S85">
        <v>-7.0731848859299999</v>
      </c>
      <c r="T85">
        <v>-101.985159776</v>
      </c>
      <c r="U85">
        <v>0</v>
      </c>
      <c r="V85">
        <v>0</v>
      </c>
    </row>
    <row r="86" spans="1:22" x14ac:dyDescent="0.2">
      <c r="A86"/>
      <c r="B86">
        <v>20011</v>
      </c>
      <c r="C86" t="s">
        <v>2315</v>
      </c>
      <c r="D86" t="s">
        <v>1052</v>
      </c>
      <c r="E86" t="s">
        <v>1269</v>
      </c>
      <c r="F86" t="s">
        <v>2316</v>
      </c>
      <c r="G86">
        <v>204.86683955699999</v>
      </c>
      <c r="H86" t="s">
        <v>1270</v>
      </c>
      <c r="Q86">
        <v>3390.4917778200002</v>
      </c>
      <c r="R86">
        <v>32264.3297097</v>
      </c>
      <c r="S86">
        <v>-10.778687877899999</v>
      </c>
      <c r="T86">
        <v>80.137338949400004</v>
      </c>
      <c r="U86">
        <v>0</v>
      </c>
      <c r="V86">
        <v>0</v>
      </c>
    </row>
    <row r="87" spans="1:22" x14ac:dyDescent="0.2">
      <c r="A87"/>
      <c r="B87">
        <v>20012</v>
      </c>
      <c r="C87" t="s">
        <v>2317</v>
      </c>
      <c r="D87" t="s">
        <v>918</v>
      </c>
      <c r="E87" t="s">
        <v>1269</v>
      </c>
      <c r="F87" t="s">
        <v>2316</v>
      </c>
      <c r="G87">
        <v>400.90264916000001</v>
      </c>
      <c r="H87" t="s">
        <v>12</v>
      </c>
      <c r="Q87">
        <v>3352.54461455</v>
      </c>
      <c r="R87">
        <v>32072.0765832</v>
      </c>
      <c r="S87">
        <v>-10.774715285899999</v>
      </c>
      <c r="T87">
        <v>-104.64776679800001</v>
      </c>
      <c r="U87">
        <v>0</v>
      </c>
      <c r="V87">
        <v>0</v>
      </c>
    </row>
    <row r="88" spans="1:22" x14ac:dyDescent="0.2">
      <c r="A88"/>
      <c r="B88">
        <v>20013</v>
      </c>
      <c r="C88" t="s">
        <v>2318</v>
      </c>
      <c r="D88" t="s">
        <v>1044</v>
      </c>
      <c r="E88" t="s">
        <v>1271</v>
      </c>
      <c r="F88" t="s">
        <v>2316</v>
      </c>
      <c r="G88">
        <v>400.90264916000001</v>
      </c>
      <c r="H88" t="s">
        <v>12</v>
      </c>
      <c r="Q88">
        <v>3352.54448413</v>
      </c>
      <c r="R88">
        <v>32072.076084200002</v>
      </c>
      <c r="S88">
        <v>-5.5747153114400003</v>
      </c>
      <c r="T88">
        <v>-104.64776679800001</v>
      </c>
      <c r="U88">
        <v>0</v>
      </c>
      <c r="V88">
        <v>0</v>
      </c>
    </row>
    <row r="89" spans="1:22" x14ac:dyDescent="0.2">
      <c r="A89"/>
      <c r="B89">
        <v>20014</v>
      </c>
      <c r="C89" t="s">
        <v>2319</v>
      </c>
      <c r="D89" t="s">
        <v>1052</v>
      </c>
      <c r="E89" t="s">
        <v>1269</v>
      </c>
      <c r="F89" t="s">
        <v>2320</v>
      </c>
      <c r="G89">
        <v>126.995724108</v>
      </c>
      <c r="H89" t="s">
        <v>1270</v>
      </c>
      <c r="Q89">
        <v>3300.0450838299998</v>
      </c>
      <c r="R89">
        <v>31888.101141300001</v>
      </c>
      <c r="S89">
        <v>-10.787590296799999</v>
      </c>
      <c r="T89">
        <v>75.523302549999997</v>
      </c>
      <c r="U89">
        <v>0</v>
      </c>
      <c r="V89">
        <v>0</v>
      </c>
    </row>
    <row r="90" spans="1:22" x14ac:dyDescent="0.2">
      <c r="A90"/>
      <c r="B90">
        <v>20015</v>
      </c>
      <c r="C90" t="s">
        <v>2321</v>
      </c>
      <c r="D90" t="s">
        <v>1052</v>
      </c>
      <c r="E90" t="s">
        <v>1269</v>
      </c>
      <c r="F90" t="s">
        <v>2322</v>
      </c>
      <c r="G90">
        <v>278.23213095199998</v>
      </c>
      <c r="H90" t="s">
        <v>12</v>
      </c>
      <c r="Q90">
        <v>3420.7859845799999</v>
      </c>
      <c r="R90">
        <v>32471.938846100002</v>
      </c>
      <c r="S90">
        <v>-10.8008362924</v>
      </c>
      <c r="T90">
        <v>-99.693330292300004</v>
      </c>
      <c r="U90">
        <v>0</v>
      </c>
      <c r="V90">
        <v>0</v>
      </c>
    </row>
    <row r="91" spans="1:22" x14ac:dyDescent="0.2">
      <c r="A91"/>
      <c r="B91">
        <v>20016</v>
      </c>
      <c r="C91" t="s">
        <v>2323</v>
      </c>
      <c r="D91" t="s">
        <v>1044</v>
      </c>
      <c r="E91" t="s">
        <v>1271</v>
      </c>
      <c r="F91" t="s">
        <v>2322</v>
      </c>
      <c r="G91">
        <v>278.23213095199998</v>
      </c>
      <c r="H91" t="s">
        <v>12</v>
      </c>
      <c r="Q91">
        <v>3420.7860661599998</v>
      </c>
      <c r="R91">
        <v>32471.9393237</v>
      </c>
      <c r="S91">
        <v>-7.6008363290999998</v>
      </c>
      <c r="T91">
        <v>-99.693330292300004</v>
      </c>
      <c r="U91">
        <v>0</v>
      </c>
      <c r="V91">
        <v>0</v>
      </c>
    </row>
    <row r="92" spans="1:22" x14ac:dyDescent="0.2">
      <c r="A92"/>
      <c r="B92">
        <v>20017</v>
      </c>
      <c r="C92" t="s">
        <v>2324</v>
      </c>
      <c r="D92" t="s">
        <v>918</v>
      </c>
      <c r="E92" t="s">
        <v>1269</v>
      </c>
      <c r="F92" t="s">
        <v>2325</v>
      </c>
      <c r="G92">
        <v>120.120791891</v>
      </c>
      <c r="H92" t="s">
        <v>1270</v>
      </c>
      <c r="Q92">
        <v>3385.6972579100002</v>
      </c>
      <c r="R92">
        <v>32265.260525400001</v>
      </c>
      <c r="S92">
        <v>-10.804305885</v>
      </c>
      <c r="T92">
        <v>80.141862838500003</v>
      </c>
      <c r="U92">
        <v>0</v>
      </c>
      <c r="V92">
        <v>0</v>
      </c>
    </row>
    <row r="93" spans="1:22" x14ac:dyDescent="0.2">
      <c r="A93"/>
      <c r="B93">
        <v>20018</v>
      </c>
      <c r="C93" t="s">
        <v>2326</v>
      </c>
      <c r="D93" t="s">
        <v>1044</v>
      </c>
      <c r="E93" t="s">
        <v>1271</v>
      </c>
      <c r="F93" t="s">
        <v>2325</v>
      </c>
      <c r="G93">
        <v>120.120791891</v>
      </c>
      <c r="H93" t="s">
        <v>1270</v>
      </c>
      <c r="Q93">
        <v>3385.6973655800002</v>
      </c>
      <c r="R93">
        <v>32265.261145</v>
      </c>
      <c r="S93">
        <v>-5.6043059230100001</v>
      </c>
      <c r="T93">
        <v>80.141862838500003</v>
      </c>
      <c r="U93">
        <v>0</v>
      </c>
      <c r="V93">
        <v>0</v>
      </c>
    </row>
    <row r="94" spans="1:22" x14ac:dyDescent="0.2">
      <c r="A94"/>
      <c r="B94">
        <v>20019</v>
      </c>
      <c r="C94" t="s">
        <v>2327</v>
      </c>
      <c r="D94" t="s">
        <v>918</v>
      </c>
      <c r="E94" t="s">
        <v>1269</v>
      </c>
      <c r="F94" t="s">
        <v>2325</v>
      </c>
      <c r="G94">
        <v>315.89999999999998</v>
      </c>
      <c r="H94" t="s">
        <v>12</v>
      </c>
      <c r="Q94">
        <v>3347.65859727</v>
      </c>
      <c r="R94">
        <v>32073.286401400001</v>
      </c>
      <c r="S94">
        <v>-10.798675378900001</v>
      </c>
      <c r="T94">
        <v>-104.71002821</v>
      </c>
      <c r="U94">
        <v>0</v>
      </c>
      <c r="V94">
        <v>0</v>
      </c>
    </row>
    <row r="95" spans="1:22" x14ac:dyDescent="0.2">
      <c r="A95"/>
      <c r="B95">
        <v>20020</v>
      </c>
      <c r="C95" t="s">
        <v>2328</v>
      </c>
      <c r="D95" t="s">
        <v>1044</v>
      </c>
      <c r="E95" t="s">
        <v>1271</v>
      </c>
      <c r="F95" t="s">
        <v>2325</v>
      </c>
      <c r="G95">
        <v>315.89999999999998</v>
      </c>
      <c r="H95" t="s">
        <v>12</v>
      </c>
      <c r="Q95">
        <v>3347.6585115299999</v>
      </c>
      <c r="R95">
        <v>32073.286074700001</v>
      </c>
      <c r="S95">
        <v>-5.5986753898400003</v>
      </c>
      <c r="T95">
        <v>-104.71002821</v>
      </c>
      <c r="U95">
        <v>0</v>
      </c>
      <c r="V95">
        <v>0</v>
      </c>
    </row>
    <row r="96" spans="1:22" x14ac:dyDescent="0.2">
      <c r="A96"/>
      <c r="B96">
        <v>20021</v>
      </c>
      <c r="C96" t="s">
        <v>2329</v>
      </c>
      <c r="D96" t="s">
        <v>1052</v>
      </c>
      <c r="E96" t="s">
        <v>1269</v>
      </c>
      <c r="F96" t="s">
        <v>2330</v>
      </c>
      <c r="G96">
        <v>31.050094079499999</v>
      </c>
      <c r="H96" t="s">
        <v>1270</v>
      </c>
      <c r="Q96">
        <v>3299.86256757</v>
      </c>
      <c r="R96">
        <v>31906.976873399999</v>
      </c>
      <c r="S96">
        <v>-10.7928543635</v>
      </c>
      <c r="T96">
        <v>75.412821067300001</v>
      </c>
      <c r="U96">
        <v>0</v>
      </c>
      <c r="V96">
        <v>0</v>
      </c>
    </row>
    <row r="97" spans="1:22" x14ac:dyDescent="0.2">
      <c r="A97"/>
      <c r="B97">
        <v>20022</v>
      </c>
      <c r="C97" t="s">
        <v>2331</v>
      </c>
      <c r="D97" t="s">
        <v>1044</v>
      </c>
      <c r="E97" t="s">
        <v>1271</v>
      </c>
      <c r="F97" t="s">
        <v>2330</v>
      </c>
      <c r="G97">
        <v>31.050094079499999</v>
      </c>
      <c r="H97" t="s">
        <v>1270</v>
      </c>
      <c r="Q97">
        <v>3299.8626131400001</v>
      </c>
      <c r="R97">
        <v>31906.9770484</v>
      </c>
      <c r="S97">
        <v>-7.5928543685900003</v>
      </c>
      <c r="T97">
        <v>75.412821067300001</v>
      </c>
      <c r="U97">
        <v>0</v>
      </c>
      <c r="V97">
        <v>0</v>
      </c>
    </row>
    <row r="98" spans="1:22" x14ac:dyDescent="0.2">
      <c r="A98"/>
      <c r="B98">
        <v>20023</v>
      </c>
      <c r="C98" t="s">
        <v>2332</v>
      </c>
      <c r="D98" t="s">
        <v>1052</v>
      </c>
      <c r="E98" t="s">
        <v>1269</v>
      </c>
      <c r="F98" t="s">
        <v>2330</v>
      </c>
      <c r="G98">
        <v>242.04018790999999</v>
      </c>
      <c r="H98" t="s">
        <v>12</v>
      </c>
      <c r="Q98">
        <v>3263.8893566000002</v>
      </c>
      <c r="R98">
        <v>31699.527921299999</v>
      </c>
      <c r="S98">
        <v>-10.8001569738</v>
      </c>
      <c r="T98">
        <v>-94.485773548599994</v>
      </c>
      <c r="U98">
        <v>0</v>
      </c>
      <c r="V98">
        <v>0</v>
      </c>
    </row>
    <row r="99" spans="1:22" x14ac:dyDescent="0.2">
      <c r="A99"/>
      <c r="B99">
        <v>20024</v>
      </c>
      <c r="C99" t="s">
        <v>2333</v>
      </c>
      <c r="D99" t="s">
        <v>1044</v>
      </c>
      <c r="E99" t="s">
        <v>1271</v>
      </c>
      <c r="F99" t="s">
        <v>2330</v>
      </c>
      <c r="G99">
        <v>242.04018790999999</v>
      </c>
      <c r="H99" t="s">
        <v>12</v>
      </c>
      <c r="Q99">
        <v>3263.8893594699998</v>
      </c>
      <c r="R99">
        <v>31699.527957900002</v>
      </c>
      <c r="S99">
        <v>-7.6001569739799999</v>
      </c>
      <c r="T99">
        <v>-94.485773548599994</v>
      </c>
      <c r="U99">
        <v>0</v>
      </c>
      <c r="V99">
        <v>0</v>
      </c>
    </row>
    <row r="100" spans="1:22" x14ac:dyDescent="0.2">
      <c r="A100"/>
      <c r="B100">
        <v>20025</v>
      </c>
      <c r="C100" t="s">
        <v>2334</v>
      </c>
      <c r="D100" t="s">
        <v>918</v>
      </c>
      <c r="E100" t="s">
        <v>1269</v>
      </c>
      <c r="F100" t="s">
        <v>2335</v>
      </c>
      <c r="G100">
        <v>127.27370943699999</v>
      </c>
      <c r="H100" t="s">
        <v>1270</v>
      </c>
      <c r="Q100">
        <v>3249.22906702</v>
      </c>
      <c r="R100">
        <v>31556.958145199998</v>
      </c>
      <c r="S100">
        <v>-10.801789571500001</v>
      </c>
      <c r="T100">
        <v>85.868734420199999</v>
      </c>
      <c r="U100">
        <v>0</v>
      </c>
      <c r="V100">
        <v>0</v>
      </c>
    </row>
    <row r="101" spans="1:22" x14ac:dyDescent="0.2">
      <c r="A101"/>
      <c r="B101">
        <v>20026</v>
      </c>
      <c r="C101" t="s">
        <v>2336</v>
      </c>
      <c r="D101" t="s">
        <v>1052</v>
      </c>
      <c r="E101" t="s">
        <v>1269</v>
      </c>
      <c r="F101" t="s">
        <v>2337</v>
      </c>
      <c r="G101">
        <v>1164.5470988899999</v>
      </c>
      <c r="H101" t="s">
        <v>12</v>
      </c>
      <c r="Q101">
        <v>2674.0616788699999</v>
      </c>
      <c r="R101">
        <v>24293.353096300001</v>
      </c>
      <c r="S101">
        <v>-13.723999598300001</v>
      </c>
      <c r="T101">
        <v>-103.47704688100001</v>
      </c>
      <c r="U101">
        <v>0</v>
      </c>
      <c r="V101">
        <v>0</v>
      </c>
    </row>
    <row r="102" spans="1:22" x14ac:dyDescent="0.2">
      <c r="A102"/>
      <c r="B102">
        <v>20027</v>
      </c>
      <c r="C102" t="s">
        <v>2338</v>
      </c>
      <c r="D102" t="s">
        <v>1044</v>
      </c>
      <c r="E102" t="s">
        <v>1271</v>
      </c>
      <c r="F102" t="s">
        <v>2337</v>
      </c>
      <c r="G102">
        <v>1164.59553132</v>
      </c>
      <c r="H102" t="s">
        <v>12</v>
      </c>
      <c r="Q102">
        <v>2674.0649793699999</v>
      </c>
      <c r="R102">
        <v>24293.366868100002</v>
      </c>
      <c r="S102">
        <v>-10.523664446</v>
      </c>
      <c r="T102">
        <v>-103.477089333</v>
      </c>
      <c r="U102">
        <v>0</v>
      </c>
      <c r="V102">
        <v>0</v>
      </c>
    </row>
    <row r="103" spans="1:22" x14ac:dyDescent="0.2">
      <c r="A103"/>
      <c r="B103">
        <v>20028</v>
      </c>
      <c r="C103" t="s">
        <v>2339</v>
      </c>
      <c r="D103" t="s">
        <v>1052</v>
      </c>
      <c r="E103" t="s">
        <v>1269</v>
      </c>
      <c r="F103" t="s">
        <v>2340</v>
      </c>
      <c r="G103">
        <v>354.75146456599998</v>
      </c>
      <c r="H103" t="s">
        <v>1270</v>
      </c>
      <c r="Q103">
        <v>2618.4784424700001</v>
      </c>
      <c r="R103">
        <v>23894.3421246</v>
      </c>
      <c r="S103">
        <v>-6.5996463718599996</v>
      </c>
      <c r="T103">
        <v>75.949931891999995</v>
      </c>
      <c r="U103">
        <v>0</v>
      </c>
      <c r="V103">
        <v>0</v>
      </c>
    </row>
    <row r="104" spans="1:22" x14ac:dyDescent="0.2">
      <c r="A104"/>
      <c r="B104">
        <v>20029</v>
      </c>
      <c r="C104" t="s">
        <v>2341</v>
      </c>
      <c r="D104" t="s">
        <v>918</v>
      </c>
      <c r="E104" t="s">
        <v>1269</v>
      </c>
      <c r="F104" t="s">
        <v>2340</v>
      </c>
      <c r="G104">
        <v>552.81409944699999</v>
      </c>
      <c r="H104" t="s">
        <v>12</v>
      </c>
      <c r="Q104">
        <v>2570.5777548999999</v>
      </c>
      <c r="R104">
        <v>23702.1599193</v>
      </c>
      <c r="S104">
        <v>-6.5997590967499997</v>
      </c>
      <c r="T104">
        <v>-105.210979802</v>
      </c>
      <c r="U104">
        <v>0</v>
      </c>
      <c r="V104">
        <v>0</v>
      </c>
    </row>
    <row r="105" spans="1:22" x14ac:dyDescent="0.2">
      <c r="A105"/>
      <c r="B105">
        <v>20030</v>
      </c>
      <c r="C105" t="s">
        <v>2342</v>
      </c>
      <c r="D105" t="s">
        <v>1052</v>
      </c>
      <c r="E105" t="s">
        <v>1269</v>
      </c>
      <c r="F105" t="s">
        <v>2343</v>
      </c>
      <c r="G105">
        <v>1163.3915307</v>
      </c>
      <c r="H105" t="s">
        <v>12</v>
      </c>
      <c r="Q105">
        <v>2669.2001568699998</v>
      </c>
      <c r="R105">
        <v>24294.2691786</v>
      </c>
      <c r="S105">
        <v>-13.7368953595</v>
      </c>
      <c r="T105">
        <v>-103.477795719</v>
      </c>
      <c r="U105">
        <v>0</v>
      </c>
      <c r="V105">
        <v>0</v>
      </c>
    </row>
    <row r="106" spans="1:22" x14ac:dyDescent="0.2">
      <c r="A106"/>
      <c r="B106">
        <v>20031</v>
      </c>
      <c r="C106" t="s">
        <v>2344</v>
      </c>
      <c r="D106" t="s">
        <v>918</v>
      </c>
      <c r="E106" t="s">
        <v>1269</v>
      </c>
      <c r="F106" t="s">
        <v>2345</v>
      </c>
      <c r="G106">
        <v>276.48973127800002</v>
      </c>
      <c r="H106" t="s">
        <v>1270</v>
      </c>
      <c r="Q106">
        <v>2613.5980737199998</v>
      </c>
      <c r="R106">
        <v>23895.1054535</v>
      </c>
      <c r="S106">
        <v>-6.6117985675500002</v>
      </c>
      <c r="T106">
        <v>75.924802291299997</v>
      </c>
      <c r="U106">
        <v>0</v>
      </c>
      <c r="V106">
        <v>0</v>
      </c>
    </row>
    <row r="107" spans="1:22" x14ac:dyDescent="0.2">
      <c r="A107"/>
      <c r="B107">
        <v>20032</v>
      </c>
      <c r="C107" t="s">
        <v>2346</v>
      </c>
      <c r="D107" t="s">
        <v>1044</v>
      </c>
      <c r="E107" t="s">
        <v>1271</v>
      </c>
      <c r="F107" t="s">
        <v>2345</v>
      </c>
      <c r="G107">
        <v>276.48973127800002</v>
      </c>
      <c r="H107" t="s">
        <v>1270</v>
      </c>
      <c r="Q107">
        <v>2613.59874451</v>
      </c>
      <c r="R107">
        <v>23895.108129</v>
      </c>
      <c r="S107">
        <v>-1.4117992990799999</v>
      </c>
      <c r="T107">
        <v>75.924802291299997</v>
      </c>
      <c r="U107">
        <v>0</v>
      </c>
      <c r="V107">
        <v>0</v>
      </c>
    </row>
    <row r="108" spans="1:22" x14ac:dyDescent="0.2">
      <c r="A108"/>
      <c r="B108">
        <v>20033</v>
      </c>
      <c r="C108" t="s">
        <v>2347</v>
      </c>
      <c r="D108" t="s">
        <v>918</v>
      </c>
      <c r="E108" t="s">
        <v>1269</v>
      </c>
      <c r="F108" t="s">
        <v>2345</v>
      </c>
      <c r="G108">
        <v>474.14168243199998</v>
      </c>
      <c r="H108" t="s">
        <v>12</v>
      </c>
      <c r="Q108">
        <v>2565.8540811500002</v>
      </c>
      <c r="R108">
        <v>23703.3041601</v>
      </c>
      <c r="S108">
        <v>-6.60504978105</v>
      </c>
      <c r="T108">
        <v>-105.224142446</v>
      </c>
      <c r="U108">
        <v>0</v>
      </c>
      <c r="V108">
        <v>0</v>
      </c>
    </row>
    <row r="109" spans="1:22" x14ac:dyDescent="0.2">
      <c r="A109"/>
      <c r="B109">
        <v>20034</v>
      </c>
      <c r="C109" t="s">
        <v>2348</v>
      </c>
      <c r="D109" t="s">
        <v>1044</v>
      </c>
      <c r="E109" t="s">
        <v>1271</v>
      </c>
      <c r="F109" t="s">
        <v>2345</v>
      </c>
      <c r="G109">
        <v>474.14168243199998</v>
      </c>
      <c r="H109" t="s">
        <v>12</v>
      </c>
      <c r="Q109">
        <v>2565.8541149100001</v>
      </c>
      <c r="R109">
        <v>23703.3042842</v>
      </c>
      <c r="S109">
        <v>-1.4050497826399999</v>
      </c>
      <c r="T109">
        <v>-105.224142446</v>
      </c>
      <c r="U109">
        <v>0</v>
      </c>
      <c r="V109">
        <v>0</v>
      </c>
    </row>
    <row r="110" spans="1:22" x14ac:dyDescent="0.2">
      <c r="A110"/>
      <c r="B110">
        <v>20035</v>
      </c>
      <c r="C110" t="s">
        <v>2349</v>
      </c>
      <c r="D110" t="s">
        <v>1052</v>
      </c>
      <c r="E110" t="s">
        <v>1269</v>
      </c>
      <c r="F110" t="s">
        <v>2350</v>
      </c>
      <c r="G110">
        <v>7.9183529909299999</v>
      </c>
      <c r="H110" t="s">
        <v>1270</v>
      </c>
      <c r="Q110">
        <v>2545.8808465299999</v>
      </c>
      <c r="R110">
        <v>23471.217445900002</v>
      </c>
      <c r="S110">
        <v>-9.7454883682800002</v>
      </c>
      <c r="T110">
        <v>89.120367616699994</v>
      </c>
      <c r="U110">
        <v>0</v>
      </c>
      <c r="V110">
        <v>0</v>
      </c>
    </row>
    <row r="111" spans="1:22" x14ac:dyDescent="0.2">
      <c r="A111"/>
      <c r="B111">
        <v>20036</v>
      </c>
      <c r="C111" t="s">
        <v>2351</v>
      </c>
      <c r="D111" t="s">
        <v>1044</v>
      </c>
      <c r="E111" t="s">
        <v>1271</v>
      </c>
      <c r="F111" t="s">
        <v>2350</v>
      </c>
      <c r="G111">
        <v>7.8463679637299997</v>
      </c>
      <c r="H111" t="s">
        <v>1270</v>
      </c>
      <c r="Q111">
        <v>2545.8810288599998</v>
      </c>
      <c r="R111">
        <v>23471.229318000002</v>
      </c>
      <c r="S111">
        <v>-6.5447005015400004</v>
      </c>
      <c r="T111">
        <v>89.120481609899997</v>
      </c>
      <c r="U111">
        <v>0</v>
      </c>
      <c r="V111">
        <v>0</v>
      </c>
    </row>
    <row r="112" spans="1:22" x14ac:dyDescent="0.2">
      <c r="A112"/>
      <c r="B112">
        <v>20037</v>
      </c>
      <c r="C112" t="s">
        <v>2352</v>
      </c>
      <c r="D112" t="s">
        <v>919</v>
      </c>
      <c r="E112" t="s">
        <v>1200</v>
      </c>
      <c r="F112" t="s">
        <v>2350</v>
      </c>
      <c r="G112">
        <v>301.98438756899998</v>
      </c>
      <c r="H112" t="s">
        <v>12</v>
      </c>
      <c r="Q112">
        <v>2465.0555669400001</v>
      </c>
      <c r="R112">
        <v>23191.8078461</v>
      </c>
      <c r="S112">
        <v>-14.8708400314</v>
      </c>
      <c r="T112">
        <v>-105.758684866</v>
      </c>
      <c r="U112">
        <v>0</v>
      </c>
      <c r="V112">
        <v>0</v>
      </c>
    </row>
    <row r="113" spans="1:22" x14ac:dyDescent="0.2">
      <c r="A113"/>
      <c r="B113">
        <v>20038</v>
      </c>
      <c r="C113" t="s">
        <v>2353</v>
      </c>
      <c r="D113" t="s">
        <v>1052</v>
      </c>
      <c r="E113" t="s">
        <v>1269</v>
      </c>
      <c r="F113" t="s">
        <v>2354</v>
      </c>
      <c r="G113">
        <v>86.507960799299994</v>
      </c>
      <c r="H113" t="s">
        <v>1270</v>
      </c>
      <c r="Q113">
        <v>2541.0744034300001</v>
      </c>
      <c r="R113">
        <v>23471.647640499999</v>
      </c>
      <c r="S113">
        <v>-9.7806066768599997</v>
      </c>
      <c r="T113">
        <v>89.038245643099998</v>
      </c>
      <c r="U113">
        <v>0</v>
      </c>
      <c r="V113">
        <v>0</v>
      </c>
    </row>
    <row r="114" spans="1:22" x14ac:dyDescent="0.2">
      <c r="A114"/>
      <c r="B114">
        <v>20039</v>
      </c>
      <c r="C114" t="s">
        <v>2355</v>
      </c>
      <c r="D114" t="s">
        <v>919</v>
      </c>
      <c r="E114" t="s">
        <v>1200</v>
      </c>
      <c r="F114" t="s">
        <v>2354</v>
      </c>
      <c r="G114">
        <v>379.70557166399999</v>
      </c>
      <c r="H114" t="s">
        <v>12</v>
      </c>
      <c r="Q114">
        <v>2460.2753530300001</v>
      </c>
      <c r="R114">
        <v>23193.092750799999</v>
      </c>
      <c r="S114">
        <v>-14.8879201608</v>
      </c>
      <c r="T114">
        <v>-105.692381685</v>
      </c>
      <c r="U114">
        <v>0</v>
      </c>
      <c r="V114">
        <v>0</v>
      </c>
    </row>
    <row r="115" spans="1:22" x14ac:dyDescent="0.2">
      <c r="A115"/>
      <c r="B115">
        <v>20041</v>
      </c>
      <c r="C115" t="s">
        <v>2356</v>
      </c>
      <c r="D115" t="s">
        <v>918</v>
      </c>
      <c r="E115" t="s">
        <v>1269</v>
      </c>
      <c r="F115" t="s">
        <v>1921</v>
      </c>
      <c r="G115">
        <v>0</v>
      </c>
      <c r="H115" t="s">
        <v>1270</v>
      </c>
      <c r="Q115">
        <v>3372.6958616799998</v>
      </c>
      <c r="R115">
        <v>32267.3307714</v>
      </c>
      <c r="S115">
        <v>-10.7906130752</v>
      </c>
      <c r="T115">
        <v>78.971195589299995</v>
      </c>
      <c r="U115">
        <v>0</v>
      </c>
      <c r="V115">
        <v>0</v>
      </c>
    </row>
    <row r="116" spans="1:22" x14ac:dyDescent="0.2">
      <c r="A116"/>
      <c r="B116">
        <v>20042</v>
      </c>
      <c r="C116" t="s">
        <v>2357</v>
      </c>
      <c r="D116" t="s">
        <v>1044</v>
      </c>
      <c r="E116" t="s">
        <v>1271</v>
      </c>
      <c r="F116" t="s">
        <v>1921</v>
      </c>
      <c r="G116">
        <v>0</v>
      </c>
      <c r="H116" t="s">
        <v>1270</v>
      </c>
      <c r="Q116">
        <v>3372.6957571100002</v>
      </c>
      <c r="R116">
        <v>32267.330234900001</v>
      </c>
      <c r="S116">
        <v>-5.59061310393</v>
      </c>
      <c r="T116">
        <v>78.971195589299995</v>
      </c>
      <c r="U116">
        <v>0</v>
      </c>
      <c r="V116">
        <v>0</v>
      </c>
    </row>
    <row r="117" spans="1:22" x14ac:dyDescent="0.2">
      <c r="A117"/>
      <c r="B117">
        <v>20043</v>
      </c>
      <c r="C117" t="s">
        <v>2358</v>
      </c>
      <c r="D117" t="s">
        <v>918</v>
      </c>
      <c r="E117" t="s">
        <v>1269</v>
      </c>
      <c r="F117" t="s">
        <v>1921</v>
      </c>
      <c r="G117">
        <v>214.61</v>
      </c>
      <c r="H117" t="s">
        <v>12</v>
      </c>
      <c r="Q117">
        <v>3330.04513425</v>
      </c>
      <c r="R117">
        <v>32057.004784199999</v>
      </c>
      <c r="S117">
        <v>-10.791843547299999</v>
      </c>
      <c r="T117">
        <v>-103.564573009</v>
      </c>
      <c r="U117">
        <v>0</v>
      </c>
      <c r="V117">
        <v>0</v>
      </c>
    </row>
    <row r="118" spans="1:22" x14ac:dyDescent="0.2">
      <c r="A118"/>
      <c r="B118">
        <v>20044</v>
      </c>
      <c r="C118" t="s">
        <v>2359</v>
      </c>
      <c r="D118" t="s">
        <v>918</v>
      </c>
      <c r="E118" t="s">
        <v>1269</v>
      </c>
      <c r="F118" t="s">
        <v>2360</v>
      </c>
      <c r="G118">
        <v>17</v>
      </c>
      <c r="H118" t="s">
        <v>1270</v>
      </c>
      <c r="Q118">
        <v>3286.7684954900001</v>
      </c>
      <c r="R118">
        <v>31903.084875299999</v>
      </c>
      <c r="S118">
        <v>-10.7877059121</v>
      </c>
      <c r="T118">
        <v>76.276374190300004</v>
      </c>
      <c r="U118">
        <v>0</v>
      </c>
      <c r="V118">
        <v>0</v>
      </c>
    </row>
    <row r="119" spans="1:22" x14ac:dyDescent="0.2">
      <c r="A119"/>
      <c r="B119">
        <v>20045</v>
      </c>
      <c r="C119" t="s">
        <v>2361</v>
      </c>
      <c r="D119" t="s">
        <v>1044</v>
      </c>
      <c r="E119" t="s">
        <v>1271</v>
      </c>
      <c r="F119" t="s">
        <v>2360</v>
      </c>
      <c r="G119">
        <v>17</v>
      </c>
      <c r="H119" t="s">
        <v>1270</v>
      </c>
      <c r="Q119">
        <v>3286.7683791899999</v>
      </c>
      <c r="R119">
        <v>31903.084398999999</v>
      </c>
      <c r="S119">
        <v>-5.5877059351799998</v>
      </c>
      <c r="T119">
        <v>76.276374190300004</v>
      </c>
      <c r="U119">
        <v>0</v>
      </c>
      <c r="V119">
        <v>0</v>
      </c>
    </row>
    <row r="120" spans="1:22" x14ac:dyDescent="0.2">
      <c r="A120"/>
      <c r="B120">
        <v>20046</v>
      </c>
      <c r="C120" t="s">
        <v>2362</v>
      </c>
      <c r="D120" t="s">
        <v>918</v>
      </c>
      <c r="E120" t="s">
        <v>1269</v>
      </c>
      <c r="F120" t="s">
        <v>2360</v>
      </c>
      <c r="G120">
        <v>347</v>
      </c>
      <c r="H120" t="s">
        <v>12</v>
      </c>
      <c r="Q120">
        <v>3244.89428757</v>
      </c>
      <c r="R120">
        <v>31576.146022600002</v>
      </c>
      <c r="S120">
        <v>-10.786106419199999</v>
      </c>
      <c r="T120">
        <v>-94.020134475500001</v>
      </c>
      <c r="U120">
        <v>0</v>
      </c>
      <c r="V120">
        <v>0</v>
      </c>
    </row>
    <row r="121" spans="1:22" x14ac:dyDescent="0.2">
      <c r="A121"/>
      <c r="B121">
        <v>20048</v>
      </c>
      <c r="C121" t="s">
        <v>2363</v>
      </c>
      <c r="D121" t="s">
        <v>918</v>
      </c>
      <c r="E121" t="s">
        <v>1269</v>
      </c>
      <c r="F121" t="s">
        <v>1922</v>
      </c>
      <c r="G121">
        <v>119</v>
      </c>
      <c r="H121" t="s">
        <v>1270</v>
      </c>
      <c r="Q121">
        <v>3237.5964707200001</v>
      </c>
      <c r="R121">
        <v>31482.641338699999</v>
      </c>
      <c r="S121">
        <v>-11.070717893599999</v>
      </c>
      <c r="T121">
        <v>84.109356797900006</v>
      </c>
      <c r="U121">
        <v>0</v>
      </c>
      <c r="V121">
        <v>0</v>
      </c>
    </row>
    <row r="122" spans="1:22" x14ac:dyDescent="0.2">
      <c r="A122"/>
      <c r="B122">
        <v>20049</v>
      </c>
      <c r="C122" t="s">
        <v>2364</v>
      </c>
      <c r="D122" t="s">
        <v>1044</v>
      </c>
      <c r="E122" t="s">
        <v>1271</v>
      </c>
      <c r="F122" t="s">
        <v>1922</v>
      </c>
      <c r="G122">
        <v>119</v>
      </c>
      <c r="H122" t="s">
        <v>1270</v>
      </c>
      <c r="Q122">
        <v>3237.5931555799998</v>
      </c>
      <c r="R122">
        <v>31482.609207400001</v>
      </c>
      <c r="S122">
        <v>-7.4208608288200004</v>
      </c>
      <c r="T122">
        <v>84.109356797900006</v>
      </c>
      <c r="U122">
        <v>0</v>
      </c>
      <c r="V122">
        <v>0</v>
      </c>
    </row>
    <row r="123" spans="1:22" x14ac:dyDescent="0.2">
      <c r="A123"/>
      <c r="B123">
        <v>20050</v>
      </c>
      <c r="C123" t="s">
        <v>2365</v>
      </c>
      <c r="D123" t="s">
        <v>1052</v>
      </c>
      <c r="E123" t="s">
        <v>1269</v>
      </c>
      <c r="F123" t="s">
        <v>1923</v>
      </c>
      <c r="G123">
        <v>40</v>
      </c>
      <c r="H123" t="s">
        <v>1270</v>
      </c>
      <c r="Q123">
        <v>3233.4958554</v>
      </c>
      <c r="R123">
        <v>31482.869912300001</v>
      </c>
      <c r="S123">
        <v>-11.083782104200001</v>
      </c>
      <c r="T123">
        <v>84.183395428099999</v>
      </c>
      <c r="U123">
        <v>0</v>
      </c>
      <c r="V123">
        <v>0</v>
      </c>
    </row>
    <row r="124" spans="1:22" x14ac:dyDescent="0.2">
      <c r="A124"/>
      <c r="B124">
        <v>20051</v>
      </c>
      <c r="C124" t="s">
        <v>2366</v>
      </c>
      <c r="D124" t="s">
        <v>1044</v>
      </c>
      <c r="E124" t="s">
        <v>1271</v>
      </c>
      <c r="F124" t="s">
        <v>1923</v>
      </c>
      <c r="G124">
        <v>40</v>
      </c>
      <c r="H124" t="s">
        <v>1270</v>
      </c>
      <c r="Q124">
        <v>3233.4936326699999</v>
      </c>
      <c r="R124">
        <v>31482.8480929</v>
      </c>
      <c r="S124">
        <v>-7.9338584589799996</v>
      </c>
      <c r="T124">
        <v>84.183395428099999</v>
      </c>
      <c r="U124">
        <v>0</v>
      </c>
      <c r="V124">
        <v>0</v>
      </c>
    </row>
    <row r="125" spans="1:22" x14ac:dyDescent="0.2">
      <c r="A125"/>
      <c r="B125">
        <v>20054</v>
      </c>
      <c r="C125" t="s">
        <v>2367</v>
      </c>
      <c r="D125" t="s">
        <v>1052</v>
      </c>
      <c r="E125" t="s">
        <v>1269</v>
      </c>
      <c r="F125" t="s">
        <v>1922</v>
      </c>
      <c r="G125">
        <v>398</v>
      </c>
      <c r="H125" t="s">
        <v>1270</v>
      </c>
      <c r="Q125">
        <v>3057.6857840100001</v>
      </c>
      <c r="R125">
        <v>31297.9741995</v>
      </c>
      <c r="S125">
        <v>-15.806637136100001</v>
      </c>
      <c r="T125">
        <v>25.491076710400002</v>
      </c>
      <c r="U125">
        <v>0</v>
      </c>
      <c r="V125">
        <v>0</v>
      </c>
    </row>
    <row r="126" spans="1:22" x14ac:dyDescent="0.2">
      <c r="A126"/>
      <c r="B126">
        <v>20055</v>
      </c>
      <c r="C126" t="s">
        <v>2368</v>
      </c>
      <c r="D126" t="s">
        <v>1052</v>
      </c>
      <c r="E126" t="s">
        <v>1269</v>
      </c>
      <c r="F126" t="s">
        <v>1923</v>
      </c>
      <c r="G126">
        <v>314</v>
      </c>
      <c r="H126" t="s">
        <v>1270</v>
      </c>
      <c r="Q126">
        <v>3055.67475608</v>
      </c>
      <c r="R126">
        <v>31302.080273</v>
      </c>
      <c r="S126">
        <v>-15.7947984541</v>
      </c>
      <c r="T126">
        <v>25.153137492799999</v>
      </c>
      <c r="U126">
        <v>0</v>
      </c>
      <c r="V126">
        <v>0</v>
      </c>
    </row>
    <row r="127" spans="1:22" x14ac:dyDescent="0.2">
      <c r="A127"/>
      <c r="B127">
        <v>21000</v>
      </c>
      <c r="C127" t="s">
        <v>2369</v>
      </c>
      <c r="D127" t="s">
        <v>192</v>
      </c>
      <c r="E127" t="s">
        <v>1272</v>
      </c>
      <c r="F127" t="s">
        <v>128</v>
      </c>
      <c r="G127">
        <v>22.15</v>
      </c>
      <c r="H127" t="s">
        <v>248</v>
      </c>
      <c r="Q127">
        <v>6817.2031640900004</v>
      </c>
      <c r="R127">
        <v>36701.806940299997</v>
      </c>
      <c r="S127">
        <v>-9.2526809764099998</v>
      </c>
      <c r="T127">
        <v>52.9408095366</v>
      </c>
      <c r="U127">
        <v>0</v>
      </c>
      <c r="V127">
        <v>0</v>
      </c>
    </row>
    <row r="128" spans="1:22" x14ac:dyDescent="0.2">
      <c r="A128"/>
      <c r="B128">
        <v>21000</v>
      </c>
      <c r="C128" t="s">
        <v>2369</v>
      </c>
      <c r="D128" t="s">
        <v>192</v>
      </c>
      <c r="E128" t="s">
        <v>1272</v>
      </c>
      <c r="F128" t="s">
        <v>2302</v>
      </c>
      <c r="G128">
        <v>9.1713652889299997</v>
      </c>
      <c r="H128" t="s">
        <v>248</v>
      </c>
      <c r="Q128">
        <v>6817.2031640900004</v>
      </c>
      <c r="R128">
        <v>36701.806940299997</v>
      </c>
      <c r="S128">
        <v>-9.2526809764099998</v>
      </c>
      <c r="T128">
        <v>52.9408095366</v>
      </c>
      <c r="U128">
        <v>0</v>
      </c>
      <c r="V128">
        <v>0</v>
      </c>
    </row>
    <row r="129" spans="1:22" x14ac:dyDescent="0.2">
      <c r="A129"/>
      <c r="B129">
        <v>21000</v>
      </c>
      <c r="C129" t="s">
        <v>2369</v>
      </c>
      <c r="D129" t="s">
        <v>192</v>
      </c>
      <c r="E129" t="s">
        <v>1272</v>
      </c>
      <c r="F129" t="s">
        <v>2370</v>
      </c>
      <c r="G129">
        <v>41</v>
      </c>
      <c r="H129" t="s">
        <v>248</v>
      </c>
      <c r="Q129">
        <v>6817.2031640900004</v>
      </c>
      <c r="R129">
        <v>36701.806940299997</v>
      </c>
      <c r="S129">
        <v>-9.2526809764099998</v>
      </c>
      <c r="T129">
        <v>52.9408095366</v>
      </c>
      <c r="U129">
        <v>0</v>
      </c>
      <c r="V129">
        <v>0</v>
      </c>
    </row>
    <row r="130" spans="1:22" x14ac:dyDescent="0.2">
      <c r="A130"/>
      <c r="B130">
        <v>21001</v>
      </c>
      <c r="C130" t="s">
        <v>2371</v>
      </c>
      <c r="D130" t="s">
        <v>192</v>
      </c>
      <c r="E130" t="s">
        <v>1272</v>
      </c>
      <c r="F130" t="s">
        <v>2302</v>
      </c>
      <c r="G130">
        <v>9.1713652889299997</v>
      </c>
      <c r="H130" t="s">
        <v>248</v>
      </c>
      <c r="Q130">
        <v>6880.6617601799999</v>
      </c>
      <c r="R130">
        <v>36786.6267305</v>
      </c>
      <c r="S130">
        <v>-9.1503916841899997</v>
      </c>
      <c r="T130">
        <v>53.222819624300001</v>
      </c>
      <c r="U130">
        <v>0</v>
      </c>
      <c r="V130">
        <v>0</v>
      </c>
    </row>
    <row r="131" spans="1:22" x14ac:dyDescent="0.2">
      <c r="A131"/>
      <c r="B131">
        <v>21001</v>
      </c>
      <c r="C131" t="s">
        <v>2371</v>
      </c>
      <c r="D131" t="s">
        <v>192</v>
      </c>
      <c r="E131" t="s">
        <v>1272</v>
      </c>
      <c r="F131" t="s">
        <v>2302</v>
      </c>
      <c r="G131">
        <v>206.12294323200001</v>
      </c>
      <c r="H131" t="s">
        <v>248</v>
      </c>
      <c r="Q131">
        <v>6880.6617601799999</v>
      </c>
      <c r="R131">
        <v>36786.6267305</v>
      </c>
      <c r="S131">
        <v>-9.1503916841899997</v>
      </c>
      <c r="T131">
        <v>53.222819624300001</v>
      </c>
      <c r="U131">
        <v>0</v>
      </c>
      <c r="V131">
        <v>0</v>
      </c>
    </row>
    <row r="132" spans="1:22" x14ac:dyDescent="0.2">
      <c r="A132"/>
      <c r="B132">
        <v>21002</v>
      </c>
      <c r="C132" t="s">
        <v>2372</v>
      </c>
      <c r="D132" t="s">
        <v>192</v>
      </c>
      <c r="E132" t="s">
        <v>1272</v>
      </c>
      <c r="F132" t="s">
        <v>2302</v>
      </c>
      <c r="G132">
        <v>206.12294323200001</v>
      </c>
      <c r="H132" t="s">
        <v>248</v>
      </c>
      <c r="Q132">
        <v>6998.6658389599997</v>
      </c>
      <c r="R132">
        <v>36944.312994200001</v>
      </c>
      <c r="S132">
        <v>-9.1434542716399996</v>
      </c>
      <c r="T132">
        <v>53.161982094800003</v>
      </c>
      <c r="U132">
        <v>0</v>
      </c>
      <c r="V132">
        <v>0</v>
      </c>
    </row>
    <row r="133" spans="1:22" x14ac:dyDescent="0.2">
      <c r="A133"/>
      <c r="B133">
        <v>21002</v>
      </c>
      <c r="C133" t="s">
        <v>2372</v>
      </c>
      <c r="D133" t="s">
        <v>192</v>
      </c>
      <c r="E133" t="s">
        <v>1272</v>
      </c>
      <c r="F133" t="s">
        <v>1915</v>
      </c>
      <c r="G133">
        <v>94.729605505099997</v>
      </c>
      <c r="H133" t="s">
        <v>248</v>
      </c>
      <c r="Q133">
        <v>6998.6658389599997</v>
      </c>
      <c r="R133">
        <v>36944.312994200001</v>
      </c>
      <c r="S133">
        <v>-9.1434542716399996</v>
      </c>
      <c r="T133">
        <v>53.161982094800003</v>
      </c>
      <c r="U133">
        <v>0</v>
      </c>
      <c r="V133">
        <v>0</v>
      </c>
    </row>
    <row r="134" spans="1:22" x14ac:dyDescent="0.2">
      <c r="A134"/>
      <c r="B134">
        <v>21002</v>
      </c>
      <c r="C134" t="s">
        <v>2372</v>
      </c>
      <c r="D134" t="s">
        <v>192</v>
      </c>
      <c r="E134" t="s">
        <v>1272</v>
      </c>
      <c r="F134" t="s">
        <v>2373</v>
      </c>
      <c r="G134">
        <v>41</v>
      </c>
      <c r="H134" t="s">
        <v>248</v>
      </c>
      <c r="Q134">
        <v>6998.6658389599997</v>
      </c>
      <c r="R134">
        <v>36944.312994200001</v>
      </c>
      <c r="S134">
        <v>-9.1434542716399996</v>
      </c>
      <c r="T134">
        <v>53.161982094800003</v>
      </c>
      <c r="U134">
        <v>0</v>
      </c>
      <c r="V134">
        <v>0</v>
      </c>
    </row>
    <row r="135" spans="1:22" x14ac:dyDescent="0.2">
      <c r="A135"/>
      <c r="B135">
        <v>21003</v>
      </c>
      <c r="C135" t="s">
        <v>2374</v>
      </c>
      <c r="D135" t="s">
        <v>192</v>
      </c>
      <c r="E135" t="s">
        <v>1272</v>
      </c>
      <c r="F135" t="s">
        <v>1915</v>
      </c>
      <c r="G135">
        <v>94.729605505099997</v>
      </c>
      <c r="H135" t="s">
        <v>248</v>
      </c>
      <c r="Q135">
        <v>7081.2895473500002</v>
      </c>
      <c r="R135">
        <v>37054.5863255</v>
      </c>
      <c r="S135">
        <v>-9.2479600145600003</v>
      </c>
      <c r="T135">
        <v>53.1981657826</v>
      </c>
      <c r="U135">
        <v>0</v>
      </c>
      <c r="V135">
        <v>0</v>
      </c>
    </row>
    <row r="136" spans="1:22" x14ac:dyDescent="0.2">
      <c r="A136"/>
      <c r="B136">
        <v>21003</v>
      </c>
      <c r="C136" t="s">
        <v>2374</v>
      </c>
      <c r="D136" t="s">
        <v>192</v>
      </c>
      <c r="E136" t="s">
        <v>1272</v>
      </c>
      <c r="F136" t="s">
        <v>1915</v>
      </c>
      <c r="G136">
        <v>140.67688578100001</v>
      </c>
      <c r="H136" t="s">
        <v>248</v>
      </c>
      <c r="Q136">
        <v>7081.2895473500002</v>
      </c>
      <c r="R136">
        <v>37054.5863255</v>
      </c>
      <c r="S136">
        <v>-9.2479600145600003</v>
      </c>
      <c r="T136">
        <v>53.1981657826</v>
      </c>
      <c r="U136">
        <v>0</v>
      </c>
      <c r="V136">
        <v>0</v>
      </c>
    </row>
    <row r="137" spans="1:22" x14ac:dyDescent="0.2">
      <c r="A137"/>
      <c r="B137">
        <v>21004</v>
      </c>
      <c r="C137" t="s">
        <v>2375</v>
      </c>
      <c r="D137" t="s">
        <v>192</v>
      </c>
      <c r="E137" t="s">
        <v>1272</v>
      </c>
      <c r="F137" t="s">
        <v>1915</v>
      </c>
      <c r="G137">
        <v>140.67688578100001</v>
      </c>
      <c r="H137" t="s">
        <v>248</v>
      </c>
      <c r="Q137">
        <v>7108.7868151399998</v>
      </c>
      <c r="R137">
        <v>37091.394547999997</v>
      </c>
      <c r="S137">
        <v>-9.6921902270599993</v>
      </c>
      <c r="T137">
        <v>53.285029862899997</v>
      </c>
      <c r="U137">
        <v>0</v>
      </c>
      <c r="V137">
        <v>0</v>
      </c>
    </row>
    <row r="138" spans="1:22" x14ac:dyDescent="0.2">
      <c r="A138"/>
      <c r="B138">
        <v>21004</v>
      </c>
      <c r="C138" t="s">
        <v>2375</v>
      </c>
      <c r="D138" t="s">
        <v>192</v>
      </c>
      <c r="E138" t="s">
        <v>1272</v>
      </c>
      <c r="F138" t="s">
        <v>1915</v>
      </c>
      <c r="G138">
        <v>710.18853679300003</v>
      </c>
      <c r="H138" t="s">
        <v>248</v>
      </c>
      <c r="Q138">
        <v>7108.7868151399998</v>
      </c>
      <c r="R138">
        <v>37091.394547999997</v>
      </c>
      <c r="S138">
        <v>-9.6921902270599993</v>
      </c>
      <c r="T138">
        <v>53.285029862899997</v>
      </c>
      <c r="U138">
        <v>0</v>
      </c>
      <c r="V138">
        <v>0</v>
      </c>
    </row>
    <row r="139" spans="1:22" x14ac:dyDescent="0.2">
      <c r="A139"/>
      <c r="B139">
        <v>21005</v>
      </c>
      <c r="C139" t="s">
        <v>2376</v>
      </c>
      <c r="D139" t="s">
        <v>192</v>
      </c>
      <c r="E139" t="s">
        <v>1272</v>
      </c>
      <c r="F139" t="s">
        <v>1915</v>
      </c>
      <c r="G139">
        <v>710.18853679300003</v>
      </c>
      <c r="H139" t="s">
        <v>248</v>
      </c>
      <c r="Q139">
        <v>6934.5844500399999</v>
      </c>
      <c r="R139">
        <v>37513.559502299999</v>
      </c>
      <c r="S139">
        <v>-14.153651722399999</v>
      </c>
      <c r="T139">
        <v>155.786036615</v>
      </c>
      <c r="U139">
        <v>0</v>
      </c>
      <c r="V139">
        <v>0</v>
      </c>
    </row>
    <row r="140" spans="1:22" x14ac:dyDescent="0.2">
      <c r="A140"/>
      <c r="B140">
        <v>21005</v>
      </c>
      <c r="C140" t="s">
        <v>2376</v>
      </c>
      <c r="D140" t="s">
        <v>192</v>
      </c>
      <c r="E140" t="s">
        <v>1272</v>
      </c>
      <c r="F140" t="s">
        <v>1915</v>
      </c>
      <c r="G140">
        <v>902.99114564399997</v>
      </c>
      <c r="H140" t="s">
        <v>248</v>
      </c>
      <c r="Q140">
        <v>6934.5844500399999</v>
      </c>
      <c r="R140">
        <v>37513.559502299999</v>
      </c>
      <c r="S140">
        <v>-14.153651722399999</v>
      </c>
      <c r="T140">
        <v>155.786036615</v>
      </c>
      <c r="U140">
        <v>0</v>
      </c>
      <c r="V140">
        <v>0</v>
      </c>
    </row>
    <row r="141" spans="1:22" x14ac:dyDescent="0.2">
      <c r="A141"/>
      <c r="B141">
        <v>21006</v>
      </c>
      <c r="C141" t="s">
        <v>2377</v>
      </c>
      <c r="D141" t="s">
        <v>192</v>
      </c>
      <c r="E141" t="s">
        <v>1272</v>
      </c>
      <c r="F141" t="s">
        <v>1915</v>
      </c>
      <c r="G141">
        <v>902.99114564399997</v>
      </c>
      <c r="H141" t="s">
        <v>248</v>
      </c>
      <c r="Q141">
        <v>6752.5985982800003</v>
      </c>
      <c r="R141">
        <v>37576.596994200001</v>
      </c>
      <c r="S141">
        <v>-14.1149141263</v>
      </c>
      <c r="T141">
        <v>163.85837982699999</v>
      </c>
      <c r="U141">
        <v>0</v>
      </c>
      <c r="V141">
        <v>0</v>
      </c>
    </row>
    <row r="142" spans="1:22" x14ac:dyDescent="0.2">
      <c r="A142"/>
      <c r="B142">
        <v>21006</v>
      </c>
      <c r="C142" t="s">
        <v>2377</v>
      </c>
      <c r="D142" t="s">
        <v>192</v>
      </c>
      <c r="E142" t="s">
        <v>1272</v>
      </c>
      <c r="F142" t="s">
        <v>1915</v>
      </c>
      <c r="G142">
        <v>2362.1790070400002</v>
      </c>
      <c r="H142" t="s">
        <v>248</v>
      </c>
      <c r="Q142">
        <v>6752.5985982800003</v>
      </c>
      <c r="R142">
        <v>37576.596994200001</v>
      </c>
      <c r="S142">
        <v>-14.1149141263</v>
      </c>
      <c r="T142">
        <v>163.85837982699999</v>
      </c>
      <c r="U142">
        <v>0</v>
      </c>
      <c r="V142">
        <v>0</v>
      </c>
    </row>
    <row r="143" spans="1:22" x14ac:dyDescent="0.2">
      <c r="A143"/>
      <c r="B143">
        <v>21007</v>
      </c>
      <c r="C143" t="s">
        <v>2378</v>
      </c>
      <c r="D143" t="s">
        <v>192</v>
      </c>
      <c r="E143" t="s">
        <v>1272</v>
      </c>
      <c r="F143" t="s">
        <v>1915</v>
      </c>
      <c r="G143">
        <v>2362.1790070400002</v>
      </c>
      <c r="H143" t="s">
        <v>248</v>
      </c>
      <c r="Q143">
        <v>5347.6431045899999</v>
      </c>
      <c r="R143">
        <v>37592.902504600002</v>
      </c>
      <c r="S143">
        <v>-10.070510882800001</v>
      </c>
      <c r="T143">
        <v>-147.351036669</v>
      </c>
      <c r="U143">
        <v>0</v>
      </c>
      <c r="V143">
        <v>0</v>
      </c>
    </row>
    <row r="144" spans="1:22" x14ac:dyDescent="0.2">
      <c r="A144"/>
      <c r="B144">
        <v>21007</v>
      </c>
      <c r="C144" t="s">
        <v>2378</v>
      </c>
      <c r="D144" t="s">
        <v>192</v>
      </c>
      <c r="E144" t="s">
        <v>1272</v>
      </c>
      <c r="F144" t="s">
        <v>1915</v>
      </c>
      <c r="G144">
        <v>2554.9816158899998</v>
      </c>
      <c r="H144" t="s">
        <v>248</v>
      </c>
      <c r="Q144">
        <v>5347.6431045899999</v>
      </c>
      <c r="R144">
        <v>37592.902504600002</v>
      </c>
      <c r="S144">
        <v>-10.070510882800001</v>
      </c>
      <c r="T144">
        <v>-147.351036669</v>
      </c>
      <c r="U144">
        <v>0</v>
      </c>
      <c r="V144">
        <v>0</v>
      </c>
    </row>
    <row r="145" spans="1:22" x14ac:dyDescent="0.2">
      <c r="A145"/>
      <c r="B145">
        <v>21008</v>
      </c>
      <c r="C145" t="s">
        <v>2379</v>
      </c>
      <c r="D145" t="s">
        <v>192</v>
      </c>
      <c r="E145" t="s">
        <v>1272</v>
      </c>
      <c r="F145" t="s">
        <v>1915</v>
      </c>
      <c r="G145">
        <v>2554.9816158899998</v>
      </c>
      <c r="H145" t="s">
        <v>248</v>
      </c>
      <c r="Q145">
        <v>5192.0356725700003</v>
      </c>
      <c r="R145">
        <v>37479.292561399998</v>
      </c>
      <c r="S145">
        <v>-10.3935583805</v>
      </c>
      <c r="T145">
        <v>-141.542343515</v>
      </c>
      <c r="U145">
        <v>0</v>
      </c>
      <c r="V145">
        <v>0</v>
      </c>
    </row>
    <row r="146" spans="1:22" x14ac:dyDescent="0.2">
      <c r="A146"/>
      <c r="B146">
        <v>21008</v>
      </c>
      <c r="C146" t="s">
        <v>2379</v>
      </c>
      <c r="D146" t="s">
        <v>192</v>
      </c>
      <c r="E146" t="s">
        <v>1272</v>
      </c>
      <c r="F146" t="s">
        <v>1915</v>
      </c>
      <c r="G146">
        <v>3302.9544587</v>
      </c>
      <c r="H146" t="s">
        <v>248</v>
      </c>
      <c r="Q146">
        <v>5192.0356725700003</v>
      </c>
      <c r="R146">
        <v>37479.292561399998</v>
      </c>
      <c r="S146">
        <v>-10.3935583805</v>
      </c>
      <c r="T146">
        <v>-141.542343515</v>
      </c>
      <c r="U146">
        <v>0</v>
      </c>
      <c r="V146">
        <v>0</v>
      </c>
    </row>
    <row r="147" spans="1:22" x14ac:dyDescent="0.2">
      <c r="A147"/>
      <c r="B147">
        <v>21009</v>
      </c>
      <c r="C147" t="s">
        <v>2380</v>
      </c>
      <c r="D147" t="s">
        <v>192</v>
      </c>
      <c r="E147" t="s">
        <v>1272</v>
      </c>
      <c r="F147" t="s">
        <v>1915</v>
      </c>
      <c r="G147">
        <v>3302.9544587</v>
      </c>
      <c r="H147" t="s">
        <v>248</v>
      </c>
      <c r="Q147">
        <v>4763.8318296799998</v>
      </c>
      <c r="R147">
        <v>36878.608109599998</v>
      </c>
      <c r="S147">
        <v>-13.579499526999999</v>
      </c>
      <c r="T147">
        <v>-109.126060459</v>
      </c>
      <c r="U147">
        <v>0</v>
      </c>
      <c r="V147">
        <v>0</v>
      </c>
    </row>
    <row r="148" spans="1:22" x14ac:dyDescent="0.2">
      <c r="A148"/>
      <c r="B148">
        <v>21009</v>
      </c>
      <c r="C148" t="s">
        <v>2380</v>
      </c>
      <c r="D148" t="s">
        <v>192</v>
      </c>
      <c r="E148" t="s">
        <v>1272</v>
      </c>
      <c r="F148" t="s">
        <v>1915</v>
      </c>
      <c r="G148">
        <v>3304.9096621100002</v>
      </c>
      <c r="H148" t="s">
        <v>248</v>
      </c>
      <c r="Q148">
        <v>4763.8318296799998</v>
      </c>
      <c r="R148">
        <v>36878.608109599998</v>
      </c>
      <c r="S148">
        <v>-13.579499526999999</v>
      </c>
      <c r="T148">
        <v>-109.126060459</v>
      </c>
      <c r="U148">
        <v>0</v>
      </c>
      <c r="V148">
        <v>0</v>
      </c>
    </row>
    <row r="149" spans="1:22" x14ac:dyDescent="0.2">
      <c r="A149"/>
      <c r="B149">
        <v>21010</v>
      </c>
      <c r="C149" t="s">
        <v>2381</v>
      </c>
      <c r="D149" t="s">
        <v>192</v>
      </c>
      <c r="E149" t="s">
        <v>1272</v>
      </c>
      <c r="F149" t="s">
        <v>1915</v>
      </c>
      <c r="G149">
        <v>3304.9096621100002</v>
      </c>
      <c r="H149" t="s">
        <v>248</v>
      </c>
      <c r="Q149">
        <v>4763.1923614899997</v>
      </c>
      <c r="R149">
        <v>36876.760435299999</v>
      </c>
      <c r="S149">
        <v>-13.579937018700001</v>
      </c>
      <c r="T149">
        <v>-109.054662112</v>
      </c>
      <c r="U149">
        <v>0</v>
      </c>
      <c r="V149">
        <v>0</v>
      </c>
    </row>
    <row r="150" spans="1:22" x14ac:dyDescent="0.2">
      <c r="A150"/>
      <c r="B150">
        <v>21010</v>
      </c>
      <c r="C150" t="s">
        <v>2381</v>
      </c>
      <c r="D150" t="s">
        <v>192</v>
      </c>
      <c r="E150" t="s">
        <v>1272</v>
      </c>
      <c r="F150" t="s">
        <v>1915</v>
      </c>
      <c r="G150">
        <v>3496.73466925</v>
      </c>
      <c r="H150" t="s">
        <v>248</v>
      </c>
      <c r="Q150">
        <v>4763.1923614899997</v>
      </c>
      <c r="R150">
        <v>36876.760435299999</v>
      </c>
      <c r="S150">
        <v>-13.579937018700001</v>
      </c>
      <c r="T150">
        <v>-109.054662112</v>
      </c>
      <c r="U150">
        <v>0</v>
      </c>
      <c r="V150">
        <v>0</v>
      </c>
    </row>
    <row r="151" spans="1:22" x14ac:dyDescent="0.2">
      <c r="A151"/>
      <c r="B151">
        <v>21011</v>
      </c>
      <c r="C151" t="s">
        <v>2382</v>
      </c>
      <c r="D151" t="s">
        <v>192</v>
      </c>
      <c r="E151" t="s">
        <v>1272</v>
      </c>
      <c r="F151" t="s">
        <v>1915</v>
      </c>
      <c r="G151">
        <v>3496.73466925</v>
      </c>
      <c r="H151" t="s">
        <v>248</v>
      </c>
      <c r="Q151">
        <v>4714.6990837699996</v>
      </c>
      <c r="R151">
        <v>36691.397061000003</v>
      </c>
      <c r="S151">
        <v>-13.588478589499999</v>
      </c>
      <c r="T151">
        <v>-99.983084813600001</v>
      </c>
      <c r="U151">
        <v>0</v>
      </c>
      <c r="V151">
        <v>0</v>
      </c>
    </row>
    <row r="152" spans="1:22" x14ac:dyDescent="0.2">
      <c r="A152"/>
      <c r="B152">
        <v>21011</v>
      </c>
      <c r="C152" t="s">
        <v>2382</v>
      </c>
      <c r="D152" t="s">
        <v>192</v>
      </c>
      <c r="E152" t="s">
        <v>1272</v>
      </c>
      <c r="F152" t="s">
        <v>1915</v>
      </c>
      <c r="G152">
        <v>4355.1178489599997</v>
      </c>
      <c r="H152" t="s">
        <v>248</v>
      </c>
      <c r="Q152">
        <v>4714.6990837699996</v>
      </c>
      <c r="R152">
        <v>36691.397061000003</v>
      </c>
      <c r="S152">
        <v>-13.588478589499999</v>
      </c>
      <c r="T152">
        <v>-99.983084813600001</v>
      </c>
      <c r="U152">
        <v>0</v>
      </c>
      <c r="V152">
        <v>0</v>
      </c>
    </row>
    <row r="153" spans="1:22" x14ac:dyDescent="0.2">
      <c r="A153"/>
      <c r="B153">
        <v>21012</v>
      </c>
      <c r="C153" t="s">
        <v>2383</v>
      </c>
      <c r="D153" t="s">
        <v>192</v>
      </c>
      <c r="E153" t="s">
        <v>1272</v>
      </c>
      <c r="F153" t="s">
        <v>1915</v>
      </c>
      <c r="G153">
        <v>4355.1178489599997</v>
      </c>
      <c r="H153" t="s">
        <v>248</v>
      </c>
      <c r="Q153">
        <v>4513.9323595699998</v>
      </c>
      <c r="R153">
        <v>35882.038199900002</v>
      </c>
      <c r="S153">
        <v>-12.967489690100001</v>
      </c>
      <c r="T153">
        <v>-134.503209242</v>
      </c>
      <c r="U153">
        <v>0</v>
      </c>
      <c r="V153">
        <v>0</v>
      </c>
    </row>
    <row r="154" spans="1:22" x14ac:dyDescent="0.2">
      <c r="A154"/>
      <c r="B154">
        <v>21012</v>
      </c>
      <c r="C154" t="s">
        <v>2383</v>
      </c>
      <c r="D154" t="s">
        <v>192</v>
      </c>
      <c r="E154" t="s">
        <v>1272</v>
      </c>
      <c r="F154" t="s">
        <v>1915</v>
      </c>
      <c r="G154">
        <v>4547.9204578099998</v>
      </c>
      <c r="H154" t="s">
        <v>248</v>
      </c>
      <c r="Q154">
        <v>4513.9323595699998</v>
      </c>
      <c r="R154">
        <v>35882.038199900002</v>
      </c>
      <c r="S154">
        <v>-12.967489690100001</v>
      </c>
      <c r="T154">
        <v>-134.503209242</v>
      </c>
      <c r="U154">
        <v>0</v>
      </c>
      <c r="V154">
        <v>0</v>
      </c>
    </row>
    <row r="155" spans="1:22" x14ac:dyDescent="0.2">
      <c r="A155"/>
      <c r="B155">
        <v>21013</v>
      </c>
      <c r="C155" t="s">
        <v>2384</v>
      </c>
      <c r="D155" t="s">
        <v>192</v>
      </c>
      <c r="E155" t="s">
        <v>1272</v>
      </c>
      <c r="F155" t="s">
        <v>1915</v>
      </c>
      <c r="G155">
        <v>4547.9204578099998</v>
      </c>
      <c r="H155" t="s">
        <v>248</v>
      </c>
      <c r="Q155">
        <v>4378.36689381</v>
      </c>
      <c r="R155">
        <v>35744.944312799998</v>
      </c>
      <c r="S155">
        <v>-12.957804643099999</v>
      </c>
      <c r="T155">
        <v>-134.44889718799999</v>
      </c>
      <c r="U155">
        <v>0</v>
      </c>
      <c r="V155">
        <v>0</v>
      </c>
    </row>
    <row r="156" spans="1:22" x14ac:dyDescent="0.2">
      <c r="A156"/>
      <c r="B156">
        <v>21013</v>
      </c>
      <c r="C156" t="s">
        <v>2384</v>
      </c>
      <c r="D156" t="s">
        <v>192</v>
      </c>
      <c r="E156" t="s">
        <v>1272</v>
      </c>
      <c r="F156" t="s">
        <v>1915</v>
      </c>
      <c r="G156">
        <v>5408.4250332299998</v>
      </c>
      <c r="H156" t="s">
        <v>248</v>
      </c>
      <c r="Q156">
        <v>4378.36689381</v>
      </c>
      <c r="R156">
        <v>35744.944312799998</v>
      </c>
      <c r="S156">
        <v>-12.957804643099999</v>
      </c>
      <c r="T156">
        <v>-134.44889718799999</v>
      </c>
      <c r="U156">
        <v>0</v>
      </c>
      <c r="V156">
        <v>0</v>
      </c>
    </row>
    <row r="157" spans="1:22" x14ac:dyDescent="0.2">
      <c r="A157"/>
      <c r="B157">
        <v>21014</v>
      </c>
      <c r="C157" t="s">
        <v>2385</v>
      </c>
      <c r="D157" t="s">
        <v>192</v>
      </c>
      <c r="E157" t="s">
        <v>1272</v>
      </c>
      <c r="F157" t="s">
        <v>1915</v>
      </c>
      <c r="G157">
        <v>5408.4250332299998</v>
      </c>
      <c r="H157" t="s">
        <v>248</v>
      </c>
      <c r="Q157">
        <v>4134.9001610100004</v>
      </c>
      <c r="R157">
        <v>34953.892538400003</v>
      </c>
      <c r="S157">
        <v>-11.2181170651</v>
      </c>
      <c r="T157">
        <v>-88.891294598100004</v>
      </c>
      <c r="U157">
        <v>0</v>
      </c>
      <c r="V157">
        <v>0</v>
      </c>
    </row>
    <row r="158" spans="1:22" x14ac:dyDescent="0.2">
      <c r="A158"/>
      <c r="B158">
        <v>21014</v>
      </c>
      <c r="C158" t="s">
        <v>2385</v>
      </c>
      <c r="D158" t="s">
        <v>192</v>
      </c>
      <c r="E158" t="s">
        <v>1272</v>
      </c>
      <c r="F158" t="s">
        <v>1915</v>
      </c>
      <c r="G158">
        <v>5601.2276420799999</v>
      </c>
      <c r="H158" t="s">
        <v>248</v>
      </c>
      <c r="Q158">
        <v>4134.9001610100004</v>
      </c>
      <c r="R158">
        <v>34953.892538400003</v>
      </c>
      <c r="S158">
        <v>-11.2181170651</v>
      </c>
      <c r="T158">
        <v>-88.891294598100004</v>
      </c>
      <c r="U158">
        <v>0</v>
      </c>
      <c r="V158">
        <v>0</v>
      </c>
    </row>
    <row r="159" spans="1:22" x14ac:dyDescent="0.2">
      <c r="A159"/>
      <c r="B159">
        <v>21015</v>
      </c>
      <c r="C159" t="s">
        <v>2386</v>
      </c>
      <c r="D159" t="s">
        <v>192</v>
      </c>
      <c r="E159" t="s">
        <v>1272</v>
      </c>
      <c r="F159" t="s">
        <v>1915</v>
      </c>
      <c r="G159">
        <v>5601.2276420799999</v>
      </c>
      <c r="H159" t="s">
        <v>248</v>
      </c>
      <c r="Q159">
        <v>4144.5539278699998</v>
      </c>
      <c r="R159">
        <v>34761.405774699997</v>
      </c>
      <c r="S159">
        <v>-11.1446427429</v>
      </c>
      <c r="T159">
        <v>-85.348471082399996</v>
      </c>
      <c r="U159">
        <v>0</v>
      </c>
      <c r="V159">
        <v>0</v>
      </c>
    </row>
    <row r="160" spans="1:22" x14ac:dyDescent="0.2">
      <c r="A160"/>
      <c r="B160">
        <v>21015</v>
      </c>
      <c r="C160" t="s">
        <v>2386</v>
      </c>
      <c r="D160" t="s">
        <v>192</v>
      </c>
      <c r="E160" t="s">
        <v>1272</v>
      </c>
      <c r="F160" t="s">
        <v>1915</v>
      </c>
      <c r="G160">
        <v>6328.2211522300004</v>
      </c>
      <c r="H160" t="s">
        <v>248</v>
      </c>
      <c r="Q160">
        <v>4144.5539278699998</v>
      </c>
      <c r="R160">
        <v>34761.405774699997</v>
      </c>
      <c r="S160">
        <v>-11.1446427429</v>
      </c>
      <c r="T160">
        <v>-85.348471082399996</v>
      </c>
      <c r="U160">
        <v>0</v>
      </c>
      <c r="V160">
        <v>0</v>
      </c>
    </row>
    <row r="161" spans="1:22" x14ac:dyDescent="0.2">
      <c r="A161"/>
      <c r="B161">
        <v>21016</v>
      </c>
      <c r="C161" t="s">
        <v>2387</v>
      </c>
      <c r="D161" t="s">
        <v>192</v>
      </c>
      <c r="E161" t="s">
        <v>1272</v>
      </c>
      <c r="F161" t="s">
        <v>1915</v>
      </c>
      <c r="G161">
        <v>6328.2211522300004</v>
      </c>
      <c r="H161" t="s">
        <v>248</v>
      </c>
      <c r="Q161">
        <v>4099.5638212200001</v>
      </c>
      <c r="R161">
        <v>34036.508922300003</v>
      </c>
      <c r="S161">
        <v>-10.846818566</v>
      </c>
      <c r="T161">
        <v>-91.454999181700003</v>
      </c>
      <c r="U161">
        <v>0</v>
      </c>
      <c r="V161">
        <v>0</v>
      </c>
    </row>
    <row r="162" spans="1:22" x14ac:dyDescent="0.2">
      <c r="A162"/>
      <c r="B162">
        <v>21016</v>
      </c>
      <c r="C162" t="s">
        <v>2387</v>
      </c>
      <c r="D162" t="s">
        <v>192</v>
      </c>
      <c r="E162" t="s">
        <v>1272</v>
      </c>
      <c r="F162" t="s">
        <v>1915</v>
      </c>
      <c r="G162">
        <v>6521.0237610800004</v>
      </c>
      <c r="H162" t="s">
        <v>248</v>
      </c>
      <c r="Q162">
        <v>4099.5638212200001</v>
      </c>
      <c r="R162">
        <v>34036.508922300003</v>
      </c>
      <c r="S162">
        <v>-10.846818566</v>
      </c>
      <c r="T162">
        <v>-91.454999181700003</v>
      </c>
      <c r="U162">
        <v>0</v>
      </c>
      <c r="V162">
        <v>0</v>
      </c>
    </row>
    <row r="163" spans="1:22" x14ac:dyDescent="0.2">
      <c r="A163"/>
      <c r="B163">
        <v>21017</v>
      </c>
      <c r="C163" t="s">
        <v>2388</v>
      </c>
      <c r="D163" t="s">
        <v>192</v>
      </c>
      <c r="E163" t="s">
        <v>1272</v>
      </c>
      <c r="F163" t="s">
        <v>1915</v>
      </c>
      <c r="G163">
        <v>6521.0237610800004</v>
      </c>
      <c r="H163" t="s">
        <v>248</v>
      </c>
      <c r="Q163">
        <v>4095.0748205199998</v>
      </c>
      <c r="R163">
        <v>33843.758786600003</v>
      </c>
      <c r="S163">
        <v>-10.770526739999999</v>
      </c>
      <c r="T163">
        <v>-91.448611915300006</v>
      </c>
      <c r="U163">
        <v>0</v>
      </c>
      <c r="V163">
        <v>0</v>
      </c>
    </row>
    <row r="164" spans="1:22" x14ac:dyDescent="0.2">
      <c r="A164"/>
      <c r="B164">
        <v>21017</v>
      </c>
      <c r="C164" t="s">
        <v>2388</v>
      </c>
      <c r="D164" t="s">
        <v>192</v>
      </c>
      <c r="E164" t="s">
        <v>1272</v>
      </c>
      <c r="F164" t="s">
        <v>1915</v>
      </c>
      <c r="G164">
        <v>7402.2143886399999</v>
      </c>
      <c r="H164" t="s">
        <v>248</v>
      </c>
      <c r="Q164">
        <v>4095.0748205199998</v>
      </c>
      <c r="R164">
        <v>33843.758786600003</v>
      </c>
      <c r="S164">
        <v>-10.770526739999999</v>
      </c>
      <c r="T164">
        <v>-91.448611915300006</v>
      </c>
      <c r="U164">
        <v>0</v>
      </c>
      <c r="V164">
        <v>0</v>
      </c>
    </row>
    <row r="165" spans="1:22" x14ac:dyDescent="0.2">
      <c r="A165"/>
      <c r="B165">
        <v>21018</v>
      </c>
      <c r="C165" t="s">
        <v>2389</v>
      </c>
      <c r="D165" t="s">
        <v>192</v>
      </c>
      <c r="E165" t="s">
        <v>1272</v>
      </c>
      <c r="F165" t="s">
        <v>1915</v>
      </c>
      <c r="G165">
        <v>7402.2143886399999</v>
      </c>
      <c r="H165" t="s">
        <v>248</v>
      </c>
      <c r="Q165">
        <v>3747.75284139</v>
      </c>
      <c r="R165">
        <v>33068.246100199998</v>
      </c>
      <c r="S165">
        <v>-11.2825358639</v>
      </c>
      <c r="T165">
        <v>-133.00042194299999</v>
      </c>
      <c r="U165">
        <v>0</v>
      </c>
      <c r="V165">
        <v>0</v>
      </c>
    </row>
    <row r="166" spans="1:22" x14ac:dyDescent="0.2">
      <c r="A166"/>
      <c r="B166">
        <v>21018</v>
      </c>
      <c r="C166" t="s">
        <v>2389</v>
      </c>
      <c r="D166" t="s">
        <v>192</v>
      </c>
      <c r="E166" t="s">
        <v>1272</v>
      </c>
      <c r="F166" t="s">
        <v>1915</v>
      </c>
      <c r="G166">
        <v>7404.1695920599996</v>
      </c>
      <c r="H166" t="s">
        <v>248</v>
      </c>
      <c r="Q166">
        <v>3747.75284139</v>
      </c>
      <c r="R166">
        <v>33068.246100199998</v>
      </c>
      <c r="S166">
        <v>-11.2825358639</v>
      </c>
      <c r="T166">
        <v>-133.00042194299999</v>
      </c>
      <c r="U166">
        <v>0</v>
      </c>
      <c r="V166">
        <v>0</v>
      </c>
    </row>
    <row r="167" spans="1:22" x14ac:dyDescent="0.2">
      <c r="A167"/>
      <c r="B167">
        <v>21019</v>
      </c>
      <c r="C167" t="s">
        <v>2390</v>
      </c>
      <c r="D167" t="s">
        <v>192</v>
      </c>
      <c r="E167" t="s">
        <v>1272</v>
      </c>
      <c r="F167" t="s">
        <v>1915</v>
      </c>
      <c r="G167">
        <v>7404.1695920599996</v>
      </c>
      <c r="H167" t="s">
        <v>248</v>
      </c>
      <c r="Q167">
        <v>3746.4195345600001</v>
      </c>
      <c r="R167">
        <v>33066.816025699998</v>
      </c>
      <c r="S167">
        <v>-11.282996751100001</v>
      </c>
      <c r="T167">
        <v>-132.98826831</v>
      </c>
      <c r="U167">
        <v>0</v>
      </c>
      <c r="V167">
        <v>0</v>
      </c>
    </row>
    <row r="168" spans="1:22" x14ac:dyDescent="0.2">
      <c r="A168"/>
      <c r="B168">
        <v>21019</v>
      </c>
      <c r="C168" t="s">
        <v>2390</v>
      </c>
      <c r="D168" t="s">
        <v>192</v>
      </c>
      <c r="E168" t="s">
        <v>1272</v>
      </c>
      <c r="F168" t="s">
        <v>1915</v>
      </c>
      <c r="G168">
        <v>7595.9945992000003</v>
      </c>
      <c r="H168" t="s">
        <v>248</v>
      </c>
      <c r="Q168">
        <v>3746.4195345600001</v>
      </c>
      <c r="R168">
        <v>33066.816025699998</v>
      </c>
      <c r="S168">
        <v>-11.282996751100001</v>
      </c>
      <c r="T168">
        <v>-132.98826831</v>
      </c>
      <c r="U168">
        <v>0</v>
      </c>
      <c r="V168">
        <v>0</v>
      </c>
    </row>
    <row r="169" spans="1:22" x14ac:dyDescent="0.2">
      <c r="A169"/>
      <c r="B169">
        <v>21020</v>
      </c>
      <c r="C169" t="s">
        <v>2391</v>
      </c>
      <c r="D169" t="s">
        <v>192</v>
      </c>
      <c r="E169" t="s">
        <v>1272</v>
      </c>
      <c r="F169" t="s">
        <v>1915</v>
      </c>
      <c r="G169">
        <v>7595.9945992000003</v>
      </c>
      <c r="H169" t="s">
        <v>248</v>
      </c>
      <c r="Q169">
        <v>3623.8187345199999</v>
      </c>
      <c r="R169">
        <v>32919.550909500002</v>
      </c>
      <c r="S169">
        <v>-11.2854704306</v>
      </c>
      <c r="T169">
        <v>-125.121854008</v>
      </c>
      <c r="U169">
        <v>0</v>
      </c>
      <c r="V169">
        <v>0</v>
      </c>
    </row>
    <row r="170" spans="1:22" x14ac:dyDescent="0.2">
      <c r="A170"/>
      <c r="B170">
        <v>21020</v>
      </c>
      <c r="C170" t="s">
        <v>2391</v>
      </c>
      <c r="D170" t="s">
        <v>192</v>
      </c>
      <c r="E170" t="s">
        <v>1272</v>
      </c>
      <c r="F170" t="s">
        <v>2313</v>
      </c>
      <c r="G170">
        <v>210.559440714</v>
      </c>
      <c r="H170" t="s">
        <v>248</v>
      </c>
      <c r="Q170">
        <v>3623.8187345199999</v>
      </c>
      <c r="R170">
        <v>32919.550909500002</v>
      </c>
      <c r="S170">
        <v>-11.2854704306</v>
      </c>
      <c r="T170">
        <v>-125.121854008</v>
      </c>
      <c r="U170">
        <v>0</v>
      </c>
      <c r="V170">
        <v>0</v>
      </c>
    </row>
    <row r="171" spans="1:22" x14ac:dyDescent="0.2">
      <c r="A171"/>
      <c r="B171">
        <v>21021</v>
      </c>
      <c r="C171" t="s">
        <v>2392</v>
      </c>
      <c r="D171" t="s">
        <v>192</v>
      </c>
      <c r="E171" t="s">
        <v>1272</v>
      </c>
      <c r="F171" t="s">
        <v>2313</v>
      </c>
      <c r="G171">
        <v>210.559440714</v>
      </c>
      <c r="H171" t="s">
        <v>248</v>
      </c>
      <c r="Q171">
        <v>3439.4829194200001</v>
      </c>
      <c r="R171">
        <v>32535.913064699998</v>
      </c>
      <c r="S171">
        <v>-10.7742635657</v>
      </c>
      <c r="T171">
        <v>-101.682585917</v>
      </c>
      <c r="U171">
        <v>0</v>
      </c>
      <c r="V171">
        <v>0</v>
      </c>
    </row>
    <row r="172" spans="1:22" x14ac:dyDescent="0.2">
      <c r="A172"/>
      <c r="B172">
        <v>21021</v>
      </c>
      <c r="C172" t="s">
        <v>2392</v>
      </c>
      <c r="D172" t="s">
        <v>192</v>
      </c>
      <c r="E172" t="s">
        <v>1272</v>
      </c>
      <c r="F172" t="s">
        <v>2313</v>
      </c>
      <c r="G172">
        <v>265.25020453600001</v>
      </c>
      <c r="H172" t="s">
        <v>248</v>
      </c>
      <c r="Q172">
        <v>3439.4829194200001</v>
      </c>
      <c r="R172">
        <v>32535.913064699998</v>
      </c>
      <c r="S172">
        <v>-10.7742635657</v>
      </c>
      <c r="T172">
        <v>-101.682585917</v>
      </c>
      <c r="U172">
        <v>0</v>
      </c>
      <c r="V172">
        <v>0</v>
      </c>
    </row>
    <row r="173" spans="1:22" x14ac:dyDescent="0.2">
      <c r="A173"/>
      <c r="B173">
        <v>21022</v>
      </c>
      <c r="C173" t="s">
        <v>2393</v>
      </c>
      <c r="D173" t="s">
        <v>192</v>
      </c>
      <c r="E173" t="s">
        <v>1272</v>
      </c>
      <c r="F173" t="s">
        <v>2313</v>
      </c>
      <c r="G173">
        <v>265.25020453600001</v>
      </c>
      <c r="H173" t="s">
        <v>248</v>
      </c>
      <c r="Q173">
        <v>3429.8963389999999</v>
      </c>
      <c r="R173">
        <v>32482.0710884</v>
      </c>
      <c r="S173">
        <v>-10.7636830007</v>
      </c>
      <c r="T173">
        <v>-99.684457823900004</v>
      </c>
      <c r="U173">
        <v>0</v>
      </c>
      <c r="V173">
        <v>0</v>
      </c>
    </row>
    <row r="174" spans="1:22" x14ac:dyDescent="0.2">
      <c r="A174"/>
      <c r="B174">
        <v>21022</v>
      </c>
      <c r="C174" t="s">
        <v>2393</v>
      </c>
      <c r="D174" t="s">
        <v>192</v>
      </c>
      <c r="E174" t="s">
        <v>1272</v>
      </c>
      <c r="F174" t="s">
        <v>2316</v>
      </c>
      <c r="G174">
        <v>183.41872034400001</v>
      </c>
      <c r="H174" t="s">
        <v>248</v>
      </c>
      <c r="Q174">
        <v>3429.8963389999999</v>
      </c>
      <c r="R174">
        <v>32482.0710884</v>
      </c>
      <c r="S174">
        <v>-10.7636830007</v>
      </c>
      <c r="T174">
        <v>-99.684457823900004</v>
      </c>
      <c r="U174">
        <v>0</v>
      </c>
      <c r="V174">
        <v>0</v>
      </c>
    </row>
    <row r="175" spans="1:22" x14ac:dyDescent="0.2">
      <c r="A175"/>
      <c r="B175">
        <v>21022</v>
      </c>
      <c r="C175" t="s">
        <v>2393</v>
      </c>
      <c r="D175" t="s">
        <v>192</v>
      </c>
      <c r="E175" t="s">
        <v>1272</v>
      </c>
      <c r="F175" t="s">
        <v>2394</v>
      </c>
      <c r="G175">
        <v>41</v>
      </c>
      <c r="H175" t="s">
        <v>248</v>
      </c>
      <c r="Q175">
        <v>3429.8963389999999</v>
      </c>
      <c r="R175">
        <v>32482.0710884</v>
      </c>
      <c r="S175">
        <v>-10.7636830007</v>
      </c>
      <c r="T175">
        <v>-99.684457823900004</v>
      </c>
      <c r="U175">
        <v>0</v>
      </c>
      <c r="V175">
        <v>0</v>
      </c>
    </row>
    <row r="176" spans="1:22" x14ac:dyDescent="0.2">
      <c r="A176"/>
      <c r="B176">
        <v>21023</v>
      </c>
      <c r="C176" t="s">
        <v>2395</v>
      </c>
      <c r="D176" t="s">
        <v>192</v>
      </c>
      <c r="E176" t="s">
        <v>1272</v>
      </c>
      <c r="F176" t="s">
        <v>2316</v>
      </c>
      <c r="G176">
        <v>183.41872034400001</v>
      </c>
      <c r="H176" t="s">
        <v>248</v>
      </c>
      <c r="Q176">
        <v>3396.3210988800001</v>
      </c>
      <c r="R176">
        <v>32285.086092099998</v>
      </c>
      <c r="S176">
        <v>-10.781142603199999</v>
      </c>
      <c r="T176">
        <v>-99.799575937100002</v>
      </c>
      <c r="U176">
        <v>0</v>
      </c>
      <c r="V176">
        <v>0</v>
      </c>
    </row>
    <row r="177" spans="1:22" x14ac:dyDescent="0.2">
      <c r="A177"/>
      <c r="B177">
        <v>21023</v>
      </c>
      <c r="C177" t="s">
        <v>2395</v>
      </c>
      <c r="D177" t="s">
        <v>192</v>
      </c>
      <c r="E177" t="s">
        <v>1272</v>
      </c>
      <c r="F177" t="s">
        <v>2316</v>
      </c>
      <c r="G177">
        <v>202.06925878999999</v>
      </c>
      <c r="H177" t="s">
        <v>248</v>
      </c>
      <c r="Q177">
        <v>3396.3210988800001</v>
      </c>
      <c r="R177">
        <v>32285.086092099998</v>
      </c>
      <c r="S177">
        <v>-10.781142603199999</v>
      </c>
      <c r="T177">
        <v>-99.799575937100002</v>
      </c>
      <c r="U177">
        <v>0</v>
      </c>
      <c r="V177">
        <v>0</v>
      </c>
    </row>
    <row r="178" spans="1:22" x14ac:dyDescent="0.2">
      <c r="A178"/>
      <c r="B178">
        <v>21024</v>
      </c>
      <c r="C178" t="s">
        <v>2396</v>
      </c>
      <c r="D178" t="s">
        <v>192</v>
      </c>
      <c r="E178" t="s">
        <v>1272</v>
      </c>
      <c r="F178" t="s">
        <v>2316</v>
      </c>
      <c r="G178">
        <v>202.06925878999999</v>
      </c>
      <c r="H178" t="s">
        <v>248</v>
      </c>
      <c r="Q178">
        <v>3393.1382411</v>
      </c>
      <c r="R178">
        <v>32266.709150899998</v>
      </c>
      <c r="S178">
        <v>-10.779072580699999</v>
      </c>
      <c r="T178">
        <v>-99.853847135099997</v>
      </c>
      <c r="U178">
        <v>0</v>
      </c>
      <c r="V178">
        <v>0</v>
      </c>
    </row>
    <row r="179" spans="1:22" x14ac:dyDescent="0.2">
      <c r="A179"/>
      <c r="B179">
        <v>21024</v>
      </c>
      <c r="C179" t="s">
        <v>2396</v>
      </c>
      <c r="D179" t="s">
        <v>192</v>
      </c>
      <c r="E179" t="s">
        <v>1272</v>
      </c>
      <c r="F179" t="s">
        <v>2316</v>
      </c>
      <c r="G179">
        <v>413.958026072</v>
      </c>
      <c r="H179" t="s">
        <v>248</v>
      </c>
      <c r="Q179">
        <v>3393.1382411</v>
      </c>
      <c r="R179">
        <v>32266.709150899998</v>
      </c>
      <c r="S179">
        <v>-10.779072580699999</v>
      </c>
      <c r="T179">
        <v>-99.853847135099997</v>
      </c>
      <c r="U179">
        <v>0</v>
      </c>
      <c r="V179">
        <v>0</v>
      </c>
    </row>
    <row r="180" spans="1:22" x14ac:dyDescent="0.2">
      <c r="A180"/>
      <c r="B180">
        <v>21025</v>
      </c>
      <c r="C180" t="s">
        <v>2397</v>
      </c>
      <c r="D180" t="s">
        <v>192</v>
      </c>
      <c r="E180" t="s">
        <v>1272</v>
      </c>
      <c r="F180" t="s">
        <v>2316</v>
      </c>
      <c r="G180">
        <v>413.958026072</v>
      </c>
      <c r="H180" t="s">
        <v>248</v>
      </c>
      <c r="Q180">
        <v>3347.0916300899999</v>
      </c>
      <c r="R180">
        <v>32060.007887700001</v>
      </c>
      <c r="S180">
        <v>-10.775355189600001</v>
      </c>
      <c r="T180">
        <v>-104.67810701499999</v>
      </c>
      <c r="U180">
        <v>0</v>
      </c>
      <c r="V180">
        <v>0</v>
      </c>
    </row>
    <row r="181" spans="1:22" x14ac:dyDescent="0.2">
      <c r="A181"/>
      <c r="B181">
        <v>21025</v>
      </c>
      <c r="C181" t="s">
        <v>2397</v>
      </c>
      <c r="D181" t="s">
        <v>192</v>
      </c>
      <c r="E181" t="s">
        <v>1272</v>
      </c>
      <c r="F181" t="s">
        <v>2320</v>
      </c>
      <c r="G181">
        <v>75.803649273600001</v>
      </c>
      <c r="H181" t="s">
        <v>248</v>
      </c>
      <c r="Q181">
        <v>3347.0916300899999</v>
      </c>
      <c r="R181">
        <v>32060.007887700001</v>
      </c>
      <c r="S181">
        <v>-10.775355189600001</v>
      </c>
      <c r="T181">
        <v>-104.67810701499999</v>
      </c>
      <c r="U181">
        <v>0</v>
      </c>
      <c r="V181">
        <v>0</v>
      </c>
    </row>
    <row r="182" spans="1:22" x14ac:dyDescent="0.2">
      <c r="A182"/>
      <c r="B182">
        <v>21025</v>
      </c>
      <c r="C182" t="s">
        <v>2397</v>
      </c>
      <c r="D182" t="s">
        <v>192</v>
      </c>
      <c r="E182" t="s">
        <v>1272</v>
      </c>
      <c r="F182" t="s">
        <v>2398</v>
      </c>
      <c r="G182">
        <v>41</v>
      </c>
      <c r="H182" t="s">
        <v>248</v>
      </c>
      <c r="Q182">
        <v>3347.0916300899999</v>
      </c>
      <c r="R182">
        <v>32060.007887700001</v>
      </c>
      <c r="S182">
        <v>-10.775355189600001</v>
      </c>
      <c r="T182">
        <v>-104.67810701499999</v>
      </c>
      <c r="U182">
        <v>0</v>
      </c>
      <c r="V182">
        <v>0</v>
      </c>
    </row>
    <row r="183" spans="1:22" x14ac:dyDescent="0.2">
      <c r="A183"/>
      <c r="B183">
        <v>21026</v>
      </c>
      <c r="C183" t="s">
        <v>2399</v>
      </c>
      <c r="D183" t="s">
        <v>192</v>
      </c>
      <c r="E183" t="s">
        <v>1272</v>
      </c>
      <c r="F183" t="s">
        <v>2320</v>
      </c>
      <c r="G183">
        <v>75.803649273600001</v>
      </c>
      <c r="H183" t="s">
        <v>248</v>
      </c>
      <c r="Q183">
        <v>3315.00814081</v>
      </c>
      <c r="R183">
        <v>31937.108658100002</v>
      </c>
      <c r="S183">
        <v>-10.7762250783</v>
      </c>
      <c r="T183">
        <v>-104.554125023</v>
      </c>
      <c r="U183">
        <v>0</v>
      </c>
      <c r="V183">
        <v>0</v>
      </c>
    </row>
    <row r="184" spans="1:22" x14ac:dyDescent="0.2">
      <c r="A184"/>
      <c r="B184">
        <v>21026</v>
      </c>
      <c r="C184" t="s">
        <v>2399</v>
      </c>
      <c r="D184" t="s">
        <v>192</v>
      </c>
      <c r="E184" t="s">
        <v>1272</v>
      </c>
      <c r="F184" t="s">
        <v>2320</v>
      </c>
      <c r="G184">
        <v>125.026798153</v>
      </c>
      <c r="H184" t="s">
        <v>248</v>
      </c>
      <c r="Q184">
        <v>3315.00814081</v>
      </c>
      <c r="R184">
        <v>31937.108658100002</v>
      </c>
      <c r="S184">
        <v>-10.7762250783</v>
      </c>
      <c r="T184">
        <v>-104.554125023</v>
      </c>
      <c r="U184">
        <v>0</v>
      </c>
      <c r="V184">
        <v>0</v>
      </c>
    </row>
    <row r="185" spans="1:22" x14ac:dyDescent="0.2">
      <c r="A185"/>
      <c r="B185">
        <v>21027</v>
      </c>
      <c r="C185" t="s">
        <v>2400</v>
      </c>
      <c r="D185" t="s">
        <v>192</v>
      </c>
      <c r="E185" t="s">
        <v>1272</v>
      </c>
      <c r="F185" t="s">
        <v>2320</v>
      </c>
      <c r="G185">
        <v>125.026798153</v>
      </c>
      <c r="H185" t="s">
        <v>248</v>
      </c>
      <c r="Q185">
        <v>3302.6675012599999</v>
      </c>
      <c r="R185">
        <v>31889.4575663</v>
      </c>
      <c r="S185">
        <v>-10.7874522518</v>
      </c>
      <c r="T185">
        <v>-104.48054964000001</v>
      </c>
      <c r="U185">
        <v>0</v>
      </c>
      <c r="V185">
        <v>0</v>
      </c>
    </row>
    <row r="186" spans="1:22" x14ac:dyDescent="0.2">
      <c r="A186"/>
      <c r="B186">
        <v>21027</v>
      </c>
      <c r="C186" t="s">
        <v>2400</v>
      </c>
      <c r="D186" t="s">
        <v>192</v>
      </c>
      <c r="E186" t="s">
        <v>1272</v>
      </c>
      <c r="F186" t="s">
        <v>2320</v>
      </c>
      <c r="G186">
        <v>768.11739362699996</v>
      </c>
      <c r="H186" t="s">
        <v>248</v>
      </c>
      <c r="Q186">
        <v>3302.6675012599999</v>
      </c>
      <c r="R186">
        <v>31889.4575663</v>
      </c>
      <c r="S186">
        <v>-10.7874522518</v>
      </c>
      <c r="T186">
        <v>-104.48054964000001</v>
      </c>
      <c r="U186">
        <v>0</v>
      </c>
      <c r="V186">
        <v>0</v>
      </c>
    </row>
    <row r="187" spans="1:22" x14ac:dyDescent="0.2">
      <c r="A187"/>
      <c r="B187">
        <v>21028</v>
      </c>
      <c r="C187" t="s">
        <v>2401</v>
      </c>
      <c r="D187" t="s">
        <v>192</v>
      </c>
      <c r="E187" t="s">
        <v>1272</v>
      </c>
      <c r="F187" t="s">
        <v>2320</v>
      </c>
      <c r="G187">
        <v>768.11739362699996</v>
      </c>
      <c r="H187" t="s">
        <v>248</v>
      </c>
      <c r="Q187">
        <v>3230.93363542</v>
      </c>
      <c r="R187">
        <v>31251.5774556</v>
      </c>
      <c r="S187">
        <v>-13.302030825899999</v>
      </c>
      <c r="T187">
        <v>-96.426877225599995</v>
      </c>
      <c r="U187">
        <v>0</v>
      </c>
      <c r="V187">
        <v>0</v>
      </c>
    </row>
    <row r="188" spans="1:22" x14ac:dyDescent="0.2">
      <c r="A188"/>
      <c r="B188">
        <v>21028</v>
      </c>
      <c r="C188" t="s">
        <v>2401</v>
      </c>
      <c r="D188" t="s">
        <v>192</v>
      </c>
      <c r="E188" t="s">
        <v>1272</v>
      </c>
      <c r="F188" t="s">
        <v>2320</v>
      </c>
      <c r="G188">
        <v>962.27318206500001</v>
      </c>
      <c r="H188" t="s">
        <v>248</v>
      </c>
      <c r="Q188">
        <v>3230.93363542</v>
      </c>
      <c r="R188">
        <v>31251.5774556</v>
      </c>
      <c r="S188">
        <v>-13.302030825899999</v>
      </c>
      <c r="T188">
        <v>-96.426877225599995</v>
      </c>
      <c r="U188">
        <v>0</v>
      </c>
      <c r="V188">
        <v>0</v>
      </c>
    </row>
    <row r="189" spans="1:22" x14ac:dyDescent="0.2">
      <c r="A189"/>
      <c r="B189">
        <v>21029</v>
      </c>
      <c r="C189" t="s">
        <v>2402</v>
      </c>
      <c r="D189" t="s">
        <v>192</v>
      </c>
      <c r="E189" t="s">
        <v>1272</v>
      </c>
      <c r="F189" t="s">
        <v>2320</v>
      </c>
      <c r="G189">
        <v>962.27318206500001</v>
      </c>
      <c r="H189" t="s">
        <v>248</v>
      </c>
      <c r="Q189">
        <v>3208.9883544099998</v>
      </c>
      <c r="R189">
        <v>31058.666381200001</v>
      </c>
      <c r="S189">
        <v>-13.407910704500001</v>
      </c>
      <c r="T189">
        <v>-96.237695649499997</v>
      </c>
      <c r="U189">
        <v>0</v>
      </c>
      <c r="V189">
        <v>0</v>
      </c>
    </row>
    <row r="190" spans="1:22" x14ac:dyDescent="0.2">
      <c r="A190"/>
      <c r="B190">
        <v>21029</v>
      </c>
      <c r="C190" t="s">
        <v>2402</v>
      </c>
      <c r="D190" t="s">
        <v>192</v>
      </c>
      <c r="E190" t="s">
        <v>1272</v>
      </c>
      <c r="F190" t="s">
        <v>2320</v>
      </c>
      <c r="G190">
        <v>2061.2095146800002</v>
      </c>
      <c r="H190" t="s">
        <v>248</v>
      </c>
      <c r="Q190">
        <v>3208.9883544099998</v>
      </c>
      <c r="R190">
        <v>31058.666381200001</v>
      </c>
      <c r="S190">
        <v>-13.407910704500001</v>
      </c>
      <c r="T190">
        <v>-96.237695649499997</v>
      </c>
      <c r="U190">
        <v>0</v>
      </c>
      <c r="V190">
        <v>0</v>
      </c>
    </row>
    <row r="191" spans="1:22" x14ac:dyDescent="0.2">
      <c r="A191"/>
      <c r="B191">
        <v>21030</v>
      </c>
      <c r="C191" t="s">
        <v>2403</v>
      </c>
      <c r="D191" t="s">
        <v>192</v>
      </c>
      <c r="E191" t="s">
        <v>1272</v>
      </c>
      <c r="F191" t="s">
        <v>2320</v>
      </c>
      <c r="G191">
        <v>2061.2095146800002</v>
      </c>
      <c r="H191" t="s">
        <v>248</v>
      </c>
      <c r="Q191">
        <v>3366.7616557900001</v>
      </c>
      <c r="R191">
        <v>29979.323358000001</v>
      </c>
      <c r="S191">
        <v>-14.7788871403</v>
      </c>
      <c r="T191">
        <v>-91.770901757299995</v>
      </c>
      <c r="U191">
        <v>0</v>
      </c>
      <c r="V191">
        <v>0</v>
      </c>
    </row>
    <row r="192" spans="1:22" x14ac:dyDescent="0.2">
      <c r="A192"/>
      <c r="B192">
        <v>21030</v>
      </c>
      <c r="C192" t="s">
        <v>2403</v>
      </c>
      <c r="D192" t="s">
        <v>192</v>
      </c>
      <c r="E192" t="s">
        <v>1272</v>
      </c>
      <c r="F192" t="s">
        <v>2320</v>
      </c>
      <c r="G192">
        <v>2255.3653031200001</v>
      </c>
      <c r="H192" t="s">
        <v>248</v>
      </c>
      <c r="Q192">
        <v>3366.7616557900001</v>
      </c>
      <c r="R192">
        <v>29979.323358000001</v>
      </c>
      <c r="S192">
        <v>-14.7788871403</v>
      </c>
      <c r="T192">
        <v>-91.770901757299995</v>
      </c>
      <c r="U192">
        <v>0</v>
      </c>
      <c r="V192">
        <v>0</v>
      </c>
    </row>
    <row r="193" spans="1:22" x14ac:dyDescent="0.2">
      <c r="A193"/>
      <c r="B193">
        <v>21031</v>
      </c>
      <c r="C193" t="s">
        <v>2404</v>
      </c>
      <c r="D193" t="s">
        <v>192</v>
      </c>
      <c r="E193" t="s">
        <v>1272</v>
      </c>
      <c r="F193" t="s">
        <v>2320</v>
      </c>
      <c r="G193">
        <v>2255.3653031200001</v>
      </c>
      <c r="H193" t="s">
        <v>248</v>
      </c>
      <c r="Q193">
        <v>3360.5938291000002</v>
      </c>
      <c r="R193">
        <v>29785.265937799999</v>
      </c>
      <c r="S193">
        <v>-14.6481104999</v>
      </c>
      <c r="T193">
        <v>-91.784489042800004</v>
      </c>
      <c r="U193">
        <v>0</v>
      </c>
      <c r="V193">
        <v>0</v>
      </c>
    </row>
    <row r="194" spans="1:22" x14ac:dyDescent="0.2">
      <c r="A194"/>
      <c r="B194">
        <v>21031</v>
      </c>
      <c r="C194" t="s">
        <v>2404</v>
      </c>
      <c r="D194" t="s">
        <v>192</v>
      </c>
      <c r="E194" t="s">
        <v>1272</v>
      </c>
      <c r="F194" t="s">
        <v>2320</v>
      </c>
      <c r="G194">
        <v>3432.8322474500001</v>
      </c>
      <c r="H194" t="s">
        <v>248</v>
      </c>
      <c r="Q194">
        <v>3360.5938291000002</v>
      </c>
      <c r="R194">
        <v>29785.265937799999</v>
      </c>
      <c r="S194">
        <v>-14.6481104999</v>
      </c>
      <c r="T194">
        <v>-91.784489042800004</v>
      </c>
      <c r="U194">
        <v>0</v>
      </c>
      <c r="V194">
        <v>0</v>
      </c>
    </row>
    <row r="195" spans="1:22" x14ac:dyDescent="0.2">
      <c r="A195"/>
      <c r="B195">
        <v>21032</v>
      </c>
      <c r="C195" t="s">
        <v>2405</v>
      </c>
      <c r="D195" t="s">
        <v>192</v>
      </c>
      <c r="E195" t="s">
        <v>1272</v>
      </c>
      <c r="F195" t="s">
        <v>2320</v>
      </c>
      <c r="G195">
        <v>3432.8322474500001</v>
      </c>
      <c r="H195" t="s">
        <v>248</v>
      </c>
      <c r="Q195">
        <v>3393.2981271499998</v>
      </c>
      <c r="R195">
        <v>28626.0621336</v>
      </c>
      <c r="S195">
        <v>-14.569111263</v>
      </c>
      <c r="T195">
        <v>-113.132566533</v>
      </c>
      <c r="U195">
        <v>0</v>
      </c>
      <c r="V195">
        <v>0</v>
      </c>
    </row>
    <row r="196" spans="1:22" x14ac:dyDescent="0.2">
      <c r="A196"/>
      <c r="B196">
        <v>21032</v>
      </c>
      <c r="C196" t="s">
        <v>2405</v>
      </c>
      <c r="D196" t="s">
        <v>192</v>
      </c>
      <c r="E196" t="s">
        <v>1272</v>
      </c>
      <c r="F196" t="s">
        <v>2320</v>
      </c>
      <c r="G196">
        <v>3434.80117341</v>
      </c>
      <c r="H196" t="s">
        <v>248</v>
      </c>
      <c r="Q196">
        <v>3393.2981271499998</v>
      </c>
      <c r="R196">
        <v>28626.0621336</v>
      </c>
      <c r="S196">
        <v>-14.569111263</v>
      </c>
      <c r="T196">
        <v>-113.132566533</v>
      </c>
      <c r="U196">
        <v>0</v>
      </c>
      <c r="V196">
        <v>0</v>
      </c>
    </row>
    <row r="197" spans="1:22" x14ac:dyDescent="0.2">
      <c r="A197"/>
      <c r="B197">
        <v>21033</v>
      </c>
      <c r="C197" t="s">
        <v>2406</v>
      </c>
      <c r="D197" t="s">
        <v>192</v>
      </c>
      <c r="E197" t="s">
        <v>1272</v>
      </c>
      <c r="F197" t="s">
        <v>2320</v>
      </c>
      <c r="G197">
        <v>3434.80117341</v>
      </c>
      <c r="H197" t="s">
        <v>248</v>
      </c>
      <c r="Q197">
        <v>3392.5245336399998</v>
      </c>
      <c r="R197">
        <v>28624.251574000002</v>
      </c>
      <c r="S197">
        <v>-14.559296400499999</v>
      </c>
      <c r="T197">
        <v>-113.138339884</v>
      </c>
      <c r="U197">
        <v>0</v>
      </c>
      <c r="V197">
        <v>0</v>
      </c>
    </row>
    <row r="198" spans="1:22" x14ac:dyDescent="0.2">
      <c r="A198"/>
      <c r="B198">
        <v>21033</v>
      </c>
      <c r="C198" t="s">
        <v>2406</v>
      </c>
      <c r="D198" t="s">
        <v>192</v>
      </c>
      <c r="E198" t="s">
        <v>1272</v>
      </c>
      <c r="F198" t="s">
        <v>2320</v>
      </c>
      <c r="G198">
        <v>3627.97249887</v>
      </c>
      <c r="H198" t="s">
        <v>248</v>
      </c>
      <c r="Q198">
        <v>3392.5245336399998</v>
      </c>
      <c r="R198">
        <v>28624.251574000002</v>
      </c>
      <c r="S198">
        <v>-14.559296400499999</v>
      </c>
      <c r="T198">
        <v>-113.138339884</v>
      </c>
      <c r="U198">
        <v>0</v>
      </c>
      <c r="V198">
        <v>0</v>
      </c>
    </row>
    <row r="199" spans="1:22" x14ac:dyDescent="0.2">
      <c r="A199"/>
      <c r="B199">
        <v>21034</v>
      </c>
      <c r="C199" t="s">
        <v>2407</v>
      </c>
      <c r="D199" t="s">
        <v>192</v>
      </c>
      <c r="E199" t="s">
        <v>1272</v>
      </c>
      <c r="F199" t="s">
        <v>2320</v>
      </c>
      <c r="G199">
        <v>3627.97249887</v>
      </c>
      <c r="H199" t="s">
        <v>248</v>
      </c>
      <c r="Q199">
        <v>3316.3151088899999</v>
      </c>
      <c r="R199">
        <v>28446.749014599998</v>
      </c>
      <c r="S199">
        <v>-14.576406695799999</v>
      </c>
      <c r="T199">
        <v>-113.13288424</v>
      </c>
      <c r="U199">
        <v>0</v>
      </c>
      <c r="V199">
        <v>0</v>
      </c>
    </row>
    <row r="200" spans="1:22" x14ac:dyDescent="0.2">
      <c r="A200"/>
      <c r="B200">
        <v>21034</v>
      </c>
      <c r="C200" t="s">
        <v>2407</v>
      </c>
      <c r="D200" t="s">
        <v>192</v>
      </c>
      <c r="E200" t="s">
        <v>1272</v>
      </c>
      <c r="F200" t="s">
        <v>2320</v>
      </c>
      <c r="G200">
        <v>4611.3624117999998</v>
      </c>
      <c r="H200" t="s">
        <v>248</v>
      </c>
      <c r="Q200">
        <v>3316.3151088899999</v>
      </c>
      <c r="R200">
        <v>28446.749014599998</v>
      </c>
      <c r="S200">
        <v>-14.576406695799999</v>
      </c>
      <c r="T200">
        <v>-113.13288424</v>
      </c>
      <c r="U200">
        <v>0</v>
      </c>
      <c r="V200">
        <v>0</v>
      </c>
    </row>
    <row r="201" spans="1:22" x14ac:dyDescent="0.2">
      <c r="A201"/>
      <c r="B201">
        <v>21035</v>
      </c>
      <c r="C201" t="s">
        <v>2408</v>
      </c>
      <c r="D201" t="s">
        <v>192</v>
      </c>
      <c r="E201" t="s">
        <v>1272</v>
      </c>
      <c r="F201" t="s">
        <v>2320</v>
      </c>
      <c r="G201">
        <v>4611.3624117999998</v>
      </c>
      <c r="H201" t="s">
        <v>248</v>
      </c>
      <c r="Q201">
        <v>3141.4680954199998</v>
      </c>
      <c r="R201">
        <v>27483.8763812</v>
      </c>
      <c r="S201">
        <v>-14.434775333499999</v>
      </c>
      <c r="T201">
        <v>-97.0353524935</v>
      </c>
      <c r="U201">
        <v>0</v>
      </c>
      <c r="V201">
        <v>0</v>
      </c>
    </row>
    <row r="202" spans="1:22" x14ac:dyDescent="0.2">
      <c r="A202"/>
      <c r="B202">
        <v>21035</v>
      </c>
      <c r="C202" t="s">
        <v>2408</v>
      </c>
      <c r="D202" t="s">
        <v>192</v>
      </c>
      <c r="E202" t="s">
        <v>1272</v>
      </c>
      <c r="F202" t="s">
        <v>2320</v>
      </c>
      <c r="G202">
        <v>4805.5182002399997</v>
      </c>
      <c r="H202" t="s">
        <v>248</v>
      </c>
      <c r="Q202">
        <v>3141.4680954199998</v>
      </c>
      <c r="R202">
        <v>27483.8763812</v>
      </c>
      <c r="S202">
        <v>-14.434775333499999</v>
      </c>
      <c r="T202">
        <v>-97.0353524935</v>
      </c>
      <c r="U202">
        <v>0</v>
      </c>
      <c r="V202">
        <v>0</v>
      </c>
    </row>
    <row r="203" spans="1:22" x14ac:dyDescent="0.2">
      <c r="A203"/>
      <c r="B203">
        <v>21036</v>
      </c>
      <c r="C203" t="s">
        <v>2409</v>
      </c>
      <c r="D203" t="s">
        <v>192</v>
      </c>
      <c r="E203" t="s">
        <v>1272</v>
      </c>
      <c r="F203" t="s">
        <v>2320</v>
      </c>
      <c r="G203">
        <v>4805.5182002399997</v>
      </c>
      <c r="H203" t="s">
        <v>248</v>
      </c>
      <c r="Q203">
        <v>3129.6471277000001</v>
      </c>
      <c r="R203">
        <v>27290.184210899999</v>
      </c>
      <c r="S203">
        <v>-14.432772249999999</v>
      </c>
      <c r="T203">
        <v>-91.739222869499997</v>
      </c>
      <c r="U203">
        <v>0</v>
      </c>
      <c r="V203">
        <v>0</v>
      </c>
    </row>
    <row r="204" spans="1:22" x14ac:dyDescent="0.2">
      <c r="A204"/>
      <c r="B204">
        <v>21036</v>
      </c>
      <c r="C204" t="s">
        <v>2409</v>
      </c>
      <c r="D204" t="s">
        <v>192</v>
      </c>
      <c r="E204" t="s">
        <v>1272</v>
      </c>
      <c r="F204" t="s">
        <v>2320</v>
      </c>
      <c r="G204">
        <v>5616.8830524699997</v>
      </c>
      <c r="H204" t="s">
        <v>248</v>
      </c>
      <c r="Q204">
        <v>3129.6471277000001</v>
      </c>
      <c r="R204">
        <v>27290.184210899999</v>
      </c>
      <c r="S204">
        <v>-14.432772249999999</v>
      </c>
      <c r="T204">
        <v>-91.739222869499997</v>
      </c>
      <c r="U204">
        <v>0</v>
      </c>
      <c r="V204">
        <v>0</v>
      </c>
    </row>
    <row r="205" spans="1:22" x14ac:dyDescent="0.2">
      <c r="A205"/>
      <c r="B205">
        <v>21037</v>
      </c>
      <c r="C205" t="s">
        <v>2410</v>
      </c>
      <c r="D205" t="s">
        <v>192</v>
      </c>
      <c r="E205" t="s">
        <v>1272</v>
      </c>
      <c r="F205" t="s">
        <v>2320</v>
      </c>
      <c r="G205">
        <v>5616.8830524699997</v>
      </c>
      <c r="H205" t="s">
        <v>248</v>
      </c>
      <c r="Q205">
        <v>3158.3397153800001</v>
      </c>
      <c r="R205">
        <v>26483.441740599999</v>
      </c>
      <c r="S205">
        <v>-13.705884296700001</v>
      </c>
      <c r="T205">
        <v>-84.732721494700002</v>
      </c>
      <c r="U205">
        <v>0</v>
      </c>
      <c r="V205">
        <v>0</v>
      </c>
    </row>
    <row r="206" spans="1:22" x14ac:dyDescent="0.2">
      <c r="A206"/>
      <c r="B206">
        <v>21037</v>
      </c>
      <c r="C206" t="s">
        <v>2410</v>
      </c>
      <c r="D206" t="s">
        <v>192</v>
      </c>
      <c r="E206" t="s">
        <v>1272</v>
      </c>
      <c r="F206" t="s">
        <v>2320</v>
      </c>
      <c r="G206">
        <v>5811.0388409099996</v>
      </c>
      <c r="H206" t="s">
        <v>248</v>
      </c>
      <c r="Q206">
        <v>3158.3397153800001</v>
      </c>
      <c r="R206">
        <v>26483.441740599999</v>
      </c>
      <c r="S206">
        <v>-13.705884296700001</v>
      </c>
      <c r="T206">
        <v>-84.732721494700002</v>
      </c>
      <c r="U206">
        <v>0</v>
      </c>
      <c r="V206">
        <v>0</v>
      </c>
    </row>
    <row r="207" spans="1:22" x14ac:dyDescent="0.2">
      <c r="A207"/>
      <c r="B207">
        <v>21038</v>
      </c>
      <c r="C207" t="s">
        <v>2411</v>
      </c>
      <c r="D207" t="s">
        <v>192</v>
      </c>
      <c r="E207" t="s">
        <v>1272</v>
      </c>
      <c r="F207" t="s">
        <v>2320</v>
      </c>
      <c r="G207">
        <v>5811.0388409099996</v>
      </c>
      <c r="H207" t="s">
        <v>248</v>
      </c>
      <c r="Q207">
        <v>3176.2709320700001</v>
      </c>
      <c r="R207">
        <v>26290.116024300001</v>
      </c>
      <c r="S207">
        <v>-13.612711104400001</v>
      </c>
      <c r="T207">
        <v>-84.6822495742</v>
      </c>
      <c r="U207">
        <v>0</v>
      </c>
      <c r="V207">
        <v>0</v>
      </c>
    </row>
    <row r="208" spans="1:22" x14ac:dyDescent="0.2">
      <c r="A208"/>
      <c r="B208">
        <v>21038</v>
      </c>
      <c r="C208" t="s">
        <v>2411</v>
      </c>
      <c r="D208" t="s">
        <v>192</v>
      </c>
      <c r="E208" t="s">
        <v>1272</v>
      </c>
      <c r="F208" t="s">
        <v>2412</v>
      </c>
      <c r="G208">
        <v>301.56440510900001</v>
      </c>
      <c r="H208" t="s">
        <v>248</v>
      </c>
      <c r="Q208">
        <v>3176.2709320700001</v>
      </c>
      <c r="R208">
        <v>26290.116024300001</v>
      </c>
      <c r="S208">
        <v>-13.612711104400001</v>
      </c>
      <c r="T208">
        <v>-84.6822495742</v>
      </c>
      <c r="U208">
        <v>0</v>
      </c>
      <c r="V208">
        <v>0</v>
      </c>
    </row>
    <row r="209" spans="1:22" x14ac:dyDescent="0.2">
      <c r="A209"/>
      <c r="B209">
        <v>21039</v>
      </c>
      <c r="C209" t="s">
        <v>2413</v>
      </c>
      <c r="D209" t="s">
        <v>192</v>
      </c>
      <c r="E209" t="s">
        <v>1272</v>
      </c>
      <c r="F209" t="s">
        <v>2412</v>
      </c>
      <c r="G209">
        <v>301.56440510900001</v>
      </c>
      <c r="H209" t="s">
        <v>248</v>
      </c>
      <c r="Q209">
        <v>3040.7387796200001</v>
      </c>
      <c r="R209">
        <v>25615.573948500001</v>
      </c>
      <c r="S209">
        <v>-11.166428012500001</v>
      </c>
      <c r="T209">
        <v>-176.552995786</v>
      </c>
      <c r="U209">
        <v>0</v>
      </c>
      <c r="V209">
        <v>0</v>
      </c>
    </row>
    <row r="210" spans="1:22" x14ac:dyDescent="0.2">
      <c r="A210"/>
      <c r="B210">
        <v>21039</v>
      </c>
      <c r="C210" t="s">
        <v>2413</v>
      </c>
      <c r="D210" t="s">
        <v>192</v>
      </c>
      <c r="E210" t="s">
        <v>1272</v>
      </c>
      <c r="F210" t="s">
        <v>2412</v>
      </c>
      <c r="G210">
        <v>497.161204419</v>
      </c>
      <c r="H210" t="s">
        <v>248</v>
      </c>
      <c r="Q210">
        <v>3040.7387796200001</v>
      </c>
      <c r="R210">
        <v>25615.573948500001</v>
      </c>
      <c r="S210">
        <v>-11.166428012500001</v>
      </c>
      <c r="T210">
        <v>-176.552995786</v>
      </c>
      <c r="U210">
        <v>0</v>
      </c>
      <c r="V210">
        <v>0</v>
      </c>
    </row>
    <row r="211" spans="1:22" x14ac:dyDescent="0.2">
      <c r="A211"/>
      <c r="B211">
        <v>21040</v>
      </c>
      <c r="C211" t="s">
        <v>2414</v>
      </c>
      <c r="D211" t="s">
        <v>192</v>
      </c>
      <c r="E211" t="s">
        <v>1272</v>
      </c>
      <c r="F211" t="s">
        <v>2412</v>
      </c>
      <c r="G211">
        <v>497.161204419</v>
      </c>
      <c r="H211" t="s">
        <v>248</v>
      </c>
      <c r="Q211">
        <v>2845.2295733400001</v>
      </c>
      <c r="R211">
        <v>25610.9062954</v>
      </c>
      <c r="S211">
        <v>-11.254330506000001</v>
      </c>
      <c r="T211">
        <v>-179.337334274</v>
      </c>
      <c r="U211">
        <v>0</v>
      </c>
      <c r="V211">
        <v>0</v>
      </c>
    </row>
    <row r="212" spans="1:22" x14ac:dyDescent="0.2">
      <c r="A212"/>
      <c r="B212">
        <v>21040</v>
      </c>
      <c r="C212" t="s">
        <v>2414</v>
      </c>
      <c r="D212" t="s">
        <v>192</v>
      </c>
      <c r="E212" t="s">
        <v>1272</v>
      </c>
      <c r="F212" t="s">
        <v>2337</v>
      </c>
      <c r="G212">
        <v>314.31580873000001</v>
      </c>
      <c r="H212" t="s">
        <v>248</v>
      </c>
      <c r="Q212">
        <v>2845.2295733400001</v>
      </c>
      <c r="R212">
        <v>25610.9062954</v>
      </c>
      <c r="S212">
        <v>-11.254330506000001</v>
      </c>
      <c r="T212">
        <v>-179.337334274</v>
      </c>
      <c r="U212">
        <v>0</v>
      </c>
      <c r="V212">
        <v>0</v>
      </c>
    </row>
    <row r="213" spans="1:22" x14ac:dyDescent="0.2">
      <c r="A213"/>
      <c r="B213">
        <v>21041</v>
      </c>
      <c r="C213" t="s">
        <v>2415</v>
      </c>
      <c r="D213" t="s">
        <v>192</v>
      </c>
      <c r="E213" t="s">
        <v>1272</v>
      </c>
      <c r="F213" t="s">
        <v>2337</v>
      </c>
      <c r="G213">
        <v>314.31580873000001</v>
      </c>
      <c r="H213" t="s">
        <v>248</v>
      </c>
      <c r="Q213">
        <v>2684.4899234499999</v>
      </c>
      <c r="R213">
        <v>25139.9966909</v>
      </c>
      <c r="S213">
        <v>-14.143614493699999</v>
      </c>
      <c r="T213">
        <v>-87.9968752188</v>
      </c>
      <c r="U213">
        <v>0</v>
      </c>
      <c r="V213">
        <v>0</v>
      </c>
    </row>
    <row r="214" spans="1:22" x14ac:dyDescent="0.2">
      <c r="A214"/>
      <c r="B214">
        <v>21041</v>
      </c>
      <c r="C214" t="s">
        <v>2415</v>
      </c>
      <c r="D214" t="s">
        <v>192</v>
      </c>
      <c r="E214" t="s">
        <v>1272</v>
      </c>
      <c r="F214" t="s">
        <v>2337</v>
      </c>
      <c r="G214">
        <v>505.35268146800001</v>
      </c>
      <c r="H214" t="s">
        <v>248</v>
      </c>
      <c r="Q214">
        <v>2684.4899234499999</v>
      </c>
      <c r="R214">
        <v>25139.9966909</v>
      </c>
      <c r="S214">
        <v>-14.143614493699999</v>
      </c>
      <c r="T214">
        <v>-87.9968752188</v>
      </c>
      <c r="U214">
        <v>0</v>
      </c>
      <c r="V214">
        <v>0</v>
      </c>
    </row>
    <row r="215" spans="1:22" x14ac:dyDescent="0.2">
      <c r="A215"/>
      <c r="B215">
        <v>21042</v>
      </c>
      <c r="C215" t="s">
        <v>2416</v>
      </c>
      <c r="D215" t="s">
        <v>192</v>
      </c>
      <c r="E215" t="s">
        <v>1272</v>
      </c>
      <c r="F215" t="s">
        <v>2337</v>
      </c>
      <c r="G215">
        <v>505.35268146800001</v>
      </c>
      <c r="H215" t="s">
        <v>248</v>
      </c>
      <c r="Q215">
        <v>2691.1274054</v>
      </c>
      <c r="R215">
        <v>24949.075185900001</v>
      </c>
      <c r="S215">
        <v>-14.145076020899999</v>
      </c>
      <c r="T215">
        <v>-88.027782286399997</v>
      </c>
      <c r="U215">
        <v>0</v>
      </c>
      <c r="V215">
        <v>0</v>
      </c>
    </row>
    <row r="216" spans="1:22" x14ac:dyDescent="0.2">
      <c r="A216"/>
      <c r="B216">
        <v>21042</v>
      </c>
      <c r="C216" t="s">
        <v>2416</v>
      </c>
      <c r="D216" t="s">
        <v>192</v>
      </c>
      <c r="E216" t="s">
        <v>1272</v>
      </c>
      <c r="F216" t="s">
        <v>2337</v>
      </c>
      <c r="G216">
        <v>1167.45304463</v>
      </c>
      <c r="H216" t="s">
        <v>248</v>
      </c>
      <c r="Q216">
        <v>2691.1274054</v>
      </c>
      <c r="R216">
        <v>24949.075185900001</v>
      </c>
      <c r="S216">
        <v>-14.145076020899999</v>
      </c>
      <c r="T216">
        <v>-88.027782286399997</v>
      </c>
      <c r="U216">
        <v>0</v>
      </c>
      <c r="V216">
        <v>0</v>
      </c>
    </row>
    <row r="217" spans="1:22" x14ac:dyDescent="0.2">
      <c r="A217"/>
      <c r="B217">
        <v>21043</v>
      </c>
      <c r="C217" t="s">
        <v>2417</v>
      </c>
      <c r="D217" t="s">
        <v>192</v>
      </c>
      <c r="E217" t="s">
        <v>1272</v>
      </c>
      <c r="F217" t="s">
        <v>2337</v>
      </c>
      <c r="G217">
        <v>1167.45304463</v>
      </c>
      <c r="H217" t="s">
        <v>248</v>
      </c>
      <c r="Q217">
        <v>2671.24507894</v>
      </c>
      <c r="R217">
        <v>24291.040449</v>
      </c>
      <c r="S217">
        <v>-13.6671577938</v>
      </c>
      <c r="T217">
        <v>-103.479580261</v>
      </c>
      <c r="U217">
        <v>0</v>
      </c>
      <c r="V217">
        <v>0</v>
      </c>
    </row>
    <row r="218" spans="1:22" x14ac:dyDescent="0.2">
      <c r="A218"/>
      <c r="B218">
        <v>21043</v>
      </c>
      <c r="C218" t="s">
        <v>2417</v>
      </c>
      <c r="D218" t="s">
        <v>192</v>
      </c>
      <c r="E218" t="s">
        <v>1272</v>
      </c>
      <c r="F218" t="s">
        <v>2337</v>
      </c>
      <c r="G218">
        <v>1169.3903417900001</v>
      </c>
      <c r="H218" t="s">
        <v>248</v>
      </c>
      <c r="Q218">
        <v>2671.24507894</v>
      </c>
      <c r="R218">
        <v>24291.040449</v>
      </c>
      <c r="S218">
        <v>-13.6671577938</v>
      </c>
      <c r="T218">
        <v>-103.479580261</v>
      </c>
      <c r="U218">
        <v>0</v>
      </c>
      <c r="V218">
        <v>0</v>
      </c>
    </row>
    <row r="219" spans="1:22" x14ac:dyDescent="0.2">
      <c r="A219"/>
      <c r="B219">
        <v>21044</v>
      </c>
      <c r="C219" t="s">
        <v>2418</v>
      </c>
      <c r="D219" t="s">
        <v>192</v>
      </c>
      <c r="E219" t="s">
        <v>1272</v>
      </c>
      <c r="F219" t="s">
        <v>2337</v>
      </c>
      <c r="G219">
        <v>1169.3903417900001</v>
      </c>
      <c r="H219" t="s">
        <v>248</v>
      </c>
      <c r="Q219">
        <v>2670.79355618</v>
      </c>
      <c r="R219">
        <v>24289.156885600001</v>
      </c>
      <c r="S219">
        <v>-13.6292558299</v>
      </c>
      <c r="T219">
        <v>-103.48125363600001</v>
      </c>
      <c r="U219">
        <v>0</v>
      </c>
      <c r="V219">
        <v>0</v>
      </c>
    </row>
    <row r="220" spans="1:22" x14ac:dyDescent="0.2">
      <c r="A220"/>
      <c r="B220">
        <v>21044</v>
      </c>
      <c r="C220" t="s">
        <v>2418</v>
      </c>
      <c r="D220" t="s">
        <v>192</v>
      </c>
      <c r="E220" t="s">
        <v>1272</v>
      </c>
      <c r="F220" t="s">
        <v>2337</v>
      </c>
      <c r="G220">
        <v>1203.2930420499999</v>
      </c>
      <c r="H220" t="s">
        <v>248</v>
      </c>
      <c r="Q220">
        <v>2670.79355618</v>
      </c>
      <c r="R220">
        <v>24289.156885600001</v>
      </c>
      <c r="S220">
        <v>-13.6292558299</v>
      </c>
      <c r="T220">
        <v>-103.48125363600001</v>
      </c>
      <c r="U220">
        <v>0</v>
      </c>
      <c r="V220">
        <v>0</v>
      </c>
    </row>
    <row r="221" spans="1:22" x14ac:dyDescent="0.2">
      <c r="A221"/>
      <c r="B221">
        <v>21045</v>
      </c>
      <c r="C221" t="s">
        <v>2419</v>
      </c>
      <c r="D221" t="s">
        <v>192</v>
      </c>
      <c r="E221" t="s">
        <v>1272</v>
      </c>
      <c r="F221" t="s">
        <v>2337</v>
      </c>
      <c r="G221">
        <v>1203.2930420499999</v>
      </c>
      <c r="H221" t="s">
        <v>248</v>
      </c>
      <c r="Q221">
        <v>2662.8832185000001</v>
      </c>
      <c r="R221">
        <v>24256.196629400001</v>
      </c>
      <c r="S221">
        <v>-12.9650833288</v>
      </c>
      <c r="T221">
        <v>-103.510720863</v>
      </c>
      <c r="U221">
        <v>0</v>
      </c>
      <c r="V221">
        <v>0</v>
      </c>
    </row>
    <row r="222" spans="1:22" x14ac:dyDescent="0.2">
      <c r="A222"/>
      <c r="B222">
        <v>21045</v>
      </c>
      <c r="C222" t="s">
        <v>2419</v>
      </c>
      <c r="D222" t="s">
        <v>192</v>
      </c>
      <c r="E222" t="s">
        <v>1272</v>
      </c>
      <c r="F222" t="s">
        <v>2340</v>
      </c>
      <c r="G222">
        <v>78.121211381199998</v>
      </c>
      <c r="H222" t="s">
        <v>248</v>
      </c>
      <c r="Q222">
        <v>2662.8832185000001</v>
      </c>
      <c r="R222">
        <v>24256.196629400001</v>
      </c>
      <c r="S222">
        <v>-12.9650833288</v>
      </c>
      <c r="T222">
        <v>-103.510720863</v>
      </c>
      <c r="U222">
        <v>0</v>
      </c>
      <c r="V222">
        <v>0</v>
      </c>
    </row>
    <row r="223" spans="1:22" x14ac:dyDescent="0.2">
      <c r="A223"/>
      <c r="B223">
        <v>21045</v>
      </c>
      <c r="C223" t="s">
        <v>2419</v>
      </c>
      <c r="D223" t="s">
        <v>192</v>
      </c>
      <c r="E223" t="s">
        <v>1272</v>
      </c>
      <c r="F223" t="s">
        <v>2420</v>
      </c>
      <c r="G223">
        <v>41</v>
      </c>
      <c r="H223" t="s">
        <v>248</v>
      </c>
      <c r="Q223">
        <v>2662.8832185000001</v>
      </c>
      <c r="R223">
        <v>24256.196629400001</v>
      </c>
      <c r="S223">
        <v>-12.9650833288</v>
      </c>
      <c r="T223">
        <v>-103.510720863</v>
      </c>
      <c r="U223">
        <v>0</v>
      </c>
      <c r="V223">
        <v>0</v>
      </c>
    </row>
    <row r="224" spans="1:22" x14ac:dyDescent="0.2">
      <c r="A224"/>
      <c r="B224">
        <v>21046</v>
      </c>
      <c r="C224" t="s">
        <v>2421</v>
      </c>
      <c r="D224" t="s">
        <v>192</v>
      </c>
      <c r="E224" t="s">
        <v>1272</v>
      </c>
      <c r="F224" t="s">
        <v>2340</v>
      </c>
      <c r="G224">
        <v>78.121211381199998</v>
      </c>
      <c r="H224" t="s">
        <v>248</v>
      </c>
      <c r="Q224">
        <v>2641.1678474700002</v>
      </c>
      <c r="R224">
        <v>24166.144812800001</v>
      </c>
      <c r="S224">
        <v>-11.146198542800001</v>
      </c>
      <c r="T224">
        <v>-103.548651597</v>
      </c>
      <c r="U224">
        <v>0</v>
      </c>
      <c r="V224">
        <v>0</v>
      </c>
    </row>
    <row r="225" spans="1:22" x14ac:dyDescent="0.2">
      <c r="A225"/>
      <c r="B225">
        <v>21046</v>
      </c>
      <c r="C225" t="s">
        <v>2421</v>
      </c>
      <c r="D225" t="s">
        <v>192</v>
      </c>
      <c r="E225" t="s">
        <v>1272</v>
      </c>
      <c r="F225" t="s">
        <v>2340</v>
      </c>
      <c r="G225">
        <v>357.79514812600002</v>
      </c>
      <c r="H225" t="s">
        <v>248</v>
      </c>
      <c r="Q225">
        <v>2641.1678474700002</v>
      </c>
      <c r="R225">
        <v>24166.144812800001</v>
      </c>
      <c r="S225">
        <v>-11.146198542800001</v>
      </c>
      <c r="T225">
        <v>-103.548651597</v>
      </c>
      <c r="U225">
        <v>0</v>
      </c>
      <c r="V225">
        <v>0</v>
      </c>
    </row>
    <row r="226" spans="1:22" x14ac:dyDescent="0.2">
      <c r="A226"/>
      <c r="B226">
        <v>21047</v>
      </c>
      <c r="C226" t="s">
        <v>2422</v>
      </c>
      <c r="D226" t="s">
        <v>192</v>
      </c>
      <c r="E226" t="s">
        <v>1272</v>
      </c>
      <c r="F226" t="s">
        <v>2340</v>
      </c>
      <c r="G226">
        <v>357.79514812600002</v>
      </c>
      <c r="H226" t="s">
        <v>248</v>
      </c>
      <c r="Q226">
        <v>2619.85006002</v>
      </c>
      <c r="R226">
        <v>23890.861454800001</v>
      </c>
      <c r="S226">
        <v>-6.6000026306199997</v>
      </c>
      <c r="T226">
        <v>-104.919818017</v>
      </c>
      <c r="U226">
        <v>0</v>
      </c>
      <c r="V226">
        <v>0</v>
      </c>
    </row>
    <row r="227" spans="1:22" x14ac:dyDescent="0.2">
      <c r="A227"/>
      <c r="B227">
        <v>21047</v>
      </c>
      <c r="C227" t="s">
        <v>2422</v>
      </c>
      <c r="D227" t="s">
        <v>192</v>
      </c>
      <c r="E227" t="s">
        <v>1272</v>
      </c>
      <c r="F227" t="s">
        <v>2340</v>
      </c>
      <c r="G227">
        <v>553.82866063400002</v>
      </c>
      <c r="H227" t="s">
        <v>248</v>
      </c>
      <c r="Q227">
        <v>2619.85006002</v>
      </c>
      <c r="R227">
        <v>23890.861454800001</v>
      </c>
      <c r="S227">
        <v>-6.6000026306199997</v>
      </c>
      <c r="T227">
        <v>-104.919818017</v>
      </c>
      <c r="U227">
        <v>0</v>
      </c>
      <c r="V227">
        <v>0</v>
      </c>
    </row>
    <row r="228" spans="1:22" x14ac:dyDescent="0.2">
      <c r="A228"/>
      <c r="B228">
        <v>21048</v>
      </c>
      <c r="C228" t="s">
        <v>2423</v>
      </c>
      <c r="D228" t="s">
        <v>192</v>
      </c>
      <c r="E228" t="s">
        <v>1272</v>
      </c>
      <c r="F228" t="s">
        <v>2340</v>
      </c>
      <c r="G228">
        <v>553.82866063400002</v>
      </c>
      <c r="H228" t="s">
        <v>248</v>
      </c>
      <c r="Q228">
        <v>2568.18867125</v>
      </c>
      <c r="R228">
        <v>23701.758115100001</v>
      </c>
      <c r="S228">
        <v>-6.5999519302299996</v>
      </c>
      <c r="T228">
        <v>-105.20668453899999</v>
      </c>
      <c r="U228">
        <v>0</v>
      </c>
      <c r="V228">
        <v>0</v>
      </c>
    </row>
    <row r="229" spans="1:22" x14ac:dyDescent="0.2">
      <c r="A229"/>
      <c r="B229">
        <v>21048</v>
      </c>
      <c r="C229" t="s">
        <v>2423</v>
      </c>
      <c r="D229" t="s">
        <v>192</v>
      </c>
      <c r="E229" t="s">
        <v>1272</v>
      </c>
      <c r="F229" t="s">
        <v>2340</v>
      </c>
      <c r="G229">
        <v>616.731454214</v>
      </c>
      <c r="H229" t="s">
        <v>248</v>
      </c>
      <c r="Q229">
        <v>2568.18867125</v>
      </c>
      <c r="R229">
        <v>23701.758115100001</v>
      </c>
      <c r="S229">
        <v>-6.5999519302299996</v>
      </c>
      <c r="T229">
        <v>-105.20668453899999</v>
      </c>
      <c r="U229">
        <v>0</v>
      </c>
      <c r="V229">
        <v>0</v>
      </c>
    </row>
    <row r="230" spans="1:22" x14ac:dyDescent="0.2">
      <c r="A230"/>
      <c r="B230">
        <v>21049</v>
      </c>
      <c r="C230" t="s">
        <v>2424</v>
      </c>
      <c r="D230" t="s">
        <v>192</v>
      </c>
      <c r="E230" t="s">
        <v>1272</v>
      </c>
      <c r="F230" t="s">
        <v>2340</v>
      </c>
      <c r="G230">
        <v>616.731454214</v>
      </c>
      <c r="H230" t="s">
        <v>248</v>
      </c>
      <c r="Q230">
        <v>2553.19780554</v>
      </c>
      <c r="R230">
        <v>23640.7063223</v>
      </c>
      <c r="S230">
        <v>-6.7712720416199996</v>
      </c>
      <c r="T230">
        <v>-98.858081853300007</v>
      </c>
      <c r="U230">
        <v>0</v>
      </c>
      <c r="V230">
        <v>0</v>
      </c>
    </row>
    <row r="231" spans="1:22" x14ac:dyDescent="0.2">
      <c r="A231"/>
      <c r="B231">
        <v>21049</v>
      </c>
      <c r="C231" t="s">
        <v>2424</v>
      </c>
      <c r="D231" t="s">
        <v>192</v>
      </c>
      <c r="E231" t="s">
        <v>1272</v>
      </c>
      <c r="F231" t="s">
        <v>2350</v>
      </c>
      <c r="G231">
        <v>6.47865244704</v>
      </c>
      <c r="H231" t="s">
        <v>248</v>
      </c>
      <c r="Q231">
        <v>2553.19780554</v>
      </c>
      <c r="R231">
        <v>23640.7063223</v>
      </c>
      <c r="S231">
        <v>-6.7712720416199996</v>
      </c>
      <c r="T231">
        <v>-98.858081853300007</v>
      </c>
      <c r="U231">
        <v>0</v>
      </c>
      <c r="V231">
        <v>0</v>
      </c>
    </row>
    <row r="232" spans="1:22" x14ac:dyDescent="0.2">
      <c r="A232"/>
      <c r="B232">
        <v>21049</v>
      </c>
      <c r="C232" t="s">
        <v>2424</v>
      </c>
      <c r="D232" t="s">
        <v>192</v>
      </c>
      <c r="E232" t="s">
        <v>1272</v>
      </c>
      <c r="F232" t="s">
        <v>2425</v>
      </c>
      <c r="G232">
        <v>41</v>
      </c>
      <c r="H232" t="s">
        <v>248</v>
      </c>
      <c r="Q232">
        <v>2553.19780554</v>
      </c>
      <c r="R232">
        <v>23640.7063223</v>
      </c>
      <c r="S232">
        <v>-6.7712720416199996</v>
      </c>
      <c r="T232">
        <v>-98.858081853300007</v>
      </c>
      <c r="U232">
        <v>0</v>
      </c>
      <c r="V232">
        <v>0</v>
      </c>
    </row>
    <row r="233" spans="1:22" x14ac:dyDescent="0.2">
      <c r="A233"/>
      <c r="B233">
        <v>21050</v>
      </c>
      <c r="C233" t="s">
        <v>2426</v>
      </c>
      <c r="D233" t="s">
        <v>192</v>
      </c>
      <c r="E233" t="s">
        <v>1272</v>
      </c>
      <c r="F233" t="s">
        <v>2350</v>
      </c>
      <c r="G233">
        <v>6.47865244704</v>
      </c>
      <c r="H233" t="s">
        <v>248</v>
      </c>
      <c r="Q233">
        <v>2548.1026463500002</v>
      </c>
      <c r="R233">
        <v>23472.622951699999</v>
      </c>
      <c r="S233">
        <v>-9.7185756562699996</v>
      </c>
      <c r="T233">
        <v>-90.876061273999994</v>
      </c>
      <c r="U233">
        <v>0</v>
      </c>
      <c r="V233">
        <v>0</v>
      </c>
    </row>
    <row r="234" spans="1:22" x14ac:dyDescent="0.2">
      <c r="A234"/>
      <c r="B234">
        <v>21050</v>
      </c>
      <c r="C234" t="s">
        <v>2426</v>
      </c>
      <c r="D234" t="s">
        <v>192</v>
      </c>
      <c r="E234" t="s">
        <v>1272</v>
      </c>
      <c r="F234" t="s">
        <v>2350</v>
      </c>
      <c r="G234">
        <v>303.42408811299998</v>
      </c>
      <c r="H234" t="s">
        <v>248</v>
      </c>
      <c r="Q234">
        <v>2548.1026463500002</v>
      </c>
      <c r="R234">
        <v>23472.622951699999</v>
      </c>
      <c r="S234">
        <v>-9.7185756562699996</v>
      </c>
      <c r="T234">
        <v>-90.876061273999994</v>
      </c>
      <c r="U234">
        <v>0</v>
      </c>
      <c r="V234">
        <v>0</v>
      </c>
    </row>
    <row r="235" spans="1:22" x14ac:dyDescent="0.2">
      <c r="A235"/>
      <c r="B235">
        <v>21051</v>
      </c>
      <c r="C235" t="s">
        <v>2427</v>
      </c>
      <c r="D235" t="s">
        <v>192</v>
      </c>
      <c r="E235" t="s">
        <v>1272</v>
      </c>
      <c r="F235" t="s">
        <v>118</v>
      </c>
      <c r="G235">
        <v>360.96800000000002</v>
      </c>
      <c r="H235" t="s">
        <v>248</v>
      </c>
      <c r="Q235">
        <v>6806.4545157800003</v>
      </c>
      <c r="R235">
        <v>36679.229697000002</v>
      </c>
      <c r="S235">
        <v>-9.1643989919299997</v>
      </c>
      <c r="T235">
        <v>53.4105923304</v>
      </c>
      <c r="U235">
        <v>0</v>
      </c>
      <c r="V235">
        <v>0</v>
      </c>
    </row>
    <row r="236" spans="1:22" x14ac:dyDescent="0.2">
      <c r="A236"/>
      <c r="B236">
        <v>21051</v>
      </c>
      <c r="C236" t="s">
        <v>2427</v>
      </c>
      <c r="D236" t="s">
        <v>192</v>
      </c>
      <c r="E236" t="s">
        <v>1272</v>
      </c>
      <c r="F236" t="s">
        <v>1920</v>
      </c>
      <c r="G236">
        <v>87.6469205243</v>
      </c>
      <c r="H236" t="s">
        <v>248</v>
      </c>
      <c r="Q236">
        <v>6806.4545157800003</v>
      </c>
      <c r="R236">
        <v>36679.229697000002</v>
      </c>
      <c r="S236">
        <v>-9.1643989919299997</v>
      </c>
      <c r="T236">
        <v>53.4105923304</v>
      </c>
      <c r="U236">
        <v>0</v>
      </c>
      <c r="V236">
        <v>0</v>
      </c>
    </row>
    <row r="237" spans="1:22" x14ac:dyDescent="0.2">
      <c r="A237"/>
      <c r="B237">
        <v>21051</v>
      </c>
      <c r="C237" t="s">
        <v>2427</v>
      </c>
      <c r="D237" t="s">
        <v>192</v>
      </c>
      <c r="E237" t="s">
        <v>1272</v>
      </c>
      <c r="F237" t="s">
        <v>2370</v>
      </c>
      <c r="G237">
        <v>41</v>
      </c>
      <c r="H237" t="s">
        <v>248</v>
      </c>
      <c r="Q237">
        <v>6806.4545157800003</v>
      </c>
      <c r="R237">
        <v>36679.229697000002</v>
      </c>
      <c r="S237">
        <v>-9.1643989919299997</v>
      </c>
      <c r="T237">
        <v>53.4105923304</v>
      </c>
      <c r="U237">
        <v>0</v>
      </c>
      <c r="V237">
        <v>0</v>
      </c>
    </row>
    <row r="238" spans="1:22" x14ac:dyDescent="0.2">
      <c r="A238"/>
      <c r="B238">
        <v>21052</v>
      </c>
      <c r="C238" t="s">
        <v>2428</v>
      </c>
      <c r="D238" t="s">
        <v>192</v>
      </c>
      <c r="E238" t="s">
        <v>1272</v>
      </c>
      <c r="F238" t="s">
        <v>1920</v>
      </c>
      <c r="G238">
        <v>87.6469205243</v>
      </c>
      <c r="H238" t="s">
        <v>248</v>
      </c>
      <c r="Q238">
        <v>6884.9317435100002</v>
      </c>
      <c r="R238">
        <v>36784.208200200002</v>
      </c>
      <c r="S238">
        <v>-9.1647586961100007</v>
      </c>
      <c r="T238">
        <v>53.193848683399999</v>
      </c>
      <c r="U238">
        <v>0</v>
      </c>
      <c r="V238">
        <v>0</v>
      </c>
    </row>
    <row r="239" spans="1:22" x14ac:dyDescent="0.2">
      <c r="A239"/>
      <c r="B239">
        <v>21052</v>
      </c>
      <c r="C239" t="s">
        <v>2428</v>
      </c>
      <c r="D239" t="s">
        <v>192</v>
      </c>
      <c r="E239" t="s">
        <v>1272</v>
      </c>
      <c r="F239" t="s">
        <v>1920</v>
      </c>
      <c r="G239">
        <v>283.38484350499999</v>
      </c>
      <c r="H239" t="s">
        <v>248</v>
      </c>
      <c r="Q239">
        <v>6884.9317435100002</v>
      </c>
      <c r="R239">
        <v>36784.208200200002</v>
      </c>
      <c r="S239">
        <v>-9.1647586961100007</v>
      </c>
      <c r="T239">
        <v>53.193848683399999</v>
      </c>
      <c r="U239">
        <v>0</v>
      </c>
      <c r="V239">
        <v>0</v>
      </c>
    </row>
    <row r="240" spans="1:22" x14ac:dyDescent="0.2">
      <c r="A240"/>
      <c r="B240">
        <v>21053</v>
      </c>
      <c r="C240" t="s">
        <v>2429</v>
      </c>
      <c r="D240" t="s">
        <v>192</v>
      </c>
      <c r="E240" t="s">
        <v>1272</v>
      </c>
      <c r="F240" t="s">
        <v>1920</v>
      </c>
      <c r="G240">
        <v>283.38484350499999</v>
      </c>
      <c r="H240" t="s">
        <v>248</v>
      </c>
      <c r="Q240">
        <v>7002.2744369599995</v>
      </c>
      <c r="R240">
        <v>36940.873529900004</v>
      </c>
      <c r="S240">
        <v>-9.1431350079199998</v>
      </c>
      <c r="T240">
        <v>53.1653028339</v>
      </c>
      <c r="U240">
        <v>0</v>
      </c>
      <c r="V240">
        <v>0</v>
      </c>
    </row>
    <row r="241" spans="1:22" x14ac:dyDescent="0.2">
      <c r="A241"/>
      <c r="B241">
        <v>21053</v>
      </c>
      <c r="C241" t="s">
        <v>2429</v>
      </c>
      <c r="D241" t="s">
        <v>192</v>
      </c>
      <c r="E241" t="s">
        <v>1272</v>
      </c>
      <c r="F241" t="s">
        <v>2310</v>
      </c>
      <c r="G241">
        <v>14.7079299665</v>
      </c>
      <c r="H241" t="s">
        <v>248</v>
      </c>
      <c r="Q241">
        <v>7002.2744369599995</v>
      </c>
      <c r="R241">
        <v>36940.873529900004</v>
      </c>
      <c r="S241">
        <v>-9.1431350079199998</v>
      </c>
      <c r="T241">
        <v>53.1653028339</v>
      </c>
      <c r="U241">
        <v>0</v>
      </c>
      <c r="V241">
        <v>0</v>
      </c>
    </row>
    <row r="242" spans="1:22" x14ac:dyDescent="0.2">
      <c r="A242"/>
      <c r="B242">
        <v>21053</v>
      </c>
      <c r="C242" t="s">
        <v>2429</v>
      </c>
      <c r="D242" t="s">
        <v>192</v>
      </c>
      <c r="E242" t="s">
        <v>1272</v>
      </c>
      <c r="F242" t="s">
        <v>2373</v>
      </c>
      <c r="G242">
        <v>41</v>
      </c>
      <c r="H242" t="s">
        <v>248</v>
      </c>
      <c r="Q242">
        <v>7002.2744369599995</v>
      </c>
      <c r="R242">
        <v>36940.873529900004</v>
      </c>
      <c r="S242">
        <v>-9.1431350079199998</v>
      </c>
      <c r="T242">
        <v>53.1653028339</v>
      </c>
      <c r="U242">
        <v>0</v>
      </c>
      <c r="V242">
        <v>0</v>
      </c>
    </row>
    <row r="243" spans="1:22" x14ac:dyDescent="0.2">
      <c r="A243"/>
      <c r="B243">
        <v>21054</v>
      </c>
      <c r="C243" t="s">
        <v>2430</v>
      </c>
      <c r="D243" t="s">
        <v>192</v>
      </c>
      <c r="E243" t="s">
        <v>1272</v>
      </c>
      <c r="F243" t="s">
        <v>2310</v>
      </c>
      <c r="G243">
        <v>14.7079299665</v>
      </c>
      <c r="H243" t="s">
        <v>248</v>
      </c>
      <c r="Q243">
        <v>7084.7218007700003</v>
      </c>
      <c r="R243">
        <v>37050.972203500001</v>
      </c>
      <c r="S243">
        <v>-9.2151930736499992</v>
      </c>
      <c r="T243">
        <v>53.169781932100001</v>
      </c>
      <c r="U243">
        <v>0</v>
      </c>
      <c r="V243">
        <v>0</v>
      </c>
    </row>
    <row r="244" spans="1:22" x14ac:dyDescent="0.2">
      <c r="A244"/>
      <c r="B244">
        <v>21054</v>
      </c>
      <c r="C244" t="s">
        <v>2430</v>
      </c>
      <c r="D244" t="s">
        <v>192</v>
      </c>
      <c r="E244" t="s">
        <v>1272</v>
      </c>
      <c r="F244" t="s">
        <v>2310</v>
      </c>
      <c r="G244">
        <v>63.7343631882</v>
      </c>
      <c r="H244" t="s">
        <v>248</v>
      </c>
      <c r="Q244">
        <v>7084.7218007700003</v>
      </c>
      <c r="R244">
        <v>37050.972203500001</v>
      </c>
      <c r="S244">
        <v>-9.2151930736499992</v>
      </c>
      <c r="T244">
        <v>53.169781932100001</v>
      </c>
      <c r="U244">
        <v>0</v>
      </c>
      <c r="V244">
        <v>0</v>
      </c>
    </row>
    <row r="245" spans="1:22" x14ac:dyDescent="0.2">
      <c r="A245"/>
      <c r="B245">
        <v>21055</v>
      </c>
      <c r="C245" t="s">
        <v>2431</v>
      </c>
      <c r="D245" t="s">
        <v>192</v>
      </c>
      <c r="E245" t="s">
        <v>1272</v>
      </c>
      <c r="F245" t="s">
        <v>2310</v>
      </c>
      <c r="G245">
        <v>63.7343631882</v>
      </c>
      <c r="H245" t="s">
        <v>248</v>
      </c>
      <c r="Q245">
        <v>7114.10365327</v>
      </c>
      <c r="R245">
        <v>37090.2160181</v>
      </c>
      <c r="S245">
        <v>-9.6689020921700006</v>
      </c>
      <c r="T245">
        <v>53.223319104200002</v>
      </c>
      <c r="U245">
        <v>0</v>
      </c>
      <c r="V245">
        <v>0</v>
      </c>
    </row>
    <row r="246" spans="1:22" x14ac:dyDescent="0.2">
      <c r="A246"/>
      <c r="B246">
        <v>21055</v>
      </c>
      <c r="C246" t="s">
        <v>2431</v>
      </c>
      <c r="D246" t="s">
        <v>192</v>
      </c>
      <c r="E246" t="s">
        <v>1272</v>
      </c>
      <c r="F246" t="s">
        <v>2310</v>
      </c>
      <c r="G246">
        <v>623.33187726799997</v>
      </c>
      <c r="H246" t="s">
        <v>248</v>
      </c>
      <c r="Q246">
        <v>7114.10365327</v>
      </c>
      <c r="R246">
        <v>37090.2160181</v>
      </c>
      <c r="S246">
        <v>-9.6689020921700006</v>
      </c>
      <c r="T246">
        <v>53.223319104200002</v>
      </c>
      <c r="U246">
        <v>0</v>
      </c>
      <c r="V246">
        <v>0</v>
      </c>
    </row>
    <row r="247" spans="1:22" x14ac:dyDescent="0.2">
      <c r="A247"/>
      <c r="B247">
        <v>21056</v>
      </c>
      <c r="C247" t="s">
        <v>2432</v>
      </c>
      <c r="D247" t="s">
        <v>192</v>
      </c>
      <c r="E247" t="s">
        <v>1272</v>
      </c>
      <c r="F247" t="s">
        <v>2310</v>
      </c>
      <c r="G247">
        <v>623.33187726799997</v>
      </c>
      <c r="H247" t="s">
        <v>248</v>
      </c>
      <c r="Q247">
        <v>6951.6780231399998</v>
      </c>
      <c r="R247">
        <v>37511.130436799998</v>
      </c>
      <c r="S247">
        <v>-14.2034712079</v>
      </c>
      <c r="T247">
        <v>154.87766163500001</v>
      </c>
      <c r="U247">
        <v>0</v>
      </c>
      <c r="V247">
        <v>0</v>
      </c>
    </row>
    <row r="248" spans="1:22" x14ac:dyDescent="0.2">
      <c r="A248"/>
      <c r="B248">
        <v>21056</v>
      </c>
      <c r="C248" t="s">
        <v>2432</v>
      </c>
      <c r="D248" t="s">
        <v>192</v>
      </c>
      <c r="E248" t="s">
        <v>1272</v>
      </c>
      <c r="F248" t="s">
        <v>2310</v>
      </c>
      <c r="G248">
        <v>816.71174046700003</v>
      </c>
      <c r="H248" t="s">
        <v>248</v>
      </c>
      <c r="Q248">
        <v>6951.6780231399998</v>
      </c>
      <c r="R248">
        <v>37511.130436799998</v>
      </c>
      <c r="S248">
        <v>-14.2034712079</v>
      </c>
      <c r="T248">
        <v>154.87766163500001</v>
      </c>
      <c r="U248">
        <v>0</v>
      </c>
      <c r="V248">
        <v>0</v>
      </c>
    </row>
    <row r="249" spans="1:22" x14ac:dyDescent="0.2">
      <c r="A249"/>
      <c r="B249">
        <v>21057</v>
      </c>
      <c r="C249" t="s">
        <v>2433</v>
      </c>
      <c r="D249" t="s">
        <v>192</v>
      </c>
      <c r="E249" t="s">
        <v>1272</v>
      </c>
      <c r="F249" t="s">
        <v>2310</v>
      </c>
      <c r="G249">
        <v>816.71174046700003</v>
      </c>
      <c r="H249" t="s">
        <v>248</v>
      </c>
      <c r="Q249">
        <v>6770.0155457000001</v>
      </c>
      <c r="R249">
        <v>37576.701396299999</v>
      </c>
      <c r="S249">
        <v>-14.1621244877</v>
      </c>
      <c r="T249">
        <v>163.73189911599999</v>
      </c>
      <c r="U249">
        <v>0</v>
      </c>
      <c r="V249">
        <v>0</v>
      </c>
    </row>
    <row r="250" spans="1:22" x14ac:dyDescent="0.2">
      <c r="A250"/>
      <c r="B250">
        <v>21057</v>
      </c>
      <c r="C250" t="s">
        <v>2433</v>
      </c>
      <c r="D250" t="s">
        <v>192</v>
      </c>
      <c r="E250" t="s">
        <v>1272</v>
      </c>
      <c r="F250" t="s">
        <v>2310</v>
      </c>
      <c r="G250">
        <v>2285.08283132</v>
      </c>
      <c r="H250" t="s">
        <v>248</v>
      </c>
      <c r="Q250">
        <v>6770.0155457000001</v>
      </c>
      <c r="R250">
        <v>37576.701396299999</v>
      </c>
      <c r="S250">
        <v>-14.1621244877</v>
      </c>
      <c r="T250">
        <v>163.73189911599999</v>
      </c>
      <c r="U250">
        <v>0</v>
      </c>
      <c r="V250">
        <v>0</v>
      </c>
    </row>
    <row r="251" spans="1:22" x14ac:dyDescent="0.2">
      <c r="A251"/>
      <c r="B251">
        <v>21058</v>
      </c>
      <c r="C251" t="s">
        <v>2434</v>
      </c>
      <c r="D251" t="s">
        <v>192</v>
      </c>
      <c r="E251" t="s">
        <v>1272</v>
      </c>
      <c r="F251" t="s">
        <v>2310</v>
      </c>
      <c r="G251">
        <v>2285.08283132</v>
      </c>
      <c r="H251" t="s">
        <v>248</v>
      </c>
      <c r="Q251">
        <v>5354.7985421000003</v>
      </c>
      <c r="R251">
        <v>37603.432957500001</v>
      </c>
      <c r="S251">
        <v>-10.102472583799999</v>
      </c>
      <c r="T251">
        <v>-147.43943457899999</v>
      </c>
      <c r="U251">
        <v>0</v>
      </c>
      <c r="V251">
        <v>0</v>
      </c>
    </row>
    <row r="252" spans="1:22" x14ac:dyDescent="0.2">
      <c r="A252"/>
      <c r="B252">
        <v>21058</v>
      </c>
      <c r="C252" t="s">
        <v>2434</v>
      </c>
      <c r="D252" t="s">
        <v>192</v>
      </c>
      <c r="E252" t="s">
        <v>1272</v>
      </c>
      <c r="F252" t="s">
        <v>2310</v>
      </c>
      <c r="G252">
        <v>2478.4626945199998</v>
      </c>
      <c r="H252" t="s">
        <v>248</v>
      </c>
      <c r="Q252">
        <v>5354.7985421000003</v>
      </c>
      <c r="R252">
        <v>37603.432957500001</v>
      </c>
      <c r="S252">
        <v>-10.102472583799999</v>
      </c>
      <c r="T252">
        <v>-147.43943457899999</v>
      </c>
      <c r="U252">
        <v>0</v>
      </c>
      <c r="V252">
        <v>0</v>
      </c>
    </row>
    <row r="253" spans="1:22" x14ac:dyDescent="0.2">
      <c r="A253"/>
      <c r="B253">
        <v>21059</v>
      </c>
      <c r="C253" t="s">
        <v>2435</v>
      </c>
      <c r="D253" t="s">
        <v>192</v>
      </c>
      <c r="E253" t="s">
        <v>1272</v>
      </c>
      <c r="F253" t="s">
        <v>2310</v>
      </c>
      <c r="G253">
        <v>2478.4626945199998</v>
      </c>
      <c r="H253" t="s">
        <v>248</v>
      </c>
      <c r="Q253">
        <v>5198.0654763100001</v>
      </c>
      <c r="R253">
        <v>37490.399388500002</v>
      </c>
      <c r="S253">
        <v>-10.2717027316</v>
      </c>
      <c r="T253">
        <v>-141.60401657099999</v>
      </c>
      <c r="U253">
        <v>0</v>
      </c>
      <c r="V253">
        <v>0</v>
      </c>
    </row>
    <row r="254" spans="1:22" x14ac:dyDescent="0.2">
      <c r="A254"/>
      <c r="B254">
        <v>21059</v>
      </c>
      <c r="C254" t="s">
        <v>2435</v>
      </c>
      <c r="D254" t="s">
        <v>192</v>
      </c>
      <c r="E254" t="s">
        <v>1272</v>
      </c>
      <c r="F254" t="s">
        <v>2310</v>
      </c>
      <c r="G254">
        <v>3232.03819428</v>
      </c>
      <c r="H254" t="s">
        <v>248</v>
      </c>
      <c r="Q254">
        <v>5198.0654763100001</v>
      </c>
      <c r="R254">
        <v>37490.399388500002</v>
      </c>
      <c r="S254">
        <v>-10.2717027316</v>
      </c>
      <c r="T254">
        <v>-141.60401657099999</v>
      </c>
      <c r="U254">
        <v>0</v>
      </c>
      <c r="V254">
        <v>0</v>
      </c>
    </row>
    <row r="255" spans="1:22" x14ac:dyDescent="0.2">
      <c r="A255"/>
      <c r="B255">
        <v>21060</v>
      </c>
      <c r="C255" t="s">
        <v>2436</v>
      </c>
      <c r="D255" t="s">
        <v>192</v>
      </c>
      <c r="E255" t="s">
        <v>1272</v>
      </c>
      <c r="F255" t="s">
        <v>2310</v>
      </c>
      <c r="G255">
        <v>3232.03819428</v>
      </c>
      <c r="H255" t="s">
        <v>248</v>
      </c>
      <c r="Q255">
        <v>4762.0659725799997</v>
      </c>
      <c r="R255">
        <v>36888.560165299998</v>
      </c>
      <c r="S255">
        <v>-13.618921843800001</v>
      </c>
      <c r="T255">
        <v>-109.45086406999999</v>
      </c>
      <c r="U255">
        <v>0</v>
      </c>
      <c r="V255">
        <v>0</v>
      </c>
    </row>
    <row r="256" spans="1:22" x14ac:dyDescent="0.2">
      <c r="A256"/>
      <c r="B256">
        <v>21060</v>
      </c>
      <c r="C256" t="s">
        <v>2436</v>
      </c>
      <c r="D256" t="s">
        <v>192</v>
      </c>
      <c r="E256" t="s">
        <v>1272</v>
      </c>
      <c r="F256" t="s">
        <v>2310</v>
      </c>
      <c r="G256">
        <v>3233.9992516100001</v>
      </c>
      <c r="H256" t="s">
        <v>248</v>
      </c>
      <c r="Q256">
        <v>4762.0659725799997</v>
      </c>
      <c r="R256">
        <v>36888.560165299998</v>
      </c>
      <c r="S256">
        <v>-13.618921843800001</v>
      </c>
      <c r="T256">
        <v>-109.45086406999999</v>
      </c>
      <c r="U256">
        <v>0</v>
      </c>
      <c r="V256">
        <v>0</v>
      </c>
    </row>
    <row r="257" spans="1:22" x14ac:dyDescent="0.2">
      <c r="A257"/>
      <c r="B257">
        <v>21061</v>
      </c>
      <c r="C257" t="s">
        <v>2437</v>
      </c>
      <c r="D257" t="s">
        <v>192</v>
      </c>
      <c r="E257" t="s">
        <v>1272</v>
      </c>
      <c r="F257" t="s">
        <v>2310</v>
      </c>
      <c r="G257">
        <v>3233.9992516100001</v>
      </c>
      <c r="H257" t="s">
        <v>248</v>
      </c>
      <c r="Q257">
        <v>4761.4138507999996</v>
      </c>
      <c r="R257">
        <v>36886.710710599997</v>
      </c>
      <c r="S257">
        <v>-13.6191331123</v>
      </c>
      <c r="T257">
        <v>-109.393706442</v>
      </c>
      <c r="U257">
        <v>0</v>
      </c>
      <c r="V257">
        <v>0</v>
      </c>
    </row>
    <row r="258" spans="1:22" x14ac:dyDescent="0.2">
      <c r="A258"/>
      <c r="B258">
        <v>21061</v>
      </c>
      <c r="C258" t="s">
        <v>2437</v>
      </c>
      <c r="D258" t="s">
        <v>192</v>
      </c>
      <c r="E258" t="s">
        <v>1272</v>
      </c>
      <c r="F258" t="s">
        <v>2310</v>
      </c>
      <c r="G258">
        <v>3426.39858615</v>
      </c>
      <c r="H258" t="s">
        <v>248</v>
      </c>
      <c r="Q258">
        <v>4761.4138507999996</v>
      </c>
      <c r="R258">
        <v>36886.710710599997</v>
      </c>
      <c r="S258">
        <v>-13.6191331123</v>
      </c>
      <c r="T258">
        <v>-109.393706442</v>
      </c>
      <c r="U258">
        <v>0</v>
      </c>
      <c r="V258">
        <v>0</v>
      </c>
    </row>
    <row r="259" spans="1:22" x14ac:dyDescent="0.2">
      <c r="A259"/>
      <c r="B259">
        <v>21062</v>
      </c>
      <c r="C259" t="s">
        <v>2438</v>
      </c>
      <c r="D259" t="s">
        <v>192</v>
      </c>
      <c r="E259" t="s">
        <v>1272</v>
      </c>
      <c r="F259" t="s">
        <v>2310</v>
      </c>
      <c r="G259">
        <v>3426.39858615</v>
      </c>
      <c r="H259" t="s">
        <v>248</v>
      </c>
      <c r="Q259">
        <v>4711.3879845800002</v>
      </c>
      <c r="R259">
        <v>36701.152599699999</v>
      </c>
      <c r="S259">
        <v>-13.620137819</v>
      </c>
      <c r="T259">
        <v>-100.22093013200001</v>
      </c>
      <c r="U259">
        <v>0</v>
      </c>
      <c r="V259">
        <v>0</v>
      </c>
    </row>
    <row r="260" spans="1:22" x14ac:dyDescent="0.2">
      <c r="A260"/>
      <c r="B260">
        <v>21062</v>
      </c>
      <c r="C260" t="s">
        <v>2438</v>
      </c>
      <c r="D260" t="s">
        <v>192</v>
      </c>
      <c r="E260" t="s">
        <v>1272</v>
      </c>
      <c r="F260" t="s">
        <v>2310</v>
      </c>
      <c r="G260">
        <v>4284.8416265699998</v>
      </c>
      <c r="H260" t="s">
        <v>248</v>
      </c>
      <c r="Q260">
        <v>4711.3879845800002</v>
      </c>
      <c r="R260">
        <v>36701.152599699999</v>
      </c>
      <c r="S260">
        <v>-13.620137819</v>
      </c>
      <c r="T260">
        <v>-100.22093013200001</v>
      </c>
      <c r="U260">
        <v>0</v>
      </c>
      <c r="V260">
        <v>0</v>
      </c>
    </row>
    <row r="261" spans="1:22" x14ac:dyDescent="0.2">
      <c r="A261"/>
      <c r="B261">
        <v>21063</v>
      </c>
      <c r="C261" t="s">
        <v>2439</v>
      </c>
      <c r="D261" t="s">
        <v>192</v>
      </c>
      <c r="E261" t="s">
        <v>1272</v>
      </c>
      <c r="F261" t="s">
        <v>2310</v>
      </c>
      <c r="G261">
        <v>4284.8416265699998</v>
      </c>
      <c r="H261" t="s">
        <v>248</v>
      </c>
      <c r="Q261">
        <v>4514.5906073400001</v>
      </c>
      <c r="R261">
        <v>35889.765817300002</v>
      </c>
      <c r="S261">
        <v>-13.0071268038</v>
      </c>
      <c r="T261">
        <v>-134.46832522899999</v>
      </c>
      <c r="U261">
        <v>0</v>
      </c>
      <c r="V261">
        <v>0</v>
      </c>
    </row>
    <row r="262" spans="1:22" x14ac:dyDescent="0.2">
      <c r="A262"/>
      <c r="B262">
        <v>21063</v>
      </c>
      <c r="C262" t="s">
        <v>2439</v>
      </c>
      <c r="D262" t="s">
        <v>192</v>
      </c>
      <c r="E262" t="s">
        <v>1272</v>
      </c>
      <c r="F262" t="s">
        <v>2310</v>
      </c>
      <c r="G262">
        <v>4478.2214897699996</v>
      </c>
      <c r="H262" t="s">
        <v>248</v>
      </c>
      <c r="Q262">
        <v>4514.5906073400001</v>
      </c>
      <c r="R262">
        <v>35889.765817300002</v>
      </c>
      <c r="S262">
        <v>-13.0071268038</v>
      </c>
      <c r="T262">
        <v>-134.46832522899999</v>
      </c>
      <c r="U262">
        <v>0</v>
      </c>
      <c r="V262">
        <v>0</v>
      </c>
    </row>
    <row r="263" spans="1:22" x14ac:dyDescent="0.2">
      <c r="A263"/>
      <c r="B263">
        <v>21064</v>
      </c>
      <c r="C263" t="s">
        <v>2440</v>
      </c>
      <c r="D263" t="s">
        <v>192</v>
      </c>
      <c r="E263" t="s">
        <v>1272</v>
      </c>
      <c r="F263" t="s">
        <v>2310</v>
      </c>
      <c r="G263">
        <v>4478.2214897699996</v>
      </c>
      <c r="H263" t="s">
        <v>248</v>
      </c>
      <c r="Q263">
        <v>4378.6156265199998</v>
      </c>
      <c r="R263">
        <v>35752.264948099997</v>
      </c>
      <c r="S263">
        <v>-12.9851223784</v>
      </c>
      <c r="T263">
        <v>-134.47743871099999</v>
      </c>
      <c r="U263">
        <v>0</v>
      </c>
      <c r="V263">
        <v>0</v>
      </c>
    </row>
    <row r="264" spans="1:22" x14ac:dyDescent="0.2">
      <c r="A264"/>
      <c r="B264">
        <v>21064</v>
      </c>
      <c r="C264" t="s">
        <v>2440</v>
      </c>
      <c r="D264" t="s">
        <v>192</v>
      </c>
      <c r="E264" t="s">
        <v>1272</v>
      </c>
      <c r="F264" t="s">
        <v>2310</v>
      </c>
      <c r="G264">
        <v>5345.3814300200002</v>
      </c>
      <c r="H264" t="s">
        <v>248</v>
      </c>
      <c r="Q264">
        <v>4378.6156265199998</v>
      </c>
      <c r="R264">
        <v>35752.264948099997</v>
      </c>
      <c r="S264">
        <v>-12.9851223784</v>
      </c>
      <c r="T264">
        <v>-134.47743871099999</v>
      </c>
      <c r="U264">
        <v>0</v>
      </c>
      <c r="V264">
        <v>0</v>
      </c>
    </row>
    <row r="265" spans="1:22" x14ac:dyDescent="0.2">
      <c r="A265"/>
      <c r="B265">
        <v>21065</v>
      </c>
      <c r="C265" t="s">
        <v>2441</v>
      </c>
      <c r="D265" t="s">
        <v>192</v>
      </c>
      <c r="E265" t="s">
        <v>1272</v>
      </c>
      <c r="F265" t="s">
        <v>2310</v>
      </c>
      <c r="G265">
        <v>5345.3814300200002</v>
      </c>
      <c r="H265" t="s">
        <v>248</v>
      </c>
      <c r="Q265">
        <v>4129.9087272099996</v>
      </c>
      <c r="R265">
        <v>34956.489139700003</v>
      </c>
      <c r="S265">
        <v>-11.281820332800001</v>
      </c>
      <c r="T265">
        <v>-88.899048752400006</v>
      </c>
      <c r="U265">
        <v>0</v>
      </c>
      <c r="V265">
        <v>0</v>
      </c>
    </row>
    <row r="266" spans="1:22" x14ac:dyDescent="0.2">
      <c r="A266"/>
      <c r="B266">
        <v>21065</v>
      </c>
      <c r="C266" t="s">
        <v>2441</v>
      </c>
      <c r="D266" t="s">
        <v>192</v>
      </c>
      <c r="E266" t="s">
        <v>1272</v>
      </c>
      <c r="F266" t="s">
        <v>2310</v>
      </c>
      <c r="G266">
        <v>5538.76129322</v>
      </c>
      <c r="H266" t="s">
        <v>248</v>
      </c>
      <c r="Q266">
        <v>4129.9087272099996</v>
      </c>
      <c r="R266">
        <v>34956.489139700003</v>
      </c>
      <c r="S266">
        <v>-11.281820332800001</v>
      </c>
      <c r="T266">
        <v>-88.899048752400006</v>
      </c>
      <c r="U266">
        <v>0</v>
      </c>
      <c r="V266">
        <v>0</v>
      </c>
    </row>
    <row r="267" spans="1:22" x14ac:dyDescent="0.2">
      <c r="A267"/>
      <c r="B267">
        <v>21066</v>
      </c>
      <c r="C267" t="s">
        <v>2442</v>
      </c>
      <c r="D267" t="s">
        <v>192</v>
      </c>
      <c r="E267" t="s">
        <v>1272</v>
      </c>
      <c r="F267" t="s">
        <v>2310</v>
      </c>
      <c r="G267">
        <v>5538.76129322</v>
      </c>
      <c r="H267" t="s">
        <v>248</v>
      </c>
      <c r="Q267">
        <v>4139.4217769699999</v>
      </c>
      <c r="R267">
        <v>34763.417981699997</v>
      </c>
      <c r="S267">
        <v>-11.1645498721</v>
      </c>
      <c r="T267">
        <v>-85.370271097900002</v>
      </c>
      <c r="U267">
        <v>0</v>
      </c>
      <c r="V267">
        <v>0</v>
      </c>
    </row>
    <row r="268" spans="1:22" x14ac:dyDescent="0.2">
      <c r="A268"/>
      <c r="B268">
        <v>21066</v>
      </c>
      <c r="C268" t="s">
        <v>2442</v>
      </c>
      <c r="D268" t="s">
        <v>192</v>
      </c>
      <c r="E268" t="s">
        <v>1272</v>
      </c>
      <c r="F268" t="s">
        <v>2310</v>
      </c>
      <c r="G268">
        <v>6267.5784442100003</v>
      </c>
      <c r="H268" t="s">
        <v>248</v>
      </c>
      <c r="Q268">
        <v>4139.4217769699999</v>
      </c>
      <c r="R268">
        <v>34763.417981699997</v>
      </c>
      <c r="S268">
        <v>-11.1645498721</v>
      </c>
      <c r="T268">
        <v>-85.370271097900002</v>
      </c>
      <c r="U268">
        <v>0</v>
      </c>
      <c r="V268">
        <v>0</v>
      </c>
    </row>
    <row r="269" spans="1:22" x14ac:dyDescent="0.2">
      <c r="A269"/>
      <c r="B269">
        <v>21067</v>
      </c>
      <c r="C269" t="s">
        <v>2443</v>
      </c>
      <c r="D269" t="s">
        <v>192</v>
      </c>
      <c r="E269" t="s">
        <v>1272</v>
      </c>
      <c r="F269" t="s">
        <v>2310</v>
      </c>
      <c r="G269">
        <v>6267.5784442100003</v>
      </c>
      <c r="H269" t="s">
        <v>248</v>
      </c>
      <c r="Q269">
        <v>4094.6444732700002</v>
      </c>
      <c r="R269">
        <v>34036.703247099998</v>
      </c>
      <c r="S269">
        <v>-10.897884531100001</v>
      </c>
      <c r="T269">
        <v>-91.432126793199998</v>
      </c>
      <c r="U269">
        <v>0</v>
      </c>
      <c r="V269">
        <v>0</v>
      </c>
    </row>
    <row r="270" spans="1:22" x14ac:dyDescent="0.2">
      <c r="A270"/>
      <c r="B270">
        <v>21067</v>
      </c>
      <c r="C270" t="s">
        <v>2443</v>
      </c>
      <c r="D270" t="s">
        <v>192</v>
      </c>
      <c r="E270" t="s">
        <v>1272</v>
      </c>
      <c r="F270" t="s">
        <v>2310</v>
      </c>
      <c r="G270">
        <v>6460.9583074100001</v>
      </c>
      <c r="H270" t="s">
        <v>248</v>
      </c>
      <c r="Q270">
        <v>4094.6444732700002</v>
      </c>
      <c r="R270">
        <v>34036.703247099998</v>
      </c>
      <c r="S270">
        <v>-10.897884531100001</v>
      </c>
      <c r="T270">
        <v>-91.432126793199998</v>
      </c>
      <c r="U270">
        <v>0</v>
      </c>
      <c r="V270">
        <v>0</v>
      </c>
    </row>
    <row r="271" spans="1:22" x14ac:dyDescent="0.2">
      <c r="A271"/>
      <c r="B271">
        <v>21068</v>
      </c>
      <c r="C271" t="s">
        <v>2444</v>
      </c>
      <c r="D271" t="s">
        <v>192</v>
      </c>
      <c r="E271" t="s">
        <v>1272</v>
      </c>
      <c r="F271" t="s">
        <v>2310</v>
      </c>
      <c r="G271">
        <v>6460.9583074100001</v>
      </c>
      <c r="H271" t="s">
        <v>248</v>
      </c>
      <c r="Q271">
        <v>4090.1217879800001</v>
      </c>
      <c r="R271">
        <v>33843.376598000003</v>
      </c>
      <c r="S271">
        <v>-10.807732662799999</v>
      </c>
      <c r="T271">
        <v>-91.414762187199997</v>
      </c>
      <c r="U271">
        <v>0</v>
      </c>
      <c r="V271">
        <v>0</v>
      </c>
    </row>
    <row r="272" spans="1:22" x14ac:dyDescent="0.2">
      <c r="A272"/>
      <c r="B272">
        <v>21068</v>
      </c>
      <c r="C272" t="s">
        <v>2444</v>
      </c>
      <c r="D272" t="s">
        <v>192</v>
      </c>
      <c r="E272" t="s">
        <v>1272</v>
      </c>
      <c r="F272" t="s">
        <v>2310</v>
      </c>
      <c r="G272">
        <v>7341.4926586499996</v>
      </c>
      <c r="H272" t="s">
        <v>248</v>
      </c>
      <c r="Q272">
        <v>4090.1217879800001</v>
      </c>
      <c r="R272">
        <v>33843.376598000003</v>
      </c>
      <c r="S272">
        <v>-10.807732662799999</v>
      </c>
      <c r="T272">
        <v>-91.414762187199997</v>
      </c>
      <c r="U272">
        <v>0</v>
      </c>
      <c r="V272">
        <v>0</v>
      </c>
    </row>
    <row r="273" spans="1:22" x14ac:dyDescent="0.2">
      <c r="A273"/>
      <c r="B273">
        <v>21069</v>
      </c>
      <c r="C273" t="s">
        <v>2445</v>
      </c>
      <c r="D273" t="s">
        <v>192</v>
      </c>
      <c r="E273" t="s">
        <v>1272</v>
      </c>
      <c r="F273" t="s">
        <v>2310</v>
      </c>
      <c r="G273">
        <v>7341.4926586499996</v>
      </c>
      <c r="H273" t="s">
        <v>248</v>
      </c>
      <c r="Q273">
        <v>3741.8252631400001</v>
      </c>
      <c r="R273">
        <v>33069.067623199997</v>
      </c>
      <c r="S273">
        <v>-11.310385976999999</v>
      </c>
      <c r="T273">
        <v>-132.96158891900001</v>
      </c>
      <c r="U273">
        <v>0</v>
      </c>
      <c r="V273">
        <v>0</v>
      </c>
    </row>
    <row r="274" spans="1:22" x14ac:dyDescent="0.2">
      <c r="A274"/>
      <c r="B274">
        <v>21069</v>
      </c>
      <c r="C274" t="s">
        <v>2445</v>
      </c>
      <c r="D274" t="s">
        <v>192</v>
      </c>
      <c r="E274" t="s">
        <v>1272</v>
      </c>
      <c r="F274" t="s">
        <v>2310</v>
      </c>
      <c r="G274">
        <v>7343.4537159700003</v>
      </c>
      <c r="H274" t="s">
        <v>248</v>
      </c>
      <c r="Q274">
        <v>3741.8252631400001</v>
      </c>
      <c r="R274">
        <v>33069.067623199997</v>
      </c>
      <c r="S274">
        <v>-11.310385976999999</v>
      </c>
      <c r="T274">
        <v>-132.96158891900001</v>
      </c>
      <c r="U274">
        <v>0</v>
      </c>
      <c r="V274">
        <v>0</v>
      </c>
    </row>
    <row r="275" spans="1:22" x14ac:dyDescent="0.2">
      <c r="A275"/>
      <c r="B275">
        <v>21070</v>
      </c>
      <c r="C275" t="s">
        <v>2446</v>
      </c>
      <c r="D275" t="s">
        <v>192</v>
      </c>
      <c r="E275" t="s">
        <v>1272</v>
      </c>
      <c r="F275" t="s">
        <v>2310</v>
      </c>
      <c r="G275">
        <v>7343.4537159700003</v>
      </c>
      <c r="H275" t="s">
        <v>248</v>
      </c>
      <c r="Q275">
        <v>3740.48924386</v>
      </c>
      <c r="R275">
        <v>33067.632075300004</v>
      </c>
      <c r="S275">
        <v>-11.310850432000001</v>
      </c>
      <c r="T275">
        <v>-132.92579526700001</v>
      </c>
      <c r="U275">
        <v>0</v>
      </c>
      <c r="V275">
        <v>0</v>
      </c>
    </row>
    <row r="276" spans="1:22" x14ac:dyDescent="0.2">
      <c r="A276"/>
      <c r="B276">
        <v>21070</v>
      </c>
      <c r="C276" t="s">
        <v>2446</v>
      </c>
      <c r="D276" t="s">
        <v>192</v>
      </c>
      <c r="E276" t="s">
        <v>1272</v>
      </c>
      <c r="F276" t="s">
        <v>2310</v>
      </c>
      <c r="G276">
        <v>7535.8530505099998</v>
      </c>
      <c r="H276" t="s">
        <v>248</v>
      </c>
      <c r="Q276">
        <v>3740.48924386</v>
      </c>
      <c r="R276">
        <v>33067.632075300004</v>
      </c>
      <c r="S276">
        <v>-11.310850432000001</v>
      </c>
      <c r="T276">
        <v>-132.92579526700001</v>
      </c>
      <c r="U276">
        <v>0</v>
      </c>
      <c r="V276">
        <v>0</v>
      </c>
    </row>
    <row r="277" spans="1:22" x14ac:dyDescent="0.2">
      <c r="A277"/>
      <c r="B277">
        <v>21071</v>
      </c>
      <c r="C277" t="s">
        <v>2447</v>
      </c>
      <c r="D277" t="s">
        <v>192</v>
      </c>
      <c r="E277" t="s">
        <v>1272</v>
      </c>
      <c r="F277" t="s">
        <v>2310</v>
      </c>
      <c r="G277">
        <v>7535.8530505099998</v>
      </c>
      <c r="H277" t="s">
        <v>248</v>
      </c>
      <c r="Q277">
        <v>3617.8964956300001</v>
      </c>
      <c r="R277">
        <v>32919.626565400002</v>
      </c>
      <c r="S277">
        <v>-11.308578836000001</v>
      </c>
      <c r="T277">
        <v>-125.19184232000001</v>
      </c>
      <c r="U277">
        <v>0</v>
      </c>
      <c r="V277">
        <v>0</v>
      </c>
    </row>
    <row r="278" spans="1:22" x14ac:dyDescent="0.2">
      <c r="A278"/>
      <c r="B278">
        <v>21071</v>
      </c>
      <c r="C278" t="s">
        <v>2447</v>
      </c>
      <c r="D278" t="s">
        <v>192</v>
      </c>
      <c r="E278" t="s">
        <v>1272</v>
      </c>
      <c r="F278" t="s">
        <v>2322</v>
      </c>
      <c r="G278">
        <v>280.33477316599999</v>
      </c>
      <c r="H278" t="s">
        <v>248</v>
      </c>
      <c r="Q278">
        <v>3617.8964956300001</v>
      </c>
      <c r="R278">
        <v>32919.626565400002</v>
      </c>
      <c r="S278">
        <v>-11.308578836000001</v>
      </c>
      <c r="T278">
        <v>-125.19184232000001</v>
      </c>
      <c r="U278">
        <v>0</v>
      </c>
      <c r="V278">
        <v>0</v>
      </c>
    </row>
    <row r="279" spans="1:22" x14ac:dyDescent="0.2">
      <c r="A279"/>
      <c r="B279">
        <v>21072</v>
      </c>
      <c r="C279" t="s">
        <v>2448</v>
      </c>
      <c r="D279" t="s">
        <v>192</v>
      </c>
      <c r="E279" t="s">
        <v>1272</v>
      </c>
      <c r="F279" t="s">
        <v>2322</v>
      </c>
      <c r="G279">
        <v>280.33477316599999</v>
      </c>
      <c r="H279" t="s">
        <v>248</v>
      </c>
      <c r="Q279">
        <v>3422.6009158900001</v>
      </c>
      <c r="R279">
        <v>32469.495735500001</v>
      </c>
      <c r="S279">
        <v>-10.800521312000001</v>
      </c>
      <c r="T279">
        <v>-99.672975022599999</v>
      </c>
      <c r="U279">
        <v>0</v>
      </c>
      <c r="V279">
        <v>0</v>
      </c>
    </row>
    <row r="280" spans="1:22" x14ac:dyDescent="0.2">
      <c r="A280"/>
      <c r="B280">
        <v>21072</v>
      </c>
      <c r="C280" t="s">
        <v>2448</v>
      </c>
      <c r="D280" t="s">
        <v>192</v>
      </c>
      <c r="E280" t="s">
        <v>1272</v>
      </c>
      <c r="F280" t="s">
        <v>2325</v>
      </c>
      <c r="G280">
        <v>98.867596584300003</v>
      </c>
      <c r="H280" t="s">
        <v>248</v>
      </c>
      <c r="Q280">
        <v>3422.6009158900001</v>
      </c>
      <c r="R280">
        <v>32469.495735500001</v>
      </c>
      <c r="S280">
        <v>-10.800521312000001</v>
      </c>
      <c r="T280">
        <v>-99.672975022599999</v>
      </c>
      <c r="U280">
        <v>0</v>
      </c>
      <c r="V280">
        <v>0</v>
      </c>
    </row>
    <row r="281" spans="1:22" x14ac:dyDescent="0.2">
      <c r="A281"/>
      <c r="B281">
        <v>21072</v>
      </c>
      <c r="C281" t="s">
        <v>2448</v>
      </c>
      <c r="D281" t="s">
        <v>192</v>
      </c>
      <c r="E281" t="s">
        <v>1272</v>
      </c>
      <c r="F281" t="s">
        <v>2394</v>
      </c>
      <c r="G281">
        <v>41</v>
      </c>
      <c r="H281" t="s">
        <v>248</v>
      </c>
      <c r="Q281">
        <v>3422.6009158900001</v>
      </c>
      <c r="R281">
        <v>32469.495735500001</v>
      </c>
      <c r="S281">
        <v>-10.800521312000001</v>
      </c>
      <c r="T281">
        <v>-99.672975022599999</v>
      </c>
      <c r="U281">
        <v>0</v>
      </c>
      <c r="V281">
        <v>0</v>
      </c>
    </row>
    <row r="282" spans="1:22" x14ac:dyDescent="0.2">
      <c r="A282"/>
      <c r="B282">
        <v>21072</v>
      </c>
      <c r="C282" t="s">
        <v>2448</v>
      </c>
      <c r="D282" t="s">
        <v>192</v>
      </c>
      <c r="E282" t="s">
        <v>1272</v>
      </c>
      <c r="F282" t="s">
        <v>2449</v>
      </c>
      <c r="G282">
        <v>73</v>
      </c>
      <c r="H282" t="s">
        <v>248</v>
      </c>
      <c r="Q282">
        <v>3422.6009158900001</v>
      </c>
      <c r="R282">
        <v>32469.495735500001</v>
      </c>
      <c r="S282">
        <v>-10.800521312000001</v>
      </c>
      <c r="T282">
        <v>-99.672975022599999</v>
      </c>
      <c r="U282">
        <v>0</v>
      </c>
      <c r="V282">
        <v>0</v>
      </c>
    </row>
    <row r="283" spans="1:22" x14ac:dyDescent="0.2">
      <c r="A283"/>
      <c r="B283">
        <v>21073</v>
      </c>
      <c r="C283" t="s">
        <v>2450</v>
      </c>
      <c r="D283" t="s">
        <v>192</v>
      </c>
      <c r="E283" t="s">
        <v>1272</v>
      </c>
      <c r="F283" t="s">
        <v>2325</v>
      </c>
      <c r="G283">
        <v>98.867596584300003</v>
      </c>
      <c r="H283" t="s">
        <v>248</v>
      </c>
      <c r="Q283">
        <v>3391.4757878999999</v>
      </c>
      <c r="R283">
        <v>32285.8280443</v>
      </c>
      <c r="S283">
        <v>-10.806218984499999</v>
      </c>
      <c r="T283">
        <v>-99.7151572609</v>
      </c>
      <c r="U283">
        <v>0</v>
      </c>
      <c r="V283">
        <v>0</v>
      </c>
    </row>
    <row r="284" spans="1:22" x14ac:dyDescent="0.2">
      <c r="A284"/>
      <c r="B284">
        <v>21073</v>
      </c>
      <c r="C284" t="s">
        <v>2450</v>
      </c>
      <c r="D284" t="s">
        <v>192</v>
      </c>
      <c r="E284" t="s">
        <v>1272</v>
      </c>
      <c r="F284" t="s">
        <v>2325</v>
      </c>
      <c r="G284">
        <v>118.986800403</v>
      </c>
      <c r="H284" t="s">
        <v>248</v>
      </c>
      <c r="Q284">
        <v>3391.4757878999999</v>
      </c>
      <c r="R284">
        <v>32285.8280443</v>
      </c>
      <c r="S284">
        <v>-10.806218984499999</v>
      </c>
      <c r="T284">
        <v>-99.7151572609</v>
      </c>
      <c r="U284">
        <v>0</v>
      </c>
      <c r="V284">
        <v>0</v>
      </c>
    </row>
    <row r="285" spans="1:22" x14ac:dyDescent="0.2">
      <c r="A285"/>
      <c r="B285">
        <v>21074</v>
      </c>
      <c r="C285" t="s">
        <v>2451</v>
      </c>
      <c r="D285" t="s">
        <v>192</v>
      </c>
      <c r="E285" t="s">
        <v>1272</v>
      </c>
      <c r="F285" t="s">
        <v>2325</v>
      </c>
      <c r="G285">
        <v>118.986800403</v>
      </c>
      <c r="H285" t="s">
        <v>248</v>
      </c>
      <c r="Q285">
        <v>3388.0588391000001</v>
      </c>
      <c r="R285">
        <v>32266.001127399999</v>
      </c>
      <c r="S285">
        <v>-10.8044429226</v>
      </c>
      <c r="T285">
        <v>-99.849420203299999</v>
      </c>
      <c r="U285">
        <v>0</v>
      </c>
      <c r="V285">
        <v>0</v>
      </c>
    </row>
    <row r="286" spans="1:22" x14ac:dyDescent="0.2">
      <c r="A286"/>
      <c r="B286">
        <v>21074</v>
      </c>
      <c r="C286" t="s">
        <v>2451</v>
      </c>
      <c r="D286" t="s">
        <v>192</v>
      </c>
      <c r="E286" t="s">
        <v>1272</v>
      </c>
      <c r="F286" t="s">
        <v>2325</v>
      </c>
      <c r="G286">
        <v>324.95257695200002</v>
      </c>
      <c r="H286" t="s">
        <v>248</v>
      </c>
      <c r="Q286">
        <v>3388.0588391000001</v>
      </c>
      <c r="R286">
        <v>32266.001127399999</v>
      </c>
      <c r="S286">
        <v>-10.8044429226</v>
      </c>
      <c r="T286">
        <v>-99.849420203299999</v>
      </c>
      <c r="U286">
        <v>0</v>
      </c>
      <c r="V286">
        <v>0</v>
      </c>
    </row>
    <row r="287" spans="1:22" x14ac:dyDescent="0.2">
      <c r="A287"/>
      <c r="B287">
        <v>21075</v>
      </c>
      <c r="C287" t="s">
        <v>2452</v>
      </c>
      <c r="D287" t="s">
        <v>192</v>
      </c>
      <c r="E287" t="s">
        <v>1272</v>
      </c>
      <c r="F287" t="s">
        <v>2325</v>
      </c>
      <c r="G287">
        <v>324.95257695200002</v>
      </c>
      <c r="H287" t="s">
        <v>248</v>
      </c>
      <c r="Q287">
        <v>3343.23394947</v>
      </c>
      <c r="R287">
        <v>32065.0886689</v>
      </c>
      <c r="S287">
        <v>-10.799283432399999</v>
      </c>
      <c r="T287">
        <v>-104.684792935</v>
      </c>
      <c r="U287">
        <v>0</v>
      </c>
      <c r="V287">
        <v>0</v>
      </c>
    </row>
    <row r="288" spans="1:22" x14ac:dyDescent="0.2">
      <c r="A288"/>
      <c r="B288">
        <v>21075</v>
      </c>
      <c r="C288" t="s">
        <v>2452</v>
      </c>
      <c r="D288" t="s">
        <v>192</v>
      </c>
      <c r="E288" t="s">
        <v>1272</v>
      </c>
      <c r="F288" t="s">
        <v>2453</v>
      </c>
      <c r="G288">
        <v>60.503351214600002</v>
      </c>
      <c r="H288" t="s">
        <v>248</v>
      </c>
      <c r="Q288">
        <v>3343.23394947</v>
      </c>
      <c r="R288">
        <v>32065.0886689</v>
      </c>
      <c r="S288">
        <v>-10.799283432399999</v>
      </c>
      <c r="T288">
        <v>-104.684792935</v>
      </c>
      <c r="U288">
        <v>0</v>
      </c>
      <c r="V288">
        <v>0</v>
      </c>
    </row>
    <row r="289" spans="1:22" x14ac:dyDescent="0.2">
      <c r="A289"/>
      <c r="B289">
        <v>21075</v>
      </c>
      <c r="C289" t="s">
        <v>2452</v>
      </c>
      <c r="D289" t="s">
        <v>192</v>
      </c>
      <c r="E289" t="s">
        <v>1272</v>
      </c>
      <c r="F289" t="s">
        <v>2454</v>
      </c>
      <c r="G289">
        <v>72</v>
      </c>
      <c r="H289" t="s">
        <v>248</v>
      </c>
      <c r="Q289">
        <v>3343.23394947</v>
      </c>
      <c r="R289">
        <v>32065.0886689</v>
      </c>
      <c r="S289">
        <v>-10.799283432399999</v>
      </c>
      <c r="T289">
        <v>-104.684792935</v>
      </c>
      <c r="U289">
        <v>0</v>
      </c>
      <c r="V289">
        <v>0</v>
      </c>
    </row>
    <row r="290" spans="1:22" x14ac:dyDescent="0.2">
      <c r="A290"/>
      <c r="B290">
        <v>21076</v>
      </c>
      <c r="C290" t="s">
        <v>2455</v>
      </c>
      <c r="D290" t="s">
        <v>192</v>
      </c>
      <c r="E290" t="s">
        <v>1272</v>
      </c>
      <c r="F290" t="s">
        <v>2453</v>
      </c>
      <c r="G290">
        <v>60.503351214600002</v>
      </c>
      <c r="H290" t="s">
        <v>248</v>
      </c>
      <c r="Q290">
        <v>3324.7930502999998</v>
      </c>
      <c r="R290">
        <v>31994.271897899998</v>
      </c>
      <c r="S290">
        <v>-10.8041077466</v>
      </c>
      <c r="T290">
        <v>-104.527677246</v>
      </c>
      <c r="U290">
        <v>0</v>
      </c>
      <c r="V290">
        <v>0</v>
      </c>
    </row>
    <row r="291" spans="1:22" x14ac:dyDescent="0.2">
      <c r="A291"/>
      <c r="B291">
        <v>21076</v>
      </c>
      <c r="C291" t="s">
        <v>2455</v>
      </c>
      <c r="D291" t="s">
        <v>192</v>
      </c>
      <c r="E291" t="s">
        <v>1272</v>
      </c>
      <c r="F291" t="s">
        <v>2330</v>
      </c>
      <c r="G291">
        <v>14.113679127099999</v>
      </c>
      <c r="H291" t="s">
        <v>248</v>
      </c>
      <c r="Q291">
        <v>3324.7930502999998</v>
      </c>
      <c r="R291">
        <v>31994.271897899998</v>
      </c>
      <c r="S291">
        <v>-10.8041077466</v>
      </c>
      <c r="T291">
        <v>-104.527677246</v>
      </c>
      <c r="U291">
        <v>0</v>
      </c>
      <c r="V291">
        <v>0</v>
      </c>
    </row>
    <row r="292" spans="1:22" x14ac:dyDescent="0.2">
      <c r="A292"/>
      <c r="B292">
        <v>21076</v>
      </c>
      <c r="C292" t="s">
        <v>2455</v>
      </c>
      <c r="D292" t="s">
        <v>192</v>
      </c>
      <c r="E292" t="s">
        <v>1272</v>
      </c>
      <c r="F292" t="s">
        <v>2398</v>
      </c>
      <c r="G292">
        <v>41</v>
      </c>
      <c r="H292" t="s">
        <v>248</v>
      </c>
      <c r="Q292">
        <v>3324.7930502999998</v>
      </c>
      <c r="R292">
        <v>31994.271897899998</v>
      </c>
      <c r="S292">
        <v>-10.8041077466</v>
      </c>
      <c r="T292">
        <v>-104.527677246</v>
      </c>
      <c r="U292">
        <v>0</v>
      </c>
      <c r="V292">
        <v>0</v>
      </c>
    </row>
    <row r="293" spans="1:22" x14ac:dyDescent="0.2">
      <c r="A293"/>
      <c r="B293">
        <v>21077</v>
      </c>
      <c r="C293" t="s">
        <v>2456</v>
      </c>
      <c r="D293" t="s">
        <v>192</v>
      </c>
      <c r="E293" t="s">
        <v>1272</v>
      </c>
      <c r="F293" t="s">
        <v>2330</v>
      </c>
      <c r="G293">
        <v>14.113679127099999</v>
      </c>
      <c r="H293" t="s">
        <v>248</v>
      </c>
      <c r="Q293">
        <v>3306.2569587900002</v>
      </c>
      <c r="R293">
        <v>31922.813322000002</v>
      </c>
      <c r="S293">
        <v>-10.794407207500001</v>
      </c>
      <c r="T293">
        <v>-104.583298179</v>
      </c>
      <c r="U293">
        <v>0</v>
      </c>
      <c r="V293">
        <v>0</v>
      </c>
    </row>
    <row r="294" spans="1:22" x14ac:dyDescent="0.2">
      <c r="A294"/>
      <c r="B294">
        <v>21077</v>
      </c>
      <c r="C294" t="s">
        <v>2456</v>
      </c>
      <c r="D294" t="s">
        <v>192</v>
      </c>
      <c r="E294" t="s">
        <v>1272</v>
      </c>
      <c r="F294" t="s">
        <v>2330</v>
      </c>
      <c r="G294">
        <v>243.922011793</v>
      </c>
      <c r="H294" t="s">
        <v>248</v>
      </c>
      <c r="Q294">
        <v>3306.2569587900002</v>
      </c>
      <c r="R294">
        <v>31922.813322000002</v>
      </c>
      <c r="S294">
        <v>-10.794407207500001</v>
      </c>
      <c r="T294">
        <v>-104.583298179</v>
      </c>
      <c r="U294">
        <v>0</v>
      </c>
      <c r="V294">
        <v>0</v>
      </c>
    </row>
    <row r="295" spans="1:22" x14ac:dyDescent="0.2">
      <c r="A295"/>
      <c r="B295">
        <v>21078</v>
      </c>
      <c r="C295" t="s">
        <v>2457</v>
      </c>
      <c r="D295" t="s">
        <v>192</v>
      </c>
      <c r="E295" t="s">
        <v>1272</v>
      </c>
      <c r="F295" t="s">
        <v>2330</v>
      </c>
      <c r="G295">
        <v>243.922011793</v>
      </c>
      <c r="H295" t="s">
        <v>248</v>
      </c>
      <c r="Q295">
        <v>3261.5500744999999</v>
      </c>
      <c r="R295">
        <v>31697.823836799998</v>
      </c>
      <c r="S295">
        <v>-10.8001229183</v>
      </c>
      <c r="T295">
        <v>-94.415855030499998</v>
      </c>
      <c r="U295">
        <v>0</v>
      </c>
      <c r="V295">
        <v>0</v>
      </c>
    </row>
    <row r="296" spans="1:22" x14ac:dyDescent="0.2">
      <c r="A296"/>
      <c r="B296">
        <v>21078</v>
      </c>
      <c r="C296" t="s">
        <v>2457</v>
      </c>
      <c r="D296" t="s">
        <v>192</v>
      </c>
      <c r="E296" t="s">
        <v>1272</v>
      </c>
      <c r="F296" t="s">
        <v>2335</v>
      </c>
      <c r="G296">
        <v>75.969578501300006</v>
      </c>
      <c r="H296" t="s">
        <v>248</v>
      </c>
      <c r="Q296">
        <v>3261.5500744999999</v>
      </c>
      <c r="R296">
        <v>31697.823836799998</v>
      </c>
      <c r="S296">
        <v>-10.8001229183</v>
      </c>
      <c r="T296">
        <v>-94.415855030499998</v>
      </c>
      <c r="U296">
        <v>0</v>
      </c>
      <c r="V296">
        <v>0</v>
      </c>
    </row>
    <row r="297" spans="1:22" x14ac:dyDescent="0.2">
      <c r="A297"/>
      <c r="B297">
        <v>21078</v>
      </c>
      <c r="C297" t="s">
        <v>2457</v>
      </c>
      <c r="D297" t="s">
        <v>192</v>
      </c>
      <c r="E297" t="s">
        <v>1272</v>
      </c>
      <c r="F297" t="s">
        <v>2458</v>
      </c>
      <c r="G297">
        <v>41</v>
      </c>
      <c r="H297" t="s">
        <v>248</v>
      </c>
      <c r="Q297">
        <v>3261.5500744999999</v>
      </c>
      <c r="R297">
        <v>31697.823836799998</v>
      </c>
      <c r="S297">
        <v>-10.8001229183</v>
      </c>
      <c r="T297">
        <v>-94.415855030499998</v>
      </c>
      <c r="U297">
        <v>0</v>
      </c>
      <c r="V297">
        <v>0</v>
      </c>
    </row>
    <row r="298" spans="1:22" x14ac:dyDescent="0.2">
      <c r="A298"/>
      <c r="B298">
        <v>21079</v>
      </c>
      <c r="C298" t="s">
        <v>2459</v>
      </c>
      <c r="D298" t="s">
        <v>192</v>
      </c>
      <c r="E298" t="s">
        <v>1272</v>
      </c>
      <c r="F298" t="s">
        <v>2335</v>
      </c>
      <c r="G298">
        <v>75.969578501300006</v>
      </c>
      <c r="H298" t="s">
        <v>248</v>
      </c>
      <c r="Q298">
        <v>3255.1145857000001</v>
      </c>
      <c r="R298">
        <v>31607.970823200001</v>
      </c>
      <c r="S298">
        <v>-10.8005705068</v>
      </c>
      <c r="T298">
        <v>-94.118057063899997</v>
      </c>
      <c r="U298">
        <v>0</v>
      </c>
      <c r="V298">
        <v>0</v>
      </c>
    </row>
    <row r="299" spans="1:22" x14ac:dyDescent="0.2">
      <c r="A299"/>
      <c r="B299">
        <v>21079</v>
      </c>
      <c r="C299" t="s">
        <v>2459</v>
      </c>
      <c r="D299" t="s">
        <v>192</v>
      </c>
      <c r="E299" t="s">
        <v>1272</v>
      </c>
      <c r="F299" t="s">
        <v>2335</v>
      </c>
      <c r="G299">
        <v>125.30047363200001</v>
      </c>
      <c r="H299" t="s">
        <v>248</v>
      </c>
      <c r="Q299">
        <v>3255.1145857000001</v>
      </c>
      <c r="R299">
        <v>31607.970823200001</v>
      </c>
      <c r="S299">
        <v>-10.8005705068</v>
      </c>
      <c r="T299">
        <v>-94.118057063899997</v>
      </c>
      <c r="U299">
        <v>0</v>
      </c>
      <c r="V299">
        <v>0</v>
      </c>
    </row>
    <row r="300" spans="1:22" x14ac:dyDescent="0.2">
      <c r="A300"/>
      <c r="B300">
        <v>21080</v>
      </c>
      <c r="C300" t="s">
        <v>2460</v>
      </c>
      <c r="D300" t="s">
        <v>192</v>
      </c>
      <c r="E300" t="s">
        <v>1272</v>
      </c>
      <c r="F300" t="s">
        <v>2335</v>
      </c>
      <c r="G300">
        <v>125.30047363200001</v>
      </c>
      <c r="H300" t="s">
        <v>248</v>
      </c>
      <c r="Q300">
        <v>3251.56550191</v>
      </c>
      <c r="R300">
        <v>31558.767762300002</v>
      </c>
      <c r="S300">
        <v>-10.801808729199999</v>
      </c>
      <c r="T300">
        <v>-94.131029699199999</v>
      </c>
      <c r="U300">
        <v>0</v>
      </c>
      <c r="V300">
        <v>0</v>
      </c>
    </row>
    <row r="301" spans="1:22" x14ac:dyDescent="0.2">
      <c r="A301"/>
      <c r="B301">
        <v>21080</v>
      </c>
      <c r="C301" t="s">
        <v>2460</v>
      </c>
      <c r="D301" t="s">
        <v>192</v>
      </c>
      <c r="E301" t="s">
        <v>1272</v>
      </c>
      <c r="F301" t="s">
        <v>2335</v>
      </c>
      <c r="G301">
        <v>420.80240164399999</v>
      </c>
      <c r="H301" t="s">
        <v>248</v>
      </c>
      <c r="Q301">
        <v>3251.56550191</v>
      </c>
      <c r="R301">
        <v>31558.767762300002</v>
      </c>
      <c r="S301">
        <v>-10.801808729199999</v>
      </c>
      <c r="T301">
        <v>-94.131029699199999</v>
      </c>
      <c r="U301">
        <v>0</v>
      </c>
      <c r="V301">
        <v>0</v>
      </c>
    </row>
    <row r="302" spans="1:22" x14ac:dyDescent="0.2">
      <c r="A302"/>
      <c r="B302">
        <v>21081</v>
      </c>
      <c r="C302" t="s">
        <v>2461</v>
      </c>
      <c r="D302" t="s">
        <v>192</v>
      </c>
      <c r="E302" t="s">
        <v>1272</v>
      </c>
      <c r="F302" t="s">
        <v>2335</v>
      </c>
      <c r="G302">
        <v>420.80240164399999</v>
      </c>
      <c r="H302" t="s">
        <v>248</v>
      </c>
      <c r="Q302">
        <v>3227.41491004</v>
      </c>
      <c r="R302">
        <v>31264.303177999998</v>
      </c>
      <c r="S302">
        <v>-13.218051991699999</v>
      </c>
      <c r="T302">
        <v>-96.398444281699994</v>
      </c>
      <c r="U302">
        <v>0</v>
      </c>
      <c r="V302">
        <v>0</v>
      </c>
    </row>
    <row r="303" spans="1:22" x14ac:dyDescent="0.2">
      <c r="A303"/>
      <c r="B303">
        <v>21081</v>
      </c>
      <c r="C303" t="s">
        <v>2461</v>
      </c>
      <c r="D303" t="s">
        <v>192</v>
      </c>
      <c r="E303" t="s">
        <v>1272</v>
      </c>
      <c r="F303" t="s">
        <v>2335</v>
      </c>
      <c r="G303">
        <v>615.38318439700004</v>
      </c>
      <c r="H303" t="s">
        <v>248</v>
      </c>
      <c r="Q303">
        <v>3227.41491004</v>
      </c>
      <c r="R303">
        <v>31264.303177999998</v>
      </c>
      <c r="S303">
        <v>-13.218051991699999</v>
      </c>
      <c r="T303">
        <v>-96.398444281699994</v>
      </c>
      <c r="U303">
        <v>0</v>
      </c>
      <c r="V303">
        <v>0</v>
      </c>
    </row>
    <row r="304" spans="1:22" x14ac:dyDescent="0.2">
      <c r="A304"/>
      <c r="B304">
        <v>21082</v>
      </c>
      <c r="C304" t="s">
        <v>2462</v>
      </c>
      <c r="D304" t="s">
        <v>192</v>
      </c>
      <c r="E304" t="s">
        <v>1272</v>
      </c>
      <c r="F304" t="s">
        <v>2335</v>
      </c>
      <c r="G304">
        <v>615.38318439700004</v>
      </c>
      <c r="H304" t="s">
        <v>248</v>
      </c>
      <c r="Q304">
        <v>3205.3457613700002</v>
      </c>
      <c r="R304">
        <v>31070.979019599999</v>
      </c>
      <c r="S304">
        <v>-13.430797421299999</v>
      </c>
      <c r="T304">
        <v>-96.293627711100001</v>
      </c>
      <c r="U304">
        <v>0</v>
      </c>
      <c r="V304">
        <v>0</v>
      </c>
    </row>
    <row r="305" spans="1:22" x14ac:dyDescent="0.2">
      <c r="A305"/>
      <c r="B305">
        <v>21082</v>
      </c>
      <c r="C305" t="s">
        <v>2462</v>
      </c>
      <c r="D305" t="s">
        <v>192</v>
      </c>
      <c r="E305" t="s">
        <v>1272</v>
      </c>
      <c r="F305" t="s">
        <v>2335</v>
      </c>
      <c r="G305">
        <v>1717.1393962499999</v>
      </c>
      <c r="H305" t="s">
        <v>248</v>
      </c>
      <c r="Q305">
        <v>3205.3457613700002</v>
      </c>
      <c r="R305">
        <v>31070.979019599999</v>
      </c>
      <c r="S305">
        <v>-13.430797421299999</v>
      </c>
      <c r="T305">
        <v>-96.293627711100001</v>
      </c>
      <c r="U305">
        <v>0</v>
      </c>
      <c r="V305">
        <v>0</v>
      </c>
    </row>
    <row r="306" spans="1:22" x14ac:dyDescent="0.2">
      <c r="A306"/>
      <c r="B306">
        <v>21083</v>
      </c>
      <c r="C306" t="s">
        <v>2463</v>
      </c>
      <c r="D306" t="s">
        <v>192</v>
      </c>
      <c r="E306" t="s">
        <v>1272</v>
      </c>
      <c r="F306" t="s">
        <v>2335</v>
      </c>
      <c r="G306">
        <v>1717.1393962499999</v>
      </c>
      <c r="H306" t="s">
        <v>248</v>
      </c>
      <c r="Q306">
        <v>3362.1084188099999</v>
      </c>
      <c r="R306">
        <v>29988.8852424</v>
      </c>
      <c r="S306">
        <v>-14.9101095091</v>
      </c>
      <c r="T306">
        <v>-91.7642976164</v>
      </c>
      <c r="U306">
        <v>0</v>
      </c>
      <c r="V306">
        <v>0</v>
      </c>
    </row>
    <row r="307" spans="1:22" x14ac:dyDescent="0.2">
      <c r="A307"/>
      <c r="B307">
        <v>21083</v>
      </c>
      <c r="C307" t="s">
        <v>2463</v>
      </c>
      <c r="D307" t="s">
        <v>192</v>
      </c>
      <c r="E307" t="s">
        <v>1272</v>
      </c>
      <c r="F307" t="s">
        <v>2335</v>
      </c>
      <c r="G307">
        <v>1911.7201789999999</v>
      </c>
      <c r="H307" t="s">
        <v>248</v>
      </c>
      <c r="Q307">
        <v>3362.1084188099999</v>
      </c>
      <c r="R307">
        <v>29988.8852424</v>
      </c>
      <c r="S307">
        <v>-14.9101095091</v>
      </c>
      <c r="T307">
        <v>-91.7642976164</v>
      </c>
      <c r="U307">
        <v>0</v>
      </c>
      <c r="V307">
        <v>0</v>
      </c>
    </row>
    <row r="308" spans="1:22" x14ac:dyDescent="0.2">
      <c r="A308"/>
      <c r="B308">
        <v>21084</v>
      </c>
      <c r="C308" t="s">
        <v>2464</v>
      </c>
      <c r="D308" t="s">
        <v>192</v>
      </c>
      <c r="E308" t="s">
        <v>1272</v>
      </c>
      <c r="F308" t="s">
        <v>2335</v>
      </c>
      <c r="G308">
        <v>1911.7201789999999</v>
      </c>
      <c r="H308" t="s">
        <v>248</v>
      </c>
      <c r="Q308">
        <v>3355.9329924200001</v>
      </c>
      <c r="R308">
        <v>29794.403476700001</v>
      </c>
      <c r="S308">
        <v>-14.6673345972</v>
      </c>
      <c r="T308">
        <v>-91.792057862099995</v>
      </c>
      <c r="U308">
        <v>0</v>
      </c>
      <c r="V308">
        <v>0</v>
      </c>
    </row>
    <row r="309" spans="1:22" x14ac:dyDescent="0.2">
      <c r="A309"/>
      <c r="B309">
        <v>21084</v>
      </c>
      <c r="C309" t="s">
        <v>2464</v>
      </c>
      <c r="D309" t="s">
        <v>192</v>
      </c>
      <c r="E309" t="s">
        <v>1272</v>
      </c>
      <c r="F309" t="s">
        <v>2335</v>
      </c>
      <c r="G309">
        <v>3090.0576724500002</v>
      </c>
      <c r="H309" t="s">
        <v>248</v>
      </c>
      <c r="Q309">
        <v>3355.9329924200001</v>
      </c>
      <c r="R309">
        <v>29794.403476700001</v>
      </c>
      <c r="S309">
        <v>-14.6673345972</v>
      </c>
      <c r="T309">
        <v>-91.792057862099995</v>
      </c>
      <c r="U309">
        <v>0</v>
      </c>
      <c r="V309">
        <v>0</v>
      </c>
    </row>
    <row r="310" spans="1:22" x14ac:dyDescent="0.2">
      <c r="A310"/>
      <c r="B310">
        <v>21085</v>
      </c>
      <c r="C310" t="s">
        <v>2465</v>
      </c>
      <c r="D310" t="s">
        <v>192</v>
      </c>
      <c r="E310" t="s">
        <v>1272</v>
      </c>
      <c r="F310" t="s">
        <v>2335</v>
      </c>
      <c r="G310">
        <v>3090.0576724500002</v>
      </c>
      <c r="H310" t="s">
        <v>248</v>
      </c>
      <c r="Q310">
        <v>3391.2590899299998</v>
      </c>
      <c r="R310">
        <v>28633.754822700001</v>
      </c>
      <c r="S310">
        <v>-14.6546440912</v>
      </c>
      <c r="T310">
        <v>-113.118955808</v>
      </c>
      <c r="U310">
        <v>0</v>
      </c>
      <c r="V310">
        <v>0</v>
      </c>
    </row>
    <row r="311" spans="1:22" x14ac:dyDescent="0.2">
      <c r="A311"/>
      <c r="B311">
        <v>21085</v>
      </c>
      <c r="C311" t="s">
        <v>2465</v>
      </c>
      <c r="D311" t="s">
        <v>192</v>
      </c>
      <c r="E311" t="s">
        <v>1272</v>
      </c>
      <c r="F311" t="s">
        <v>2335</v>
      </c>
      <c r="G311">
        <v>3091.86318321</v>
      </c>
      <c r="H311" t="s">
        <v>248</v>
      </c>
      <c r="Q311">
        <v>3391.2590899299998</v>
      </c>
      <c r="R311">
        <v>28633.754822700001</v>
      </c>
      <c r="S311">
        <v>-14.6546440912</v>
      </c>
      <c r="T311">
        <v>-113.118955808</v>
      </c>
      <c r="U311">
        <v>0</v>
      </c>
      <c r="V311">
        <v>0</v>
      </c>
    </row>
    <row r="312" spans="1:22" x14ac:dyDescent="0.2">
      <c r="A312"/>
      <c r="B312">
        <v>21086</v>
      </c>
      <c r="C312" t="s">
        <v>2466</v>
      </c>
      <c r="D312" t="s">
        <v>192</v>
      </c>
      <c r="E312" t="s">
        <v>1272</v>
      </c>
      <c r="F312" t="s">
        <v>2335</v>
      </c>
      <c r="G312">
        <v>3091.86318321</v>
      </c>
      <c r="H312" t="s">
        <v>248</v>
      </c>
      <c r="Q312">
        <v>3390.5500886899999</v>
      </c>
      <c r="R312">
        <v>28632.0944012</v>
      </c>
      <c r="S312">
        <v>-14.6409803329</v>
      </c>
      <c r="T312">
        <v>-113.126064527</v>
      </c>
      <c r="U312">
        <v>0</v>
      </c>
      <c r="V312">
        <v>0</v>
      </c>
    </row>
    <row r="313" spans="1:22" x14ac:dyDescent="0.2">
      <c r="A313"/>
      <c r="B313">
        <v>21086</v>
      </c>
      <c r="C313" t="s">
        <v>2466</v>
      </c>
      <c r="D313" t="s">
        <v>192</v>
      </c>
      <c r="E313" t="s">
        <v>1272</v>
      </c>
      <c r="F313" t="s">
        <v>2335</v>
      </c>
      <c r="G313">
        <v>3285.4573480600002</v>
      </c>
      <c r="H313" t="s">
        <v>248</v>
      </c>
      <c r="Q313">
        <v>3390.5500886899999</v>
      </c>
      <c r="R313">
        <v>28632.0944012</v>
      </c>
      <c r="S313">
        <v>-14.6409803329</v>
      </c>
      <c r="T313">
        <v>-113.126064527</v>
      </c>
      <c r="U313">
        <v>0</v>
      </c>
      <c r="V313">
        <v>0</v>
      </c>
    </row>
    <row r="314" spans="1:22" x14ac:dyDescent="0.2">
      <c r="A314"/>
      <c r="B314">
        <v>21087</v>
      </c>
      <c r="C314" t="s">
        <v>2467</v>
      </c>
      <c r="D314" t="s">
        <v>192</v>
      </c>
      <c r="E314" t="s">
        <v>1272</v>
      </c>
      <c r="F314" t="s">
        <v>2335</v>
      </c>
      <c r="G314">
        <v>3285.4573480600002</v>
      </c>
      <c r="H314" t="s">
        <v>248</v>
      </c>
      <c r="Q314">
        <v>3314.1248913600002</v>
      </c>
      <c r="R314">
        <v>28454.224440999998</v>
      </c>
      <c r="S314">
        <v>-14.5580179303</v>
      </c>
      <c r="T314">
        <v>-113.100858149</v>
      </c>
      <c r="U314">
        <v>0</v>
      </c>
      <c r="V314">
        <v>0</v>
      </c>
    </row>
    <row r="315" spans="1:22" x14ac:dyDescent="0.2">
      <c r="A315"/>
      <c r="B315">
        <v>21087</v>
      </c>
      <c r="C315" t="s">
        <v>2467</v>
      </c>
      <c r="D315" t="s">
        <v>192</v>
      </c>
      <c r="E315" t="s">
        <v>1272</v>
      </c>
      <c r="F315" t="s">
        <v>2335</v>
      </c>
      <c r="G315">
        <v>4272.8152141</v>
      </c>
      <c r="H315" t="s">
        <v>248</v>
      </c>
      <c r="Q315">
        <v>3314.1248913600002</v>
      </c>
      <c r="R315">
        <v>28454.224440999998</v>
      </c>
      <c r="S315">
        <v>-14.5580179303</v>
      </c>
      <c r="T315">
        <v>-113.100858149</v>
      </c>
      <c r="U315">
        <v>0</v>
      </c>
      <c r="V315">
        <v>0</v>
      </c>
    </row>
    <row r="316" spans="1:22" x14ac:dyDescent="0.2">
      <c r="A316"/>
      <c r="B316">
        <v>21088</v>
      </c>
      <c r="C316" t="s">
        <v>2468</v>
      </c>
      <c r="D316" t="s">
        <v>192</v>
      </c>
      <c r="E316" t="s">
        <v>1272</v>
      </c>
      <c r="F316" t="s">
        <v>2335</v>
      </c>
      <c r="G316">
        <v>4272.8152141</v>
      </c>
      <c r="H316" t="s">
        <v>248</v>
      </c>
      <c r="Q316">
        <v>3136.98840913</v>
      </c>
      <c r="R316">
        <v>27487.891291700002</v>
      </c>
      <c r="S316">
        <v>-14.4647199997</v>
      </c>
      <c r="T316">
        <v>-97.041585881200007</v>
      </c>
      <c r="U316">
        <v>0</v>
      </c>
      <c r="V316">
        <v>0</v>
      </c>
    </row>
    <row r="317" spans="1:22" x14ac:dyDescent="0.2">
      <c r="A317"/>
      <c r="B317">
        <v>21088</v>
      </c>
      <c r="C317" t="s">
        <v>2468</v>
      </c>
      <c r="D317" t="s">
        <v>192</v>
      </c>
      <c r="E317" t="s">
        <v>1272</v>
      </c>
      <c r="F317" t="s">
        <v>2335</v>
      </c>
      <c r="G317">
        <v>4467.3959968600002</v>
      </c>
      <c r="H317" t="s">
        <v>248</v>
      </c>
      <c r="Q317">
        <v>3136.98840913</v>
      </c>
      <c r="R317">
        <v>27487.891291700002</v>
      </c>
      <c r="S317">
        <v>-14.4647199997</v>
      </c>
      <c r="T317">
        <v>-97.041585881200007</v>
      </c>
      <c r="U317">
        <v>0</v>
      </c>
      <c r="V317">
        <v>0</v>
      </c>
    </row>
    <row r="318" spans="1:22" x14ac:dyDescent="0.2">
      <c r="A318"/>
      <c r="B318">
        <v>21089</v>
      </c>
      <c r="C318" t="s">
        <v>2469</v>
      </c>
      <c r="D318" t="s">
        <v>192</v>
      </c>
      <c r="E318" t="s">
        <v>1272</v>
      </c>
      <c r="F318" t="s">
        <v>2335</v>
      </c>
      <c r="G318">
        <v>4467.3959968600002</v>
      </c>
      <c r="H318" t="s">
        <v>248</v>
      </c>
      <c r="Q318">
        <v>3124.7907608300002</v>
      </c>
      <c r="R318">
        <v>27293.802600499999</v>
      </c>
      <c r="S318">
        <v>-14.4446629969</v>
      </c>
      <c r="T318">
        <v>-91.746448592799993</v>
      </c>
      <c r="U318">
        <v>0</v>
      </c>
      <c r="V318">
        <v>0</v>
      </c>
    </row>
    <row r="319" spans="1:22" x14ac:dyDescent="0.2">
      <c r="A319"/>
      <c r="B319">
        <v>21089</v>
      </c>
      <c r="C319" t="s">
        <v>2469</v>
      </c>
      <c r="D319" t="s">
        <v>192</v>
      </c>
      <c r="E319" t="s">
        <v>1272</v>
      </c>
      <c r="F319" t="s">
        <v>2335</v>
      </c>
      <c r="G319">
        <v>5281.1979076500002</v>
      </c>
      <c r="H319" t="s">
        <v>248</v>
      </c>
      <c r="Q319">
        <v>3124.7907608300002</v>
      </c>
      <c r="R319">
        <v>27293.802600499999</v>
      </c>
      <c r="S319">
        <v>-14.4446629969</v>
      </c>
      <c r="T319">
        <v>-91.746448592799993</v>
      </c>
      <c r="U319">
        <v>0</v>
      </c>
      <c r="V319">
        <v>0</v>
      </c>
    </row>
    <row r="320" spans="1:22" x14ac:dyDescent="0.2">
      <c r="A320"/>
      <c r="B320">
        <v>21090</v>
      </c>
      <c r="C320" t="s">
        <v>2470</v>
      </c>
      <c r="D320" t="s">
        <v>192</v>
      </c>
      <c r="E320" t="s">
        <v>1272</v>
      </c>
      <c r="F320" t="s">
        <v>2335</v>
      </c>
      <c r="G320">
        <v>5281.1979076500002</v>
      </c>
      <c r="H320" t="s">
        <v>248</v>
      </c>
      <c r="Q320">
        <v>3153.31546402</v>
      </c>
      <c r="R320">
        <v>26484.625593100001</v>
      </c>
      <c r="S320">
        <v>-13.7590883801</v>
      </c>
      <c r="T320">
        <v>-84.754385854299997</v>
      </c>
      <c r="U320">
        <v>0</v>
      </c>
      <c r="V320">
        <v>0</v>
      </c>
    </row>
    <row r="321" spans="1:22" x14ac:dyDescent="0.2">
      <c r="A321"/>
      <c r="B321">
        <v>21090</v>
      </c>
      <c r="C321" t="s">
        <v>2470</v>
      </c>
      <c r="D321" t="s">
        <v>192</v>
      </c>
      <c r="E321" t="s">
        <v>1272</v>
      </c>
      <c r="F321" t="s">
        <v>2335</v>
      </c>
      <c r="G321">
        <v>5475.7786904000004</v>
      </c>
      <c r="H321" t="s">
        <v>248</v>
      </c>
      <c r="Q321">
        <v>3153.31546402</v>
      </c>
      <c r="R321">
        <v>26484.625593100001</v>
      </c>
      <c r="S321">
        <v>-13.7590883801</v>
      </c>
      <c r="T321">
        <v>-84.754385854299997</v>
      </c>
      <c r="U321">
        <v>0</v>
      </c>
      <c r="V321">
        <v>0</v>
      </c>
    </row>
    <row r="322" spans="1:22" x14ac:dyDescent="0.2">
      <c r="A322"/>
      <c r="B322">
        <v>21091</v>
      </c>
      <c r="C322" t="s">
        <v>2471</v>
      </c>
      <c r="D322" t="s">
        <v>192</v>
      </c>
      <c r="E322" t="s">
        <v>1272</v>
      </c>
      <c r="F322" t="s">
        <v>2335</v>
      </c>
      <c r="G322">
        <v>5475.7786904000004</v>
      </c>
      <c r="H322" t="s">
        <v>248</v>
      </c>
      <c r="Q322">
        <v>3171.1822306600002</v>
      </c>
      <c r="R322">
        <v>26290.867203999998</v>
      </c>
      <c r="S322">
        <v>-13.6370966224</v>
      </c>
      <c r="T322">
        <v>-84.703530431199994</v>
      </c>
      <c r="U322">
        <v>0</v>
      </c>
      <c r="V322">
        <v>0</v>
      </c>
    </row>
    <row r="323" spans="1:22" x14ac:dyDescent="0.2">
      <c r="A323"/>
      <c r="B323">
        <v>21091</v>
      </c>
      <c r="C323" t="s">
        <v>2471</v>
      </c>
      <c r="D323" t="s">
        <v>192</v>
      </c>
      <c r="E323" t="s">
        <v>1272</v>
      </c>
      <c r="F323" t="s">
        <v>2472</v>
      </c>
      <c r="G323">
        <v>293.315937991</v>
      </c>
      <c r="H323" t="s">
        <v>248</v>
      </c>
      <c r="Q323">
        <v>3171.1822306600002</v>
      </c>
      <c r="R323">
        <v>26290.867203999998</v>
      </c>
      <c r="S323">
        <v>-13.6370966224</v>
      </c>
      <c r="T323">
        <v>-84.703530431199994</v>
      </c>
      <c r="U323">
        <v>0</v>
      </c>
      <c r="V323">
        <v>0</v>
      </c>
    </row>
    <row r="324" spans="1:22" x14ac:dyDescent="0.2">
      <c r="A324"/>
      <c r="B324">
        <v>21092</v>
      </c>
      <c r="C324" t="s">
        <v>2473</v>
      </c>
      <c r="D324" t="s">
        <v>192</v>
      </c>
      <c r="E324" t="s">
        <v>1272</v>
      </c>
      <c r="F324" t="s">
        <v>2472</v>
      </c>
      <c r="G324">
        <v>293.315937991</v>
      </c>
      <c r="H324" t="s">
        <v>248</v>
      </c>
      <c r="Q324">
        <v>3040.6058023700002</v>
      </c>
      <c r="R324">
        <v>25620.5878085</v>
      </c>
      <c r="S324">
        <v>-11.196271487200001</v>
      </c>
      <c r="T324">
        <v>-176.273784871</v>
      </c>
      <c r="U324">
        <v>0</v>
      </c>
      <c r="V324">
        <v>0</v>
      </c>
    </row>
    <row r="325" spans="1:22" x14ac:dyDescent="0.2">
      <c r="A325"/>
      <c r="B325">
        <v>21092</v>
      </c>
      <c r="C325" t="s">
        <v>2473</v>
      </c>
      <c r="D325" t="s">
        <v>192</v>
      </c>
      <c r="E325" t="s">
        <v>1272</v>
      </c>
      <c r="F325" t="s">
        <v>2472</v>
      </c>
      <c r="G325">
        <v>488.94983415000002</v>
      </c>
      <c r="H325" t="s">
        <v>248</v>
      </c>
      <c r="Q325">
        <v>3040.6058023700002</v>
      </c>
      <c r="R325">
        <v>25620.5878085</v>
      </c>
      <c r="S325">
        <v>-11.196271487200001</v>
      </c>
      <c r="T325">
        <v>-176.273784871</v>
      </c>
      <c r="U325">
        <v>0</v>
      </c>
      <c r="V325">
        <v>0</v>
      </c>
    </row>
    <row r="326" spans="1:22" x14ac:dyDescent="0.2">
      <c r="A326"/>
      <c r="B326">
        <v>21093</v>
      </c>
      <c r="C326" t="s">
        <v>2474</v>
      </c>
      <c r="D326" t="s">
        <v>192</v>
      </c>
      <c r="E326" t="s">
        <v>1272</v>
      </c>
      <c r="F326" t="s">
        <v>2472</v>
      </c>
      <c r="G326">
        <v>488.94983415000002</v>
      </c>
      <c r="H326" t="s">
        <v>248</v>
      </c>
      <c r="Q326">
        <v>2845.0635341799998</v>
      </c>
      <c r="R326">
        <v>25615.853165600001</v>
      </c>
      <c r="S326">
        <v>-11.2310961662</v>
      </c>
      <c r="T326">
        <v>-179.431124678</v>
      </c>
      <c r="U326">
        <v>0</v>
      </c>
      <c r="V326">
        <v>0</v>
      </c>
    </row>
    <row r="327" spans="1:22" x14ac:dyDescent="0.2">
      <c r="A327"/>
      <c r="B327">
        <v>21093</v>
      </c>
      <c r="C327" t="s">
        <v>2474</v>
      </c>
      <c r="D327" t="s">
        <v>192</v>
      </c>
      <c r="E327" t="s">
        <v>1272</v>
      </c>
      <c r="F327" t="s">
        <v>2343</v>
      </c>
      <c r="G327">
        <v>314.55785354</v>
      </c>
      <c r="H327" t="s">
        <v>248</v>
      </c>
      <c r="Q327">
        <v>2845.0635341799998</v>
      </c>
      <c r="R327">
        <v>25615.853165600001</v>
      </c>
      <c r="S327">
        <v>-11.2310961662</v>
      </c>
      <c r="T327">
        <v>-179.431124678</v>
      </c>
      <c r="U327">
        <v>0</v>
      </c>
      <c r="V327">
        <v>0</v>
      </c>
    </row>
    <row r="328" spans="1:22" x14ac:dyDescent="0.2">
      <c r="A328"/>
      <c r="B328">
        <v>21094</v>
      </c>
      <c r="C328" t="s">
        <v>2475</v>
      </c>
      <c r="D328" t="s">
        <v>192</v>
      </c>
      <c r="E328" t="s">
        <v>1272</v>
      </c>
      <c r="F328" t="s">
        <v>2343</v>
      </c>
      <c r="G328">
        <v>314.55785354</v>
      </c>
      <c r="H328" t="s">
        <v>248</v>
      </c>
      <c r="Q328">
        <v>2679.5494147200002</v>
      </c>
      <c r="R328">
        <v>25139.523998699999</v>
      </c>
      <c r="S328">
        <v>-14.1498848602</v>
      </c>
      <c r="T328">
        <v>-88.0005272856</v>
      </c>
      <c r="U328">
        <v>0</v>
      </c>
      <c r="V328">
        <v>0</v>
      </c>
    </row>
    <row r="329" spans="1:22" x14ac:dyDescent="0.2">
      <c r="A329"/>
      <c r="B329">
        <v>21094</v>
      </c>
      <c r="C329" t="s">
        <v>2475</v>
      </c>
      <c r="D329" t="s">
        <v>192</v>
      </c>
      <c r="E329" t="s">
        <v>1272</v>
      </c>
      <c r="F329" t="s">
        <v>2343</v>
      </c>
      <c r="G329">
        <v>505.72062952200002</v>
      </c>
      <c r="H329" t="s">
        <v>248</v>
      </c>
      <c r="Q329">
        <v>2679.5494147200002</v>
      </c>
      <c r="R329">
        <v>25139.523998699999</v>
      </c>
      <c r="S329">
        <v>-14.1498848602</v>
      </c>
      <c r="T329">
        <v>-88.0005272856</v>
      </c>
      <c r="U329">
        <v>0</v>
      </c>
      <c r="V329">
        <v>0</v>
      </c>
    </row>
    <row r="330" spans="1:22" x14ac:dyDescent="0.2">
      <c r="A330"/>
      <c r="B330">
        <v>21095</v>
      </c>
      <c r="C330" t="s">
        <v>2476</v>
      </c>
      <c r="D330" t="s">
        <v>192</v>
      </c>
      <c r="E330" t="s">
        <v>1272</v>
      </c>
      <c r="F330" t="s">
        <v>2343</v>
      </c>
      <c r="G330">
        <v>505.72062952200002</v>
      </c>
      <c r="H330" t="s">
        <v>248</v>
      </c>
      <c r="Q330">
        <v>2686.1894034299999</v>
      </c>
      <c r="R330">
        <v>24948.476600000002</v>
      </c>
      <c r="S330">
        <v>-14.168124656</v>
      </c>
      <c r="T330">
        <v>-88.023743083200003</v>
      </c>
      <c r="U330">
        <v>0</v>
      </c>
      <c r="V330">
        <v>0</v>
      </c>
    </row>
    <row r="331" spans="1:22" x14ac:dyDescent="0.2">
      <c r="A331"/>
      <c r="B331">
        <v>21095</v>
      </c>
      <c r="C331" t="s">
        <v>2476</v>
      </c>
      <c r="D331" t="s">
        <v>192</v>
      </c>
      <c r="E331" t="s">
        <v>1272</v>
      </c>
      <c r="F331" t="s">
        <v>2343</v>
      </c>
      <c r="G331">
        <v>1170.2443895700001</v>
      </c>
      <c r="H331" t="s">
        <v>248</v>
      </c>
      <c r="Q331">
        <v>2686.1894034299999</v>
      </c>
      <c r="R331">
        <v>24948.476600000002</v>
      </c>
      <c r="S331">
        <v>-14.168124656</v>
      </c>
      <c r="T331">
        <v>-88.023743083200003</v>
      </c>
      <c r="U331">
        <v>0</v>
      </c>
      <c r="V331">
        <v>0</v>
      </c>
    </row>
    <row r="332" spans="1:22" x14ac:dyDescent="0.2">
      <c r="A332"/>
      <c r="B332">
        <v>21096</v>
      </c>
      <c r="C332" t="s">
        <v>2477</v>
      </c>
      <c r="D332" t="s">
        <v>192</v>
      </c>
      <c r="E332" t="s">
        <v>1272</v>
      </c>
      <c r="F332" t="s">
        <v>2343</v>
      </c>
      <c r="G332">
        <v>1170.2443895700001</v>
      </c>
      <c r="H332" t="s">
        <v>248</v>
      </c>
      <c r="Q332">
        <v>2665.4635754400001</v>
      </c>
      <c r="R332">
        <v>24288.1191368</v>
      </c>
      <c r="S332">
        <v>-13.603019404599999</v>
      </c>
      <c r="T332">
        <v>-103.482709345</v>
      </c>
      <c r="U332">
        <v>0</v>
      </c>
      <c r="V332">
        <v>0</v>
      </c>
    </row>
    <row r="333" spans="1:22" x14ac:dyDescent="0.2">
      <c r="A333"/>
      <c r="B333">
        <v>21096</v>
      </c>
      <c r="C333" t="s">
        <v>2477</v>
      </c>
      <c r="D333" t="s">
        <v>192</v>
      </c>
      <c r="E333" t="s">
        <v>1272</v>
      </c>
      <c r="F333" t="s">
        <v>2343</v>
      </c>
      <c r="G333">
        <v>1172.95839308</v>
      </c>
      <c r="H333" t="s">
        <v>248</v>
      </c>
      <c r="Q333">
        <v>2665.4635754400001</v>
      </c>
      <c r="R333">
        <v>24288.1191368</v>
      </c>
      <c r="S333">
        <v>-13.603019404599999</v>
      </c>
      <c r="T333">
        <v>-103.482709345</v>
      </c>
      <c r="U333">
        <v>0</v>
      </c>
      <c r="V333">
        <v>0</v>
      </c>
    </row>
    <row r="334" spans="1:22" x14ac:dyDescent="0.2">
      <c r="A334"/>
      <c r="B334">
        <v>21097</v>
      </c>
      <c r="C334" t="s">
        <v>2478</v>
      </c>
      <c r="D334" t="s">
        <v>192</v>
      </c>
      <c r="E334" t="s">
        <v>1272</v>
      </c>
      <c r="F334" t="s">
        <v>2343</v>
      </c>
      <c r="G334">
        <v>1172.95839308</v>
      </c>
      <c r="H334" t="s">
        <v>248</v>
      </c>
      <c r="Q334">
        <v>2664.8308775700002</v>
      </c>
      <c r="R334">
        <v>24285.4804444</v>
      </c>
      <c r="S334">
        <v>-13.5500019662</v>
      </c>
      <c r="T334">
        <v>-103.48459267699999</v>
      </c>
      <c r="U334">
        <v>0</v>
      </c>
      <c r="V334">
        <v>0</v>
      </c>
    </row>
    <row r="335" spans="1:22" x14ac:dyDescent="0.2">
      <c r="A335"/>
      <c r="B335">
        <v>21097</v>
      </c>
      <c r="C335" t="s">
        <v>2478</v>
      </c>
      <c r="D335" t="s">
        <v>192</v>
      </c>
      <c r="E335" t="s">
        <v>1272</v>
      </c>
      <c r="F335" t="s">
        <v>2343</v>
      </c>
      <c r="G335">
        <v>1220.4534545500001</v>
      </c>
      <c r="H335" t="s">
        <v>248</v>
      </c>
      <c r="Q335">
        <v>2664.8308775700002</v>
      </c>
      <c r="R335">
        <v>24285.4804444</v>
      </c>
      <c r="S335">
        <v>-13.5500019662</v>
      </c>
      <c r="T335">
        <v>-103.48459267699999</v>
      </c>
      <c r="U335">
        <v>0</v>
      </c>
      <c r="V335">
        <v>0</v>
      </c>
    </row>
    <row r="336" spans="1:22" x14ac:dyDescent="0.2">
      <c r="A336"/>
      <c r="B336">
        <v>21098</v>
      </c>
      <c r="C336" t="s">
        <v>2479</v>
      </c>
      <c r="D336" t="s">
        <v>192</v>
      </c>
      <c r="E336" t="s">
        <v>1272</v>
      </c>
      <c r="F336" t="s">
        <v>2343</v>
      </c>
      <c r="G336">
        <v>1220.4534545500001</v>
      </c>
      <c r="H336" t="s">
        <v>248</v>
      </c>
      <c r="Q336">
        <v>2653.74621424</v>
      </c>
      <c r="R336">
        <v>24239.306309799998</v>
      </c>
      <c r="S336">
        <v>-12.6224485537</v>
      </c>
      <c r="T336">
        <v>-103.511796287</v>
      </c>
      <c r="U336">
        <v>0</v>
      </c>
      <c r="V336">
        <v>0</v>
      </c>
    </row>
    <row r="337" spans="1:22" x14ac:dyDescent="0.2">
      <c r="A337"/>
      <c r="B337">
        <v>21098</v>
      </c>
      <c r="C337" t="s">
        <v>2479</v>
      </c>
      <c r="D337" t="s">
        <v>192</v>
      </c>
      <c r="E337" t="s">
        <v>1272</v>
      </c>
      <c r="F337" t="s">
        <v>2345</v>
      </c>
      <c r="G337">
        <v>15.3440599695</v>
      </c>
      <c r="H337" t="s">
        <v>248</v>
      </c>
      <c r="Q337">
        <v>2653.74621424</v>
      </c>
      <c r="R337">
        <v>24239.306309799998</v>
      </c>
      <c r="S337">
        <v>-12.6224485537</v>
      </c>
      <c r="T337">
        <v>-103.511796287</v>
      </c>
      <c r="U337">
        <v>0</v>
      </c>
      <c r="V337">
        <v>0</v>
      </c>
    </row>
    <row r="338" spans="1:22" x14ac:dyDescent="0.2">
      <c r="A338"/>
      <c r="B338">
        <v>21098</v>
      </c>
      <c r="C338" t="s">
        <v>2479</v>
      </c>
      <c r="D338" t="s">
        <v>192</v>
      </c>
      <c r="E338" t="s">
        <v>1272</v>
      </c>
      <c r="F338" t="s">
        <v>2420</v>
      </c>
      <c r="G338">
        <v>41</v>
      </c>
      <c r="H338" t="s">
        <v>248</v>
      </c>
      <c r="Q338">
        <v>2653.74621424</v>
      </c>
      <c r="R338">
        <v>24239.306309799998</v>
      </c>
      <c r="S338">
        <v>-12.6224485537</v>
      </c>
      <c r="T338">
        <v>-103.511796287</v>
      </c>
      <c r="U338">
        <v>0</v>
      </c>
      <c r="V338">
        <v>0</v>
      </c>
    </row>
    <row r="339" spans="1:22" x14ac:dyDescent="0.2">
      <c r="A339"/>
      <c r="B339">
        <v>21099</v>
      </c>
      <c r="C339" t="s">
        <v>2480</v>
      </c>
      <c r="D339" t="s">
        <v>192</v>
      </c>
      <c r="E339" t="s">
        <v>1272</v>
      </c>
      <c r="F339" t="s">
        <v>2345</v>
      </c>
      <c r="G339">
        <v>15.3440599695</v>
      </c>
      <c r="H339" t="s">
        <v>248</v>
      </c>
      <c r="Q339">
        <v>2632.7102715199999</v>
      </c>
      <c r="R339">
        <v>24151.838284000001</v>
      </c>
      <c r="S339">
        <v>-10.866848855500001</v>
      </c>
      <c r="T339">
        <v>-103.511948902</v>
      </c>
      <c r="U339">
        <v>0</v>
      </c>
      <c r="V339">
        <v>0</v>
      </c>
    </row>
    <row r="340" spans="1:22" x14ac:dyDescent="0.2">
      <c r="A340"/>
      <c r="B340">
        <v>21099</v>
      </c>
      <c r="C340" t="s">
        <v>2480</v>
      </c>
      <c r="D340" t="s">
        <v>192</v>
      </c>
      <c r="E340" t="s">
        <v>1272</v>
      </c>
      <c r="F340" t="s">
        <v>2345</v>
      </c>
      <c r="G340">
        <v>274.44385661500002</v>
      </c>
      <c r="H340" t="s">
        <v>248</v>
      </c>
      <c r="Q340">
        <v>2632.7102715199999</v>
      </c>
      <c r="R340">
        <v>24151.838284000001</v>
      </c>
      <c r="S340">
        <v>-10.866848855500001</v>
      </c>
      <c r="T340">
        <v>-103.511948902</v>
      </c>
      <c r="U340">
        <v>0</v>
      </c>
      <c r="V340">
        <v>0</v>
      </c>
    </row>
    <row r="341" spans="1:22" x14ac:dyDescent="0.2">
      <c r="A341"/>
      <c r="B341">
        <v>21100</v>
      </c>
      <c r="C341" t="s">
        <v>2481</v>
      </c>
      <c r="D341" t="s">
        <v>192</v>
      </c>
      <c r="E341" t="s">
        <v>1272</v>
      </c>
      <c r="F341" t="s">
        <v>2345</v>
      </c>
      <c r="G341">
        <v>274.44385661500002</v>
      </c>
      <c r="H341" t="s">
        <v>248</v>
      </c>
      <c r="Q341">
        <v>2616.2160315900001</v>
      </c>
      <c r="R341">
        <v>23896.558205400001</v>
      </c>
      <c r="S341">
        <v>-6.6127737071399997</v>
      </c>
      <c r="T341">
        <v>-103.294275253</v>
      </c>
      <c r="U341">
        <v>0</v>
      </c>
      <c r="V341">
        <v>0</v>
      </c>
    </row>
    <row r="342" spans="1:22" x14ac:dyDescent="0.2">
      <c r="A342"/>
      <c r="B342">
        <v>21100</v>
      </c>
      <c r="C342" t="s">
        <v>2481</v>
      </c>
      <c r="D342" t="s">
        <v>192</v>
      </c>
      <c r="E342" t="s">
        <v>1272</v>
      </c>
      <c r="F342" t="s">
        <v>2345</v>
      </c>
      <c r="G342">
        <v>476.187557094</v>
      </c>
      <c r="H342" t="s">
        <v>248</v>
      </c>
      <c r="Q342">
        <v>2616.2160315900001</v>
      </c>
      <c r="R342">
        <v>23896.558205400001</v>
      </c>
      <c r="S342">
        <v>-6.6127737071399997</v>
      </c>
      <c r="T342">
        <v>-103.294275253</v>
      </c>
      <c r="U342">
        <v>0</v>
      </c>
      <c r="V342">
        <v>0</v>
      </c>
    </row>
    <row r="343" spans="1:22" x14ac:dyDescent="0.2">
      <c r="A343"/>
      <c r="B343">
        <v>21101</v>
      </c>
      <c r="C343" t="s">
        <v>2482</v>
      </c>
      <c r="D343" t="s">
        <v>192</v>
      </c>
      <c r="E343" t="s">
        <v>1272</v>
      </c>
      <c r="F343" t="s">
        <v>2345</v>
      </c>
      <c r="G343">
        <v>476.187557094</v>
      </c>
      <c r="H343" t="s">
        <v>248</v>
      </c>
      <c r="Q343">
        <v>2563.1940770699998</v>
      </c>
      <c r="R343">
        <v>23701.907786899999</v>
      </c>
      <c r="S343">
        <v>-6.6049992363100003</v>
      </c>
      <c r="T343">
        <v>-105.222569953</v>
      </c>
      <c r="U343">
        <v>0</v>
      </c>
      <c r="V343">
        <v>0</v>
      </c>
    </row>
    <row r="344" spans="1:22" x14ac:dyDescent="0.2">
      <c r="A344"/>
      <c r="B344">
        <v>21101</v>
      </c>
      <c r="C344" t="s">
        <v>2482</v>
      </c>
      <c r="D344" t="s">
        <v>192</v>
      </c>
      <c r="E344" t="s">
        <v>1272</v>
      </c>
      <c r="F344" t="s">
        <v>2345</v>
      </c>
      <c r="G344">
        <v>539.60967163500004</v>
      </c>
      <c r="H344" t="s">
        <v>248</v>
      </c>
      <c r="Q344">
        <v>2563.1940770699998</v>
      </c>
      <c r="R344">
        <v>23701.907786899999</v>
      </c>
      <c r="S344">
        <v>-6.6049992363100003</v>
      </c>
      <c r="T344">
        <v>-105.222569953</v>
      </c>
      <c r="U344">
        <v>0</v>
      </c>
      <c r="V344">
        <v>0</v>
      </c>
    </row>
    <row r="345" spans="1:22" x14ac:dyDescent="0.2">
      <c r="A345"/>
      <c r="B345">
        <v>21102</v>
      </c>
      <c r="C345" t="s">
        <v>2483</v>
      </c>
      <c r="D345" t="s">
        <v>192</v>
      </c>
      <c r="E345" t="s">
        <v>1272</v>
      </c>
      <c r="F345" t="s">
        <v>2345</v>
      </c>
      <c r="G345">
        <v>539.60967163500004</v>
      </c>
      <c r="H345" t="s">
        <v>248</v>
      </c>
      <c r="Q345">
        <v>2548.1295745699999</v>
      </c>
      <c r="R345">
        <v>23640.3468058</v>
      </c>
      <c r="S345">
        <v>-6.8095203559300002</v>
      </c>
      <c r="T345">
        <v>-98.499255095999999</v>
      </c>
      <c r="U345">
        <v>0</v>
      </c>
      <c r="V345">
        <v>0</v>
      </c>
    </row>
    <row r="346" spans="1:22" x14ac:dyDescent="0.2">
      <c r="A346"/>
      <c r="B346">
        <v>21102</v>
      </c>
      <c r="C346" t="s">
        <v>2483</v>
      </c>
      <c r="D346" t="s">
        <v>192</v>
      </c>
      <c r="E346" t="s">
        <v>1272</v>
      </c>
      <c r="F346" t="s">
        <v>2354</v>
      </c>
      <c r="G346">
        <v>85.327094755800005</v>
      </c>
      <c r="H346" t="s">
        <v>248</v>
      </c>
      <c r="Q346">
        <v>2548.1295745699999</v>
      </c>
      <c r="R346">
        <v>23640.3468058</v>
      </c>
      <c r="S346">
        <v>-6.8095203559300002</v>
      </c>
      <c r="T346">
        <v>-98.499255095999999</v>
      </c>
      <c r="U346">
        <v>0</v>
      </c>
      <c r="V346">
        <v>0</v>
      </c>
    </row>
    <row r="347" spans="1:22" x14ac:dyDescent="0.2">
      <c r="A347"/>
      <c r="B347">
        <v>21102</v>
      </c>
      <c r="C347" t="s">
        <v>2483</v>
      </c>
      <c r="D347" t="s">
        <v>192</v>
      </c>
      <c r="E347" t="s">
        <v>1272</v>
      </c>
      <c r="F347" t="s">
        <v>2425</v>
      </c>
      <c r="G347">
        <v>41</v>
      </c>
      <c r="H347" t="s">
        <v>248</v>
      </c>
      <c r="Q347">
        <v>2548.1295745699999</v>
      </c>
      <c r="R347">
        <v>23640.3468058</v>
      </c>
      <c r="S347">
        <v>-6.8095203559300002</v>
      </c>
      <c r="T347">
        <v>-98.499255095999999</v>
      </c>
      <c r="U347">
        <v>0</v>
      </c>
      <c r="V347">
        <v>0</v>
      </c>
    </row>
    <row r="348" spans="1:22" x14ac:dyDescent="0.2">
      <c r="A348"/>
      <c r="B348">
        <v>21103</v>
      </c>
      <c r="C348" t="s">
        <v>2484</v>
      </c>
      <c r="D348" t="s">
        <v>192</v>
      </c>
      <c r="E348" t="s">
        <v>1272</v>
      </c>
      <c r="F348" t="s">
        <v>2354</v>
      </c>
      <c r="G348">
        <v>85.327094755800005</v>
      </c>
      <c r="H348" t="s">
        <v>248</v>
      </c>
      <c r="Q348">
        <v>2543.1937044400001</v>
      </c>
      <c r="R348">
        <v>23472.792898399999</v>
      </c>
      <c r="S348">
        <v>-9.7590348927000008</v>
      </c>
      <c r="T348">
        <v>-90.940473041199994</v>
      </c>
      <c r="U348">
        <v>0</v>
      </c>
      <c r="V348">
        <v>0</v>
      </c>
    </row>
    <row r="349" spans="1:22" x14ac:dyDescent="0.2">
      <c r="A349"/>
      <c r="B349">
        <v>21103</v>
      </c>
      <c r="C349" t="s">
        <v>2484</v>
      </c>
      <c r="D349" t="s">
        <v>192</v>
      </c>
      <c r="E349" t="s">
        <v>1272</v>
      </c>
      <c r="F349" t="s">
        <v>2354</v>
      </c>
      <c r="G349">
        <v>381.229269784</v>
      </c>
      <c r="H349" t="s">
        <v>248</v>
      </c>
      <c r="Q349">
        <v>2543.1937044400001</v>
      </c>
      <c r="R349">
        <v>23472.792898399999</v>
      </c>
      <c r="S349">
        <v>-9.7590348927000008</v>
      </c>
      <c r="T349">
        <v>-90.940473041199994</v>
      </c>
      <c r="U349">
        <v>0</v>
      </c>
      <c r="V349">
        <v>0</v>
      </c>
    </row>
    <row r="350" spans="1:22" x14ac:dyDescent="0.2">
      <c r="A350"/>
      <c r="B350">
        <v>21104</v>
      </c>
      <c r="C350" t="s">
        <v>2485</v>
      </c>
      <c r="D350" t="s">
        <v>192</v>
      </c>
      <c r="E350" t="s">
        <v>1272</v>
      </c>
      <c r="F350" t="s">
        <v>2449</v>
      </c>
      <c r="G350">
        <v>73</v>
      </c>
      <c r="H350" t="s">
        <v>248</v>
      </c>
      <c r="Q350">
        <v>3387.70015212</v>
      </c>
      <c r="R350">
        <v>32313.3372284</v>
      </c>
      <c r="S350">
        <v>-10.800275902499999</v>
      </c>
      <c r="T350">
        <v>-109.900146405</v>
      </c>
      <c r="U350">
        <v>0</v>
      </c>
      <c r="V350">
        <v>0</v>
      </c>
    </row>
    <row r="351" spans="1:22" x14ac:dyDescent="0.2">
      <c r="A351"/>
      <c r="B351">
        <v>21104</v>
      </c>
      <c r="C351" t="s">
        <v>2485</v>
      </c>
      <c r="D351" t="s">
        <v>192</v>
      </c>
      <c r="E351" t="s">
        <v>1272</v>
      </c>
      <c r="F351" t="s">
        <v>2486</v>
      </c>
      <c r="G351">
        <v>25</v>
      </c>
      <c r="H351" t="s">
        <v>248</v>
      </c>
      <c r="Q351">
        <v>3387.70015212</v>
      </c>
      <c r="R351">
        <v>32313.3372284</v>
      </c>
      <c r="S351">
        <v>-10.800275902499999</v>
      </c>
      <c r="T351">
        <v>-109.900146405</v>
      </c>
      <c r="U351">
        <v>0</v>
      </c>
      <c r="V351">
        <v>0</v>
      </c>
    </row>
    <row r="352" spans="1:22" x14ac:dyDescent="0.2">
      <c r="A352"/>
      <c r="B352">
        <v>21104</v>
      </c>
      <c r="C352" t="s">
        <v>2485</v>
      </c>
      <c r="D352" t="s">
        <v>192</v>
      </c>
      <c r="E352" t="s">
        <v>1272</v>
      </c>
      <c r="F352" t="s">
        <v>1921</v>
      </c>
      <c r="G352">
        <v>0</v>
      </c>
      <c r="H352" t="s">
        <v>248</v>
      </c>
      <c r="Q352">
        <v>3387.70015212</v>
      </c>
      <c r="R352">
        <v>32313.3372284</v>
      </c>
      <c r="S352">
        <v>-10.800275902499999</v>
      </c>
      <c r="T352">
        <v>-109.900146405</v>
      </c>
      <c r="U352">
        <v>0</v>
      </c>
      <c r="V352">
        <v>0</v>
      </c>
    </row>
    <row r="353" spans="1:22" x14ac:dyDescent="0.2">
      <c r="A353"/>
      <c r="B353">
        <v>21105</v>
      </c>
      <c r="C353" t="s">
        <v>2487</v>
      </c>
      <c r="D353" t="s">
        <v>192</v>
      </c>
      <c r="E353" t="s">
        <v>1272</v>
      </c>
      <c r="F353" t="s">
        <v>1921</v>
      </c>
      <c r="G353">
        <v>0</v>
      </c>
      <c r="H353" t="s">
        <v>248</v>
      </c>
      <c r="Q353">
        <v>3374.8552301700001</v>
      </c>
      <c r="R353">
        <v>32266.909906000001</v>
      </c>
      <c r="S353">
        <v>-10.7906130752</v>
      </c>
      <c r="T353">
        <v>-101.028804411</v>
      </c>
      <c r="U353">
        <v>0</v>
      </c>
      <c r="V353">
        <v>0</v>
      </c>
    </row>
    <row r="354" spans="1:22" x14ac:dyDescent="0.2">
      <c r="A354"/>
      <c r="B354">
        <v>21105</v>
      </c>
      <c r="C354" t="s">
        <v>2487</v>
      </c>
      <c r="D354" t="s">
        <v>192</v>
      </c>
      <c r="E354" t="s">
        <v>1272</v>
      </c>
      <c r="F354" t="s">
        <v>1921</v>
      </c>
      <c r="G354">
        <v>216</v>
      </c>
      <c r="H354" t="s">
        <v>248</v>
      </c>
      <c r="Q354">
        <v>3374.8552301700001</v>
      </c>
      <c r="R354">
        <v>32266.909906000001</v>
      </c>
      <c r="S354">
        <v>-10.7906130752</v>
      </c>
      <c r="T354">
        <v>-101.028804411</v>
      </c>
      <c r="U354">
        <v>0</v>
      </c>
      <c r="V354">
        <v>0</v>
      </c>
    </row>
    <row r="355" spans="1:22" x14ac:dyDescent="0.2">
      <c r="A355"/>
      <c r="B355">
        <v>21106</v>
      </c>
      <c r="C355" t="s">
        <v>2488</v>
      </c>
      <c r="D355" t="s">
        <v>192</v>
      </c>
      <c r="E355" t="s">
        <v>1272</v>
      </c>
      <c r="F355" t="s">
        <v>1921</v>
      </c>
      <c r="G355">
        <v>216</v>
      </c>
      <c r="H355" t="s">
        <v>248</v>
      </c>
      <c r="Q355">
        <v>3327.5803970900001</v>
      </c>
      <c r="R355">
        <v>32056.169569000002</v>
      </c>
      <c r="S355">
        <v>-10.7918475045</v>
      </c>
      <c r="T355">
        <v>-103.572324334</v>
      </c>
      <c r="U355">
        <v>0</v>
      </c>
      <c r="V355">
        <v>0</v>
      </c>
    </row>
    <row r="356" spans="1:22" x14ac:dyDescent="0.2">
      <c r="A356"/>
      <c r="B356">
        <v>21106</v>
      </c>
      <c r="C356" t="s">
        <v>2488</v>
      </c>
      <c r="D356" t="s">
        <v>192</v>
      </c>
      <c r="E356" t="s">
        <v>1272</v>
      </c>
      <c r="F356" t="s">
        <v>1921</v>
      </c>
      <c r="G356">
        <v>266</v>
      </c>
      <c r="H356" t="s">
        <v>248</v>
      </c>
      <c r="Q356">
        <v>3327.5803970900001</v>
      </c>
      <c r="R356">
        <v>32056.169569000002</v>
      </c>
      <c r="S356">
        <v>-10.7918475045</v>
      </c>
      <c r="T356">
        <v>-103.572324334</v>
      </c>
      <c r="U356">
        <v>0</v>
      </c>
      <c r="V356">
        <v>0</v>
      </c>
    </row>
    <row r="357" spans="1:22" x14ac:dyDescent="0.2">
      <c r="A357"/>
      <c r="B357">
        <v>21107</v>
      </c>
      <c r="C357" t="s">
        <v>2489</v>
      </c>
      <c r="D357" t="s">
        <v>192</v>
      </c>
      <c r="E357" t="s">
        <v>1272</v>
      </c>
      <c r="F357" t="s">
        <v>1921</v>
      </c>
      <c r="G357">
        <v>266</v>
      </c>
      <c r="H357" t="s">
        <v>248</v>
      </c>
      <c r="Q357">
        <v>3315.7283157000002</v>
      </c>
      <c r="R357">
        <v>32007.5946454</v>
      </c>
      <c r="S357">
        <v>-10.792203584499999</v>
      </c>
      <c r="T357">
        <v>-103.851970599</v>
      </c>
      <c r="U357">
        <v>0</v>
      </c>
      <c r="V357">
        <v>0</v>
      </c>
    </row>
    <row r="358" spans="1:22" x14ac:dyDescent="0.2">
      <c r="A358"/>
      <c r="B358">
        <v>21107</v>
      </c>
      <c r="C358" t="s">
        <v>2489</v>
      </c>
      <c r="D358" t="s">
        <v>192</v>
      </c>
      <c r="E358" t="s">
        <v>1272</v>
      </c>
      <c r="F358" t="s">
        <v>2360</v>
      </c>
      <c r="G358">
        <v>15</v>
      </c>
      <c r="H358" t="s">
        <v>248</v>
      </c>
      <c r="Q358">
        <v>3315.7283157000002</v>
      </c>
      <c r="R358">
        <v>32007.5946454</v>
      </c>
      <c r="S358">
        <v>-10.792203584499999</v>
      </c>
      <c r="T358">
        <v>-103.851970599</v>
      </c>
      <c r="U358">
        <v>0</v>
      </c>
      <c r="V358">
        <v>0</v>
      </c>
    </row>
    <row r="359" spans="1:22" x14ac:dyDescent="0.2">
      <c r="A359"/>
      <c r="B359">
        <v>21107</v>
      </c>
      <c r="C359" t="s">
        <v>2489</v>
      </c>
      <c r="D359" t="s">
        <v>192</v>
      </c>
      <c r="E359" t="s">
        <v>1272</v>
      </c>
      <c r="F359" t="s">
        <v>2454</v>
      </c>
      <c r="G359">
        <v>72</v>
      </c>
      <c r="H359" t="s">
        <v>248</v>
      </c>
      <c r="Q359">
        <v>3315.7283157000002</v>
      </c>
      <c r="R359">
        <v>32007.5946454</v>
      </c>
      <c r="S359">
        <v>-10.792203584499999</v>
      </c>
      <c r="T359">
        <v>-103.851970599</v>
      </c>
      <c r="U359">
        <v>0</v>
      </c>
      <c r="V359">
        <v>0</v>
      </c>
    </row>
    <row r="360" spans="1:22" x14ac:dyDescent="0.2">
      <c r="A360"/>
      <c r="B360">
        <v>21108</v>
      </c>
      <c r="C360" t="s">
        <v>2490</v>
      </c>
      <c r="D360" t="s">
        <v>192</v>
      </c>
      <c r="E360" t="s">
        <v>1272</v>
      </c>
      <c r="F360" t="s">
        <v>2360</v>
      </c>
      <c r="G360">
        <v>15</v>
      </c>
      <c r="H360" t="s">
        <v>248</v>
      </c>
      <c r="Q360">
        <v>3289.3813591600001</v>
      </c>
      <c r="R360">
        <v>31904.505560900001</v>
      </c>
      <c r="S360">
        <v>-10.787514739500001</v>
      </c>
      <c r="T360">
        <v>-103.79399974</v>
      </c>
      <c r="U360">
        <v>0</v>
      </c>
      <c r="V360">
        <v>0</v>
      </c>
    </row>
    <row r="361" spans="1:22" x14ac:dyDescent="0.2">
      <c r="A361"/>
      <c r="B361">
        <v>21108</v>
      </c>
      <c r="C361" t="s">
        <v>2490</v>
      </c>
      <c r="D361" t="s">
        <v>192</v>
      </c>
      <c r="E361" t="s">
        <v>1272</v>
      </c>
      <c r="F361" t="s">
        <v>2360</v>
      </c>
      <c r="G361">
        <v>349</v>
      </c>
      <c r="H361" t="s">
        <v>248</v>
      </c>
      <c r="Q361">
        <v>3289.3813591600001</v>
      </c>
      <c r="R361">
        <v>31904.505560900001</v>
      </c>
      <c r="S361">
        <v>-10.787514739500001</v>
      </c>
      <c r="T361">
        <v>-103.79399974</v>
      </c>
      <c r="U361">
        <v>0</v>
      </c>
      <c r="V361">
        <v>0</v>
      </c>
    </row>
    <row r="362" spans="1:22" x14ac:dyDescent="0.2">
      <c r="A362"/>
      <c r="B362">
        <v>21109</v>
      </c>
      <c r="C362" t="s">
        <v>2491</v>
      </c>
      <c r="D362" t="s">
        <v>192</v>
      </c>
      <c r="E362" t="s">
        <v>1272</v>
      </c>
      <c r="F362" t="s">
        <v>2360</v>
      </c>
      <c r="G362">
        <v>349</v>
      </c>
      <c r="H362" t="s">
        <v>248</v>
      </c>
      <c r="Q362">
        <v>3242.5598016099998</v>
      </c>
      <c r="R362">
        <v>31574.3051571</v>
      </c>
      <c r="S362">
        <v>-10.785599251200001</v>
      </c>
      <c r="T362">
        <v>-94.001997894499993</v>
      </c>
      <c r="U362">
        <v>0</v>
      </c>
      <c r="V362">
        <v>0</v>
      </c>
    </row>
    <row r="363" spans="1:22" x14ac:dyDescent="0.2">
      <c r="A363"/>
      <c r="B363">
        <v>21109</v>
      </c>
      <c r="C363" t="s">
        <v>2491</v>
      </c>
      <c r="D363" t="s">
        <v>192</v>
      </c>
      <c r="E363" t="s">
        <v>1272</v>
      </c>
      <c r="F363" t="s">
        <v>2492</v>
      </c>
      <c r="G363">
        <v>41</v>
      </c>
      <c r="H363" t="s">
        <v>248</v>
      </c>
      <c r="Q363">
        <v>3242.5598016099998</v>
      </c>
      <c r="R363">
        <v>31574.3051571</v>
      </c>
      <c r="S363">
        <v>-10.785599251200001</v>
      </c>
      <c r="T363">
        <v>-94.001997894499993</v>
      </c>
      <c r="U363">
        <v>0</v>
      </c>
      <c r="V363">
        <v>0</v>
      </c>
    </row>
    <row r="364" spans="1:22" x14ac:dyDescent="0.2">
      <c r="A364"/>
      <c r="B364">
        <v>21109</v>
      </c>
      <c r="C364" t="s">
        <v>2491</v>
      </c>
      <c r="D364" t="s">
        <v>192</v>
      </c>
      <c r="E364" t="s">
        <v>1272</v>
      </c>
      <c r="F364" t="s">
        <v>1923</v>
      </c>
      <c r="G364">
        <v>15</v>
      </c>
      <c r="H364" t="s">
        <v>12</v>
      </c>
      <c r="Q364">
        <v>3242.5598016099998</v>
      </c>
      <c r="R364">
        <v>31574.3051571</v>
      </c>
      <c r="S364">
        <v>-10.785599251200001</v>
      </c>
      <c r="T364">
        <v>-94.001997894499993</v>
      </c>
      <c r="U364">
        <v>0</v>
      </c>
      <c r="V364">
        <v>0</v>
      </c>
    </row>
    <row r="365" spans="1:22" x14ac:dyDescent="0.2">
      <c r="A365"/>
      <c r="B365">
        <v>21110</v>
      </c>
      <c r="C365" t="s">
        <v>2493</v>
      </c>
      <c r="D365" t="s">
        <v>192</v>
      </c>
      <c r="E365" t="s">
        <v>1272</v>
      </c>
      <c r="F365" t="s">
        <v>1923</v>
      </c>
      <c r="G365">
        <v>15</v>
      </c>
      <c r="H365" t="s">
        <v>248</v>
      </c>
      <c r="Q365">
        <v>3237.9372266400001</v>
      </c>
      <c r="R365">
        <v>31507.5440242</v>
      </c>
      <c r="S365">
        <v>-10.872931534699999</v>
      </c>
      <c r="T365">
        <v>-94.691828578499994</v>
      </c>
      <c r="U365">
        <v>0</v>
      </c>
      <c r="V365">
        <v>0</v>
      </c>
    </row>
    <row r="366" spans="1:22" x14ac:dyDescent="0.2">
      <c r="A366"/>
      <c r="B366">
        <v>21110</v>
      </c>
      <c r="C366" t="s">
        <v>2493</v>
      </c>
      <c r="D366" t="s">
        <v>192</v>
      </c>
      <c r="E366" t="s">
        <v>1272</v>
      </c>
      <c r="F366" t="s">
        <v>1923</v>
      </c>
      <c r="G366">
        <v>35</v>
      </c>
      <c r="H366" t="s">
        <v>248</v>
      </c>
      <c r="Q366">
        <v>3237.9372266400001</v>
      </c>
      <c r="R366">
        <v>31507.5440242</v>
      </c>
      <c r="S366">
        <v>-10.872931534699999</v>
      </c>
      <c r="T366">
        <v>-94.691828578499994</v>
      </c>
      <c r="U366">
        <v>0</v>
      </c>
      <c r="V366">
        <v>0</v>
      </c>
    </row>
    <row r="367" spans="1:22" x14ac:dyDescent="0.2">
      <c r="A367"/>
      <c r="B367">
        <v>21111</v>
      </c>
      <c r="C367" t="s">
        <v>2494</v>
      </c>
      <c r="D367" t="s">
        <v>192</v>
      </c>
      <c r="E367" t="s">
        <v>1272</v>
      </c>
      <c r="F367" t="s">
        <v>1923</v>
      </c>
      <c r="G367">
        <v>35</v>
      </c>
      <c r="H367" t="s">
        <v>248</v>
      </c>
      <c r="Q367">
        <v>3236.1734648699999</v>
      </c>
      <c r="R367">
        <v>31487.6228491</v>
      </c>
      <c r="S367">
        <v>-11.0475601444</v>
      </c>
      <c r="T367">
        <v>-95.439095875700005</v>
      </c>
      <c r="U367">
        <v>0</v>
      </c>
      <c r="V367">
        <v>0</v>
      </c>
    </row>
    <row r="368" spans="1:22" x14ac:dyDescent="0.2">
      <c r="A368"/>
      <c r="B368">
        <v>21111</v>
      </c>
      <c r="C368" t="s">
        <v>2494</v>
      </c>
      <c r="D368" t="s">
        <v>192</v>
      </c>
      <c r="E368" t="s">
        <v>1272</v>
      </c>
      <c r="F368" t="s">
        <v>1923</v>
      </c>
      <c r="G368">
        <v>311</v>
      </c>
      <c r="H368" t="s">
        <v>248</v>
      </c>
      <c r="Q368">
        <v>3236.1734648699999</v>
      </c>
      <c r="R368">
        <v>31487.6228491</v>
      </c>
      <c r="S368">
        <v>-11.0475601444</v>
      </c>
      <c r="T368">
        <v>-95.439095875700005</v>
      </c>
      <c r="U368">
        <v>0</v>
      </c>
      <c r="V368">
        <v>0</v>
      </c>
    </row>
    <row r="369" spans="1:22" x14ac:dyDescent="0.2">
      <c r="A369"/>
      <c r="B369">
        <v>21112</v>
      </c>
      <c r="C369" t="s">
        <v>2495</v>
      </c>
      <c r="D369" t="s">
        <v>192</v>
      </c>
      <c r="E369" t="s">
        <v>1272</v>
      </c>
      <c r="F369" t="s">
        <v>1923</v>
      </c>
      <c r="G369">
        <v>311</v>
      </c>
      <c r="H369" t="s">
        <v>248</v>
      </c>
      <c r="Q369">
        <v>3059.3252821299998</v>
      </c>
      <c r="R369">
        <v>31301.3630959</v>
      </c>
      <c r="S369">
        <v>-15.742078859499999</v>
      </c>
      <c r="T369">
        <v>-154.875856809</v>
      </c>
      <c r="U369">
        <v>0</v>
      </c>
      <c r="V369">
        <v>0</v>
      </c>
    </row>
    <row r="370" spans="1:22" x14ac:dyDescent="0.2">
      <c r="A370"/>
      <c r="B370">
        <v>21112</v>
      </c>
      <c r="C370" t="s">
        <v>2495</v>
      </c>
      <c r="D370" t="s">
        <v>192</v>
      </c>
      <c r="E370" t="s">
        <v>1272</v>
      </c>
      <c r="F370" t="s">
        <v>1923</v>
      </c>
      <c r="G370">
        <v>329</v>
      </c>
      <c r="H370" t="s">
        <v>248</v>
      </c>
      <c r="Q370">
        <v>3059.3252821299998</v>
      </c>
      <c r="R370">
        <v>31301.3630959</v>
      </c>
      <c r="S370">
        <v>-15.742078859499999</v>
      </c>
      <c r="T370">
        <v>-154.875856809</v>
      </c>
      <c r="U370">
        <v>0</v>
      </c>
      <c r="V370">
        <v>0</v>
      </c>
    </row>
    <row r="371" spans="1:22" x14ac:dyDescent="0.2">
      <c r="A371"/>
      <c r="B371">
        <v>21113</v>
      </c>
      <c r="C371" t="s">
        <v>2496</v>
      </c>
      <c r="D371" t="s">
        <v>192</v>
      </c>
      <c r="E371" t="s">
        <v>1272</v>
      </c>
      <c r="F371" t="s">
        <v>2458</v>
      </c>
      <c r="G371">
        <v>41</v>
      </c>
      <c r="H371" t="s">
        <v>248</v>
      </c>
      <c r="Q371">
        <v>3254.5345364899999</v>
      </c>
      <c r="R371">
        <v>31643.223473499998</v>
      </c>
      <c r="S371">
        <v>-10.7890709432</v>
      </c>
      <c r="T371">
        <v>-101.105252228</v>
      </c>
      <c r="U371">
        <v>0</v>
      </c>
      <c r="V371">
        <v>0</v>
      </c>
    </row>
    <row r="372" spans="1:22" x14ac:dyDescent="0.2">
      <c r="A372"/>
      <c r="B372">
        <v>21113</v>
      </c>
      <c r="C372" t="s">
        <v>2496</v>
      </c>
      <c r="D372" t="s">
        <v>192</v>
      </c>
      <c r="E372" t="s">
        <v>1272</v>
      </c>
      <c r="F372" t="s">
        <v>2497</v>
      </c>
      <c r="G372">
        <v>15</v>
      </c>
      <c r="H372" t="s">
        <v>248</v>
      </c>
      <c r="Q372">
        <v>3254.5345364899999</v>
      </c>
      <c r="R372">
        <v>31643.223473499998</v>
      </c>
      <c r="S372">
        <v>-10.7890709432</v>
      </c>
      <c r="T372">
        <v>-101.105252228</v>
      </c>
      <c r="U372">
        <v>0</v>
      </c>
      <c r="V372">
        <v>0</v>
      </c>
    </row>
    <row r="373" spans="1:22" x14ac:dyDescent="0.2">
      <c r="A373"/>
      <c r="B373">
        <v>21113</v>
      </c>
      <c r="C373" t="s">
        <v>2496</v>
      </c>
      <c r="D373" t="s">
        <v>192</v>
      </c>
      <c r="E373" t="s">
        <v>1272</v>
      </c>
      <c r="F373" t="s">
        <v>2492</v>
      </c>
      <c r="G373">
        <v>41</v>
      </c>
      <c r="H373" t="s">
        <v>248</v>
      </c>
      <c r="Q373">
        <v>3254.5345364899999</v>
      </c>
      <c r="R373">
        <v>31643.223473499998</v>
      </c>
      <c r="S373">
        <v>-10.7890709432</v>
      </c>
      <c r="T373">
        <v>-101.105252228</v>
      </c>
      <c r="U373">
        <v>0</v>
      </c>
      <c r="V373">
        <v>0</v>
      </c>
    </row>
    <row r="374" spans="1:22" x14ac:dyDescent="0.2">
      <c r="A374"/>
      <c r="B374">
        <v>21113</v>
      </c>
      <c r="C374" t="s">
        <v>2496</v>
      </c>
      <c r="D374" t="s">
        <v>192</v>
      </c>
      <c r="E374" t="s">
        <v>1272</v>
      </c>
      <c r="F374" t="s">
        <v>1922</v>
      </c>
      <c r="G374">
        <v>77</v>
      </c>
      <c r="H374" t="s">
        <v>248</v>
      </c>
      <c r="Q374">
        <v>3254.5345364899999</v>
      </c>
      <c r="R374">
        <v>31643.223473499998</v>
      </c>
      <c r="S374">
        <v>-10.7890709432</v>
      </c>
      <c r="T374">
        <v>-101.105252228</v>
      </c>
      <c r="U374">
        <v>0</v>
      </c>
      <c r="V374">
        <v>0</v>
      </c>
    </row>
    <row r="375" spans="1:22" x14ac:dyDescent="0.2">
      <c r="A375"/>
      <c r="B375">
        <v>21114</v>
      </c>
      <c r="C375" t="s">
        <v>2498</v>
      </c>
      <c r="D375" t="s">
        <v>192</v>
      </c>
      <c r="E375" t="s">
        <v>1272</v>
      </c>
      <c r="F375" t="s">
        <v>1922</v>
      </c>
      <c r="G375">
        <v>77</v>
      </c>
      <c r="H375" t="s">
        <v>248</v>
      </c>
      <c r="Q375">
        <v>3243.53653089</v>
      </c>
      <c r="R375">
        <v>31524.248444000001</v>
      </c>
      <c r="S375">
        <v>-10.793297625299999</v>
      </c>
      <c r="T375">
        <v>-94.9820177645</v>
      </c>
      <c r="U375">
        <v>0</v>
      </c>
      <c r="V375">
        <v>0</v>
      </c>
    </row>
    <row r="376" spans="1:22" x14ac:dyDescent="0.2">
      <c r="A376"/>
      <c r="B376">
        <v>21114</v>
      </c>
      <c r="C376" t="s">
        <v>2498</v>
      </c>
      <c r="D376" t="s">
        <v>192</v>
      </c>
      <c r="E376" t="s">
        <v>1272</v>
      </c>
      <c r="F376" t="s">
        <v>1922</v>
      </c>
      <c r="G376">
        <v>115</v>
      </c>
      <c r="H376" t="s">
        <v>248</v>
      </c>
      <c r="Q376">
        <v>3243.53653089</v>
      </c>
      <c r="R376">
        <v>31524.248444000001</v>
      </c>
      <c r="S376">
        <v>-10.793297625299999</v>
      </c>
      <c r="T376">
        <v>-94.9820177645</v>
      </c>
      <c r="U376">
        <v>0</v>
      </c>
      <c r="V376">
        <v>0</v>
      </c>
    </row>
    <row r="377" spans="1:22" x14ac:dyDescent="0.2">
      <c r="A377"/>
      <c r="B377">
        <v>21115</v>
      </c>
      <c r="C377" t="s">
        <v>2499</v>
      </c>
      <c r="D377" t="s">
        <v>192</v>
      </c>
      <c r="E377" t="s">
        <v>1272</v>
      </c>
      <c r="F377" t="s">
        <v>1922</v>
      </c>
      <c r="G377">
        <v>115</v>
      </c>
      <c r="H377" t="s">
        <v>248</v>
      </c>
      <c r="Q377">
        <v>3239.9927151799998</v>
      </c>
      <c r="R377">
        <v>31486.415187099999</v>
      </c>
      <c r="S377">
        <v>-11.036080785399999</v>
      </c>
      <c r="T377">
        <v>-95.784754965800005</v>
      </c>
      <c r="U377">
        <v>0</v>
      </c>
      <c r="V377">
        <v>0</v>
      </c>
    </row>
    <row r="378" spans="1:22" x14ac:dyDescent="0.2">
      <c r="A378"/>
      <c r="B378">
        <v>21115</v>
      </c>
      <c r="C378" t="s">
        <v>2499</v>
      </c>
      <c r="D378" t="s">
        <v>192</v>
      </c>
      <c r="E378" t="s">
        <v>1272</v>
      </c>
      <c r="F378" t="s">
        <v>1922</v>
      </c>
      <c r="G378">
        <v>395</v>
      </c>
      <c r="H378" t="s">
        <v>248</v>
      </c>
      <c r="Q378">
        <v>3239.9927151799998</v>
      </c>
      <c r="R378">
        <v>31486.415187099999</v>
      </c>
      <c r="S378">
        <v>-11.036080785399999</v>
      </c>
      <c r="T378">
        <v>-95.784754965800005</v>
      </c>
      <c r="U378">
        <v>0</v>
      </c>
      <c r="V378">
        <v>0</v>
      </c>
    </row>
    <row r="379" spans="1:22" x14ac:dyDescent="0.2">
      <c r="A379"/>
      <c r="B379">
        <v>21116</v>
      </c>
      <c r="C379" t="s">
        <v>2500</v>
      </c>
      <c r="D379" t="s">
        <v>192</v>
      </c>
      <c r="E379" t="s">
        <v>1272</v>
      </c>
      <c r="F379" t="s">
        <v>1922</v>
      </c>
      <c r="G379">
        <v>395</v>
      </c>
      <c r="H379" t="s">
        <v>248</v>
      </c>
      <c r="Q379">
        <v>3061.3408709599998</v>
      </c>
      <c r="R379">
        <v>31297.277716500001</v>
      </c>
      <c r="S379">
        <v>-15.753402494099999</v>
      </c>
      <c r="T379">
        <v>-154.57397816299999</v>
      </c>
      <c r="U379">
        <v>0</v>
      </c>
      <c r="V379">
        <v>0</v>
      </c>
    </row>
    <row r="380" spans="1:22" x14ac:dyDescent="0.2">
      <c r="A380"/>
      <c r="B380">
        <v>21116</v>
      </c>
      <c r="C380" t="s">
        <v>2500</v>
      </c>
      <c r="D380" t="s">
        <v>192</v>
      </c>
      <c r="E380" t="s">
        <v>1272</v>
      </c>
      <c r="F380" t="s">
        <v>1922</v>
      </c>
      <c r="G380">
        <v>409</v>
      </c>
      <c r="H380" t="s">
        <v>248</v>
      </c>
      <c r="Q380">
        <v>3061.3408709599998</v>
      </c>
      <c r="R380">
        <v>31297.277716500001</v>
      </c>
      <c r="S380">
        <v>-15.753402494099999</v>
      </c>
      <c r="T380">
        <v>-154.57397816299999</v>
      </c>
      <c r="U380">
        <v>0</v>
      </c>
      <c r="V380">
        <v>0</v>
      </c>
    </row>
    <row r="381" spans="1:22" x14ac:dyDescent="0.2">
      <c r="A381"/>
      <c r="B381">
        <v>22000</v>
      </c>
      <c r="C381" t="s">
        <v>2501</v>
      </c>
      <c r="D381" t="s">
        <v>928</v>
      </c>
      <c r="E381" t="s">
        <v>1090</v>
      </c>
      <c r="F381" t="s">
        <v>2310</v>
      </c>
      <c r="G381">
        <v>205.29328647299999</v>
      </c>
      <c r="H381" t="s">
        <v>12</v>
      </c>
      <c r="Q381">
        <v>7185.3686422600003</v>
      </c>
      <c r="R381">
        <v>37211.169920799999</v>
      </c>
      <c r="S381">
        <v>-11.6660957062</v>
      </c>
      <c r="T381">
        <v>75.766747505500007</v>
      </c>
      <c r="U381">
        <v>0</v>
      </c>
      <c r="V381">
        <v>0</v>
      </c>
    </row>
    <row r="382" spans="1:22" x14ac:dyDescent="0.2">
      <c r="A382"/>
      <c r="B382">
        <v>22001</v>
      </c>
      <c r="C382" t="s">
        <v>2502</v>
      </c>
      <c r="D382" t="s">
        <v>928</v>
      </c>
      <c r="E382" t="s">
        <v>1090</v>
      </c>
      <c r="F382" t="s">
        <v>2310</v>
      </c>
      <c r="G382">
        <v>250.24072045</v>
      </c>
      <c r="H382" t="s">
        <v>12</v>
      </c>
      <c r="Q382">
        <v>7191.3885840200001</v>
      </c>
      <c r="R382">
        <v>37255.6099521</v>
      </c>
      <c r="S382">
        <v>-12.287229760100001</v>
      </c>
      <c r="T382">
        <v>88.826365477099998</v>
      </c>
      <c r="U382">
        <v>0</v>
      </c>
      <c r="V382">
        <v>0</v>
      </c>
    </row>
    <row r="383" spans="1:22" x14ac:dyDescent="0.2">
      <c r="A383"/>
      <c r="B383">
        <v>22002</v>
      </c>
      <c r="C383" t="s">
        <v>2503</v>
      </c>
      <c r="D383" t="s">
        <v>928</v>
      </c>
      <c r="E383" t="s">
        <v>1090</v>
      </c>
      <c r="F383" t="s">
        <v>2313</v>
      </c>
      <c r="G383">
        <v>2.5048369830300001</v>
      </c>
      <c r="H383" t="s">
        <v>1270</v>
      </c>
      <c r="Q383">
        <v>3516.6657626199999</v>
      </c>
      <c r="R383">
        <v>32728.528028500001</v>
      </c>
      <c r="S383">
        <v>-11.2873825299</v>
      </c>
      <c r="T383">
        <v>65.188420140600002</v>
      </c>
      <c r="U383">
        <v>0</v>
      </c>
      <c r="V383">
        <v>0</v>
      </c>
    </row>
    <row r="384" spans="1:22" x14ac:dyDescent="0.2">
      <c r="A384"/>
      <c r="B384">
        <v>22003</v>
      </c>
      <c r="C384" t="s">
        <v>2504</v>
      </c>
      <c r="D384" t="s">
        <v>928</v>
      </c>
      <c r="E384" t="s">
        <v>1090</v>
      </c>
      <c r="F384" t="s">
        <v>2313</v>
      </c>
      <c r="G384">
        <v>52.645329255</v>
      </c>
      <c r="H384" t="s">
        <v>1270</v>
      </c>
      <c r="Q384">
        <v>3495.56780415</v>
      </c>
      <c r="R384">
        <v>32683.042381300002</v>
      </c>
      <c r="S384">
        <v>-11.2802610334</v>
      </c>
      <c r="T384">
        <v>65.070875583700001</v>
      </c>
      <c r="U384">
        <v>0</v>
      </c>
      <c r="V384">
        <v>0</v>
      </c>
    </row>
    <row r="385" spans="1:22" x14ac:dyDescent="0.2">
      <c r="A385"/>
      <c r="B385">
        <v>22004</v>
      </c>
      <c r="C385" t="s">
        <v>2505</v>
      </c>
      <c r="D385" t="s">
        <v>928</v>
      </c>
      <c r="E385" t="s">
        <v>1090</v>
      </c>
      <c r="F385" t="s">
        <v>2322</v>
      </c>
      <c r="G385">
        <v>80.362985414700006</v>
      </c>
      <c r="H385" t="s">
        <v>1270</v>
      </c>
      <c r="Q385">
        <v>3479.4009650900002</v>
      </c>
      <c r="R385">
        <v>32660.134494000002</v>
      </c>
      <c r="S385">
        <v>-11.2667055786</v>
      </c>
      <c r="T385">
        <v>65.192893838299995</v>
      </c>
      <c r="U385">
        <v>0</v>
      </c>
      <c r="V385">
        <v>0</v>
      </c>
    </row>
    <row r="386" spans="1:22" x14ac:dyDescent="0.2">
      <c r="A386"/>
      <c r="B386">
        <v>22005</v>
      </c>
      <c r="C386" t="s">
        <v>2506</v>
      </c>
      <c r="D386" t="s">
        <v>928</v>
      </c>
      <c r="E386" t="s">
        <v>1090</v>
      </c>
      <c r="F386" t="s">
        <v>2322</v>
      </c>
      <c r="G386">
        <v>128.555544957</v>
      </c>
      <c r="H386" t="s">
        <v>1270</v>
      </c>
      <c r="Q386">
        <v>3459.4508907099998</v>
      </c>
      <c r="R386">
        <v>32616.267407399999</v>
      </c>
      <c r="S386">
        <v>-11.061027109599999</v>
      </c>
      <c r="T386">
        <v>66.957604093399993</v>
      </c>
      <c r="U386">
        <v>0</v>
      </c>
      <c r="V386">
        <v>0</v>
      </c>
    </row>
    <row r="387" spans="1:22" x14ac:dyDescent="0.2">
      <c r="A387"/>
      <c r="B387">
        <v>22006</v>
      </c>
      <c r="C387" t="s">
        <v>2507</v>
      </c>
      <c r="D387" t="s">
        <v>928</v>
      </c>
      <c r="E387" t="s">
        <v>1090</v>
      </c>
      <c r="F387" t="s">
        <v>2330</v>
      </c>
      <c r="G387">
        <v>64.951151342700001</v>
      </c>
      <c r="H387" t="s">
        <v>1270</v>
      </c>
      <c r="Q387">
        <v>3293.4619709399999</v>
      </c>
      <c r="R387">
        <v>31873.612338800001</v>
      </c>
      <c r="S387">
        <v>-10.7933228621</v>
      </c>
      <c r="T387">
        <v>75.452744324500003</v>
      </c>
      <c r="U387">
        <v>0</v>
      </c>
      <c r="V387">
        <v>0</v>
      </c>
    </row>
    <row r="388" spans="1:22" x14ac:dyDescent="0.2">
      <c r="A388"/>
      <c r="B388">
        <v>22007</v>
      </c>
      <c r="C388" t="s">
        <v>2508</v>
      </c>
      <c r="D388" t="s">
        <v>928</v>
      </c>
      <c r="E388" t="s">
        <v>1090</v>
      </c>
      <c r="F388" t="s">
        <v>2330</v>
      </c>
      <c r="G388">
        <v>108.082554755</v>
      </c>
      <c r="H388" t="s">
        <v>1270</v>
      </c>
      <c r="Q388">
        <v>3282.7223502900001</v>
      </c>
      <c r="R388">
        <v>31831.8395929</v>
      </c>
      <c r="S388">
        <v>-10.796030907900001</v>
      </c>
      <c r="T388">
        <v>76.1479498498</v>
      </c>
      <c r="U388">
        <v>0</v>
      </c>
      <c r="V388">
        <v>0</v>
      </c>
    </row>
    <row r="389" spans="1:22" x14ac:dyDescent="0.2">
      <c r="A389"/>
      <c r="B389">
        <v>22008</v>
      </c>
      <c r="C389" t="s">
        <v>2509</v>
      </c>
      <c r="D389" t="s">
        <v>928</v>
      </c>
      <c r="E389" t="s">
        <v>1090</v>
      </c>
      <c r="F389" t="s">
        <v>2330</v>
      </c>
      <c r="G389">
        <v>149.95313616499999</v>
      </c>
      <c r="H389" t="s">
        <v>12</v>
      </c>
      <c r="Q389">
        <v>3273.7994680699999</v>
      </c>
      <c r="R389">
        <v>31790.935953299999</v>
      </c>
      <c r="S389">
        <v>-10.788675849700001</v>
      </c>
      <c r="T389">
        <v>-100.799113194</v>
      </c>
      <c r="U389">
        <v>0</v>
      </c>
      <c r="V389">
        <v>0</v>
      </c>
    </row>
    <row r="390" spans="1:22" x14ac:dyDescent="0.2">
      <c r="A390"/>
      <c r="B390">
        <v>22009</v>
      </c>
      <c r="C390" t="s">
        <v>2510</v>
      </c>
      <c r="D390" t="s">
        <v>928</v>
      </c>
      <c r="E390" t="s">
        <v>1090</v>
      </c>
      <c r="F390" t="s">
        <v>2330</v>
      </c>
      <c r="G390">
        <v>193.084539578</v>
      </c>
      <c r="H390" t="s">
        <v>12</v>
      </c>
      <c r="Q390">
        <v>3266.7928556100001</v>
      </c>
      <c r="R390">
        <v>31748.382141599999</v>
      </c>
      <c r="S390">
        <v>-10.7926583255</v>
      </c>
      <c r="T390">
        <v>-97.8214100653</v>
      </c>
      <c r="U390">
        <v>0</v>
      </c>
      <c r="V390">
        <v>0</v>
      </c>
    </row>
    <row r="391" spans="1:22" x14ac:dyDescent="0.2">
      <c r="A391"/>
      <c r="B391">
        <v>22010</v>
      </c>
      <c r="C391" t="s">
        <v>2511</v>
      </c>
      <c r="D391" t="s">
        <v>928</v>
      </c>
      <c r="E391" t="s">
        <v>1085</v>
      </c>
      <c r="F391" t="s">
        <v>2350</v>
      </c>
      <c r="G391">
        <v>114.72253783399999</v>
      </c>
      <c r="H391" t="s">
        <v>12</v>
      </c>
      <c r="Q391">
        <v>2530.46351491</v>
      </c>
      <c r="R391">
        <v>23366.785773600001</v>
      </c>
      <c r="S391">
        <v>-11.6979036797</v>
      </c>
      <c r="T391">
        <v>-113.898248028</v>
      </c>
      <c r="U391">
        <v>0</v>
      </c>
      <c r="V391">
        <v>0</v>
      </c>
    </row>
    <row r="392" spans="1:22" x14ac:dyDescent="0.2">
      <c r="A392"/>
      <c r="B392">
        <v>22011</v>
      </c>
      <c r="C392" t="s">
        <v>2512</v>
      </c>
      <c r="D392" t="s">
        <v>928</v>
      </c>
      <c r="E392" t="s">
        <v>1085</v>
      </c>
      <c r="F392" t="s">
        <v>2350</v>
      </c>
      <c r="G392">
        <v>147.72047429899999</v>
      </c>
      <c r="H392" t="s">
        <v>12</v>
      </c>
      <c r="Q392">
        <v>2516.46899437</v>
      </c>
      <c r="R392">
        <v>23336.908893899999</v>
      </c>
      <c r="S392">
        <v>-12.303430264599999</v>
      </c>
      <c r="T392">
        <v>-115.137344193</v>
      </c>
      <c r="U392">
        <v>0</v>
      </c>
      <c r="V392">
        <v>0</v>
      </c>
    </row>
    <row r="393" spans="1:22" x14ac:dyDescent="0.2">
      <c r="A393"/>
      <c r="B393">
        <v>23000</v>
      </c>
      <c r="C393" t="s">
        <v>2513</v>
      </c>
      <c r="D393" t="s">
        <v>69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2">
      <c r="A394"/>
      <c r="B394">
        <v>23001</v>
      </c>
      <c r="C394" t="s">
        <v>2514</v>
      </c>
      <c r="D394" t="s">
        <v>65</v>
      </c>
      <c r="F394" t="s">
        <v>2302</v>
      </c>
      <c r="G394">
        <v>136.74412535499999</v>
      </c>
      <c r="H394" t="s">
        <v>248</v>
      </c>
      <c r="Q394">
        <v>6953.0758615900004</v>
      </c>
      <c r="R394">
        <v>36891.776408099999</v>
      </c>
      <c r="S394">
        <v>-9.1450955274499997</v>
      </c>
      <c r="T394">
        <v>53.181161491600001</v>
      </c>
      <c r="U394">
        <v>0</v>
      </c>
      <c r="V394">
        <v>0</v>
      </c>
    </row>
    <row r="395" spans="1:22" x14ac:dyDescent="0.2">
      <c r="A395"/>
      <c r="B395">
        <v>23002</v>
      </c>
      <c r="C395" t="s">
        <v>2515</v>
      </c>
      <c r="D395" t="s">
        <v>59</v>
      </c>
      <c r="E395" t="s">
        <v>1091</v>
      </c>
      <c r="F395" t="s">
        <v>2302</v>
      </c>
      <c r="G395">
        <v>136.74412535499999</v>
      </c>
      <c r="H395" t="s">
        <v>248</v>
      </c>
      <c r="Q395">
        <v>6955.0771975199996</v>
      </c>
      <c r="R395">
        <v>36890.278190999998</v>
      </c>
      <c r="S395">
        <v>-9.1450955274499997</v>
      </c>
      <c r="T395">
        <v>-36.818838508399999</v>
      </c>
      <c r="U395">
        <v>0</v>
      </c>
      <c r="V395">
        <v>0</v>
      </c>
    </row>
    <row r="396" spans="1:22" x14ac:dyDescent="0.2">
      <c r="A396"/>
      <c r="B396">
        <v>23003</v>
      </c>
      <c r="C396" t="s">
        <v>2516</v>
      </c>
      <c r="D396" t="s">
        <v>57</v>
      </c>
      <c r="E396" t="s">
        <v>1091</v>
      </c>
      <c r="F396" t="s">
        <v>2302</v>
      </c>
      <c r="G396">
        <v>136.74412535499999</v>
      </c>
      <c r="H396" t="s">
        <v>248</v>
      </c>
      <c r="Q396">
        <v>6955.0771975199996</v>
      </c>
      <c r="R396">
        <v>36890.278190999998</v>
      </c>
      <c r="S396">
        <v>-9.1450955274499997</v>
      </c>
      <c r="T396">
        <v>-36.818838508399999</v>
      </c>
      <c r="U396">
        <v>0</v>
      </c>
      <c r="V396">
        <v>0</v>
      </c>
    </row>
    <row r="397" spans="1:22" x14ac:dyDescent="0.2">
      <c r="A397"/>
      <c r="B397">
        <v>23004</v>
      </c>
      <c r="C397" t="s">
        <v>2517</v>
      </c>
      <c r="D397" t="s">
        <v>55</v>
      </c>
      <c r="E397" t="s">
        <v>52</v>
      </c>
      <c r="F397" t="s">
        <v>2302</v>
      </c>
      <c r="G397">
        <v>136.74412535499999</v>
      </c>
      <c r="H397" t="s">
        <v>248</v>
      </c>
      <c r="Q397">
        <v>6955.0771975199996</v>
      </c>
      <c r="R397">
        <v>36890.278190999998</v>
      </c>
      <c r="S397">
        <v>-9.1450955274499997</v>
      </c>
      <c r="T397">
        <v>-36.818838508399999</v>
      </c>
      <c r="U397">
        <v>0</v>
      </c>
      <c r="V397">
        <v>0</v>
      </c>
    </row>
    <row r="398" spans="1:22" x14ac:dyDescent="0.2">
      <c r="A398"/>
      <c r="B398">
        <v>23005</v>
      </c>
      <c r="C398" t="s">
        <v>2518</v>
      </c>
      <c r="D398" t="s">
        <v>54</v>
      </c>
      <c r="E398" t="s">
        <v>52</v>
      </c>
      <c r="F398" t="s">
        <v>2302</v>
      </c>
      <c r="G398">
        <v>136.74412535499999</v>
      </c>
      <c r="H398" t="s">
        <v>248</v>
      </c>
      <c r="Q398">
        <v>6955.0771975199996</v>
      </c>
      <c r="R398">
        <v>36890.278190999998</v>
      </c>
      <c r="S398">
        <v>-9.1450955274499997</v>
      </c>
      <c r="T398">
        <v>-36.818838508399999</v>
      </c>
      <c r="U398">
        <v>0</v>
      </c>
      <c r="V398">
        <v>0</v>
      </c>
    </row>
    <row r="399" spans="1:22" x14ac:dyDescent="0.2">
      <c r="A399"/>
      <c r="B399">
        <v>23006</v>
      </c>
      <c r="C399" t="s">
        <v>2519</v>
      </c>
      <c r="D399" t="s">
        <v>53</v>
      </c>
      <c r="E399" t="s">
        <v>52</v>
      </c>
      <c r="F399" t="s">
        <v>2302</v>
      </c>
      <c r="G399">
        <v>136.74412535499999</v>
      </c>
      <c r="H399" t="s">
        <v>248</v>
      </c>
      <c r="Q399">
        <v>6955.0771975199996</v>
      </c>
      <c r="R399">
        <v>36890.278190999998</v>
      </c>
      <c r="S399">
        <v>-9.1450955274499997</v>
      </c>
      <c r="T399">
        <v>-36.818838508399999</v>
      </c>
      <c r="U399">
        <v>0</v>
      </c>
      <c r="V399">
        <v>0</v>
      </c>
    </row>
    <row r="400" spans="1:22" x14ac:dyDescent="0.2">
      <c r="A400"/>
      <c r="B400">
        <v>23007</v>
      </c>
      <c r="C400" t="s">
        <v>2520</v>
      </c>
      <c r="D400" t="s">
        <v>65</v>
      </c>
      <c r="F400" t="s">
        <v>1920</v>
      </c>
      <c r="G400">
        <v>204.65710431700001</v>
      </c>
      <c r="H400" t="s">
        <v>248</v>
      </c>
      <c r="Q400">
        <v>6959.0758119700004</v>
      </c>
      <c r="R400">
        <v>36874.866310899997</v>
      </c>
      <c r="S400">
        <v>-9.1507328307400009</v>
      </c>
      <c r="T400">
        <v>53.161906884899999</v>
      </c>
      <c r="U400">
        <v>0</v>
      </c>
      <c r="V400">
        <v>0</v>
      </c>
    </row>
    <row r="401" spans="1:22" x14ac:dyDescent="0.2">
      <c r="A401"/>
      <c r="B401">
        <v>23008</v>
      </c>
      <c r="C401" t="s">
        <v>2521</v>
      </c>
      <c r="D401" t="s">
        <v>59</v>
      </c>
      <c r="E401" t="s">
        <v>1091</v>
      </c>
      <c r="F401" t="s">
        <v>1920</v>
      </c>
      <c r="G401">
        <v>204.65710431700001</v>
      </c>
      <c r="H401" t="s">
        <v>248</v>
      </c>
      <c r="Q401">
        <v>6957.0749796299997</v>
      </c>
      <c r="R401">
        <v>36876.365200400003</v>
      </c>
      <c r="S401">
        <v>-9.1507328307400009</v>
      </c>
      <c r="T401">
        <v>143.16190688500001</v>
      </c>
      <c r="U401">
        <v>0</v>
      </c>
      <c r="V401">
        <v>0</v>
      </c>
    </row>
    <row r="402" spans="1:22" x14ac:dyDescent="0.2">
      <c r="A402"/>
      <c r="B402">
        <v>23009</v>
      </c>
      <c r="C402" t="s">
        <v>2522</v>
      </c>
      <c r="D402" t="s">
        <v>57</v>
      </c>
      <c r="E402" t="s">
        <v>1091</v>
      </c>
      <c r="F402" t="s">
        <v>1920</v>
      </c>
      <c r="G402">
        <v>204.65710431700001</v>
      </c>
      <c r="H402" t="s">
        <v>248</v>
      </c>
      <c r="Q402">
        <v>6957.0749796299997</v>
      </c>
      <c r="R402">
        <v>36876.365200400003</v>
      </c>
      <c r="S402">
        <v>-9.1507328307400009</v>
      </c>
      <c r="T402">
        <v>143.16190688500001</v>
      </c>
      <c r="U402">
        <v>0</v>
      </c>
      <c r="V402">
        <v>0</v>
      </c>
    </row>
    <row r="403" spans="1:22" x14ac:dyDescent="0.2">
      <c r="A403"/>
      <c r="B403">
        <v>23010</v>
      </c>
      <c r="C403" t="s">
        <v>2523</v>
      </c>
      <c r="D403" t="s">
        <v>55</v>
      </c>
      <c r="E403" t="s">
        <v>52</v>
      </c>
      <c r="F403" t="s">
        <v>1920</v>
      </c>
      <c r="G403">
        <v>204.65710431700001</v>
      </c>
      <c r="H403" t="s">
        <v>248</v>
      </c>
      <c r="Q403">
        <v>6957.0749796299997</v>
      </c>
      <c r="R403">
        <v>36876.365200400003</v>
      </c>
      <c r="S403">
        <v>-9.1507328307400009</v>
      </c>
      <c r="T403">
        <v>143.16190688500001</v>
      </c>
      <c r="U403">
        <v>0</v>
      </c>
      <c r="V403">
        <v>0</v>
      </c>
    </row>
    <row r="404" spans="1:22" x14ac:dyDescent="0.2">
      <c r="A404"/>
      <c r="B404">
        <v>23011</v>
      </c>
      <c r="C404" t="s">
        <v>2524</v>
      </c>
      <c r="D404" t="s">
        <v>54</v>
      </c>
      <c r="E404" t="s">
        <v>52</v>
      </c>
      <c r="F404" t="s">
        <v>1920</v>
      </c>
      <c r="G404">
        <v>204.65710431700001</v>
      </c>
      <c r="H404" t="s">
        <v>248</v>
      </c>
      <c r="Q404">
        <v>6957.0749796299997</v>
      </c>
      <c r="R404">
        <v>36876.365200400003</v>
      </c>
      <c r="S404">
        <v>-9.1507328307400009</v>
      </c>
      <c r="T404">
        <v>143.16190688500001</v>
      </c>
      <c r="U404">
        <v>0</v>
      </c>
      <c r="V404">
        <v>0</v>
      </c>
    </row>
    <row r="405" spans="1:22" x14ac:dyDescent="0.2">
      <c r="A405"/>
      <c r="B405">
        <v>23012</v>
      </c>
      <c r="C405" t="s">
        <v>2525</v>
      </c>
      <c r="D405" t="s">
        <v>53</v>
      </c>
      <c r="E405" t="s">
        <v>52</v>
      </c>
      <c r="F405" t="s">
        <v>1920</v>
      </c>
      <c r="G405">
        <v>204.65710431700001</v>
      </c>
      <c r="H405" t="s">
        <v>248</v>
      </c>
      <c r="Q405">
        <v>6957.0749796299997</v>
      </c>
      <c r="R405">
        <v>36876.365200400003</v>
      </c>
      <c r="S405">
        <v>-9.1507328307400009</v>
      </c>
      <c r="T405">
        <v>143.16190688500001</v>
      </c>
      <c r="U405">
        <v>0</v>
      </c>
      <c r="V405">
        <v>0</v>
      </c>
    </row>
    <row r="406" spans="1:22" x14ac:dyDescent="0.2">
      <c r="A406"/>
      <c r="B406">
        <v>23013</v>
      </c>
      <c r="C406" t="s">
        <v>2526</v>
      </c>
      <c r="D406" t="s">
        <v>69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 x14ac:dyDescent="0.2">
      <c r="A407"/>
      <c r="B407">
        <v>23014</v>
      </c>
      <c r="C407" t="s">
        <v>2527</v>
      </c>
      <c r="D407" t="s">
        <v>65</v>
      </c>
      <c r="F407" t="s">
        <v>1915</v>
      </c>
      <c r="G407">
        <v>806.58984121799995</v>
      </c>
      <c r="H407" t="s">
        <v>248</v>
      </c>
      <c r="Q407">
        <v>6843.2950725000001</v>
      </c>
      <c r="R407">
        <v>37544.067465400003</v>
      </c>
      <c r="S407">
        <v>-14.1537061545</v>
      </c>
      <c r="T407">
        <v>161.313711732</v>
      </c>
      <c r="U407">
        <v>0</v>
      </c>
      <c r="V407">
        <v>0</v>
      </c>
    </row>
    <row r="408" spans="1:22" x14ac:dyDescent="0.2">
      <c r="A408"/>
      <c r="B408">
        <v>23015</v>
      </c>
      <c r="C408" t="s">
        <v>2528</v>
      </c>
      <c r="D408" t="s">
        <v>59</v>
      </c>
      <c r="E408" t="s">
        <v>1091</v>
      </c>
      <c r="F408" t="s">
        <v>1915</v>
      </c>
      <c r="G408">
        <v>806.58984121799995</v>
      </c>
      <c r="H408" t="s">
        <v>248</v>
      </c>
      <c r="Q408">
        <v>6844.0960382499998</v>
      </c>
      <c r="R408">
        <v>37546.435682800002</v>
      </c>
      <c r="S408">
        <v>-14.1537061545</v>
      </c>
      <c r="T408">
        <v>71.313711732200005</v>
      </c>
      <c r="U408">
        <v>0</v>
      </c>
      <c r="V408">
        <v>0</v>
      </c>
    </row>
    <row r="409" spans="1:22" x14ac:dyDescent="0.2">
      <c r="A409"/>
      <c r="B409">
        <v>23016</v>
      </c>
      <c r="C409" t="s">
        <v>2529</v>
      </c>
      <c r="D409" t="s">
        <v>57</v>
      </c>
      <c r="E409" t="s">
        <v>1091</v>
      </c>
      <c r="F409" t="s">
        <v>1915</v>
      </c>
      <c r="G409">
        <v>806.58984121799995</v>
      </c>
      <c r="H409" t="s">
        <v>248</v>
      </c>
      <c r="Q409">
        <v>6844.0960382499998</v>
      </c>
      <c r="R409">
        <v>37546.435682800002</v>
      </c>
      <c r="S409">
        <v>-14.1537061545</v>
      </c>
      <c r="T409">
        <v>71.313711732200005</v>
      </c>
      <c r="U409">
        <v>0</v>
      </c>
      <c r="V409">
        <v>0</v>
      </c>
    </row>
    <row r="410" spans="1:22" x14ac:dyDescent="0.2">
      <c r="A410"/>
      <c r="B410">
        <v>23017</v>
      </c>
      <c r="C410" t="s">
        <v>2530</v>
      </c>
      <c r="D410" t="s">
        <v>55</v>
      </c>
      <c r="E410" t="s">
        <v>52</v>
      </c>
      <c r="F410" t="s">
        <v>1915</v>
      </c>
      <c r="G410">
        <v>806.58984121799995</v>
      </c>
      <c r="H410" t="s">
        <v>248</v>
      </c>
      <c r="Q410">
        <v>6844.0960382499998</v>
      </c>
      <c r="R410">
        <v>37546.435682800002</v>
      </c>
      <c r="S410">
        <v>-14.1537061545</v>
      </c>
      <c r="T410">
        <v>71.313711732200005</v>
      </c>
      <c r="U410">
        <v>0</v>
      </c>
      <c r="V410">
        <v>0</v>
      </c>
    </row>
    <row r="411" spans="1:22" x14ac:dyDescent="0.2">
      <c r="A411"/>
      <c r="B411">
        <v>23018</v>
      </c>
      <c r="C411" t="s">
        <v>2531</v>
      </c>
      <c r="D411" t="s">
        <v>54</v>
      </c>
      <c r="E411" t="s">
        <v>52</v>
      </c>
      <c r="F411" t="s">
        <v>1915</v>
      </c>
      <c r="G411">
        <v>806.58984121799995</v>
      </c>
      <c r="H411" t="s">
        <v>248</v>
      </c>
      <c r="Q411">
        <v>6844.0960382499998</v>
      </c>
      <c r="R411">
        <v>37546.435682800002</v>
      </c>
      <c r="S411">
        <v>-14.1537061545</v>
      </c>
      <c r="T411">
        <v>71.313711732200005</v>
      </c>
      <c r="U411">
        <v>0</v>
      </c>
      <c r="V411">
        <v>0</v>
      </c>
    </row>
    <row r="412" spans="1:22" x14ac:dyDescent="0.2">
      <c r="A412"/>
      <c r="B412">
        <v>23019</v>
      </c>
      <c r="C412" t="s">
        <v>2532</v>
      </c>
      <c r="D412" t="s">
        <v>53</v>
      </c>
      <c r="E412" t="s">
        <v>52</v>
      </c>
      <c r="F412" t="s">
        <v>1915</v>
      </c>
      <c r="G412">
        <v>806.58984121799995</v>
      </c>
      <c r="H412" t="s">
        <v>248</v>
      </c>
      <c r="Q412">
        <v>6844.0960382499998</v>
      </c>
      <c r="R412">
        <v>37546.435682800002</v>
      </c>
      <c r="S412">
        <v>-14.1537061545</v>
      </c>
      <c r="T412">
        <v>71.313711732200005</v>
      </c>
      <c r="U412">
        <v>0</v>
      </c>
      <c r="V412">
        <v>0</v>
      </c>
    </row>
    <row r="413" spans="1:22" x14ac:dyDescent="0.2">
      <c r="A413"/>
      <c r="B413">
        <v>23020</v>
      </c>
      <c r="C413" t="s">
        <v>2533</v>
      </c>
      <c r="D413" t="s">
        <v>65</v>
      </c>
      <c r="F413" t="s">
        <v>2310</v>
      </c>
      <c r="G413">
        <v>720.021808867</v>
      </c>
      <c r="H413" t="s">
        <v>248</v>
      </c>
      <c r="Q413">
        <v>6863.9909717399996</v>
      </c>
      <c r="R413">
        <v>37552.650125200002</v>
      </c>
      <c r="S413">
        <v>-14.195854472300001</v>
      </c>
      <c r="T413">
        <v>160.34412171299999</v>
      </c>
      <c r="U413">
        <v>0</v>
      </c>
      <c r="V413">
        <v>0</v>
      </c>
    </row>
    <row r="414" spans="1:22" x14ac:dyDescent="0.2">
      <c r="A414"/>
      <c r="B414">
        <v>23021</v>
      </c>
      <c r="C414" t="s">
        <v>2534</v>
      </c>
      <c r="D414" t="s">
        <v>59</v>
      </c>
      <c r="E414" t="s">
        <v>1091</v>
      </c>
      <c r="F414" t="s">
        <v>2310</v>
      </c>
      <c r="G414">
        <v>720.021808867</v>
      </c>
      <c r="H414" t="s">
        <v>248</v>
      </c>
      <c r="Q414">
        <v>6863.1500463399998</v>
      </c>
      <c r="R414">
        <v>37550.295800599997</v>
      </c>
      <c r="S414">
        <v>-14.195854472300001</v>
      </c>
      <c r="T414">
        <v>-109.65587828699999</v>
      </c>
      <c r="U414">
        <v>0</v>
      </c>
      <c r="V414">
        <v>0</v>
      </c>
    </row>
    <row r="415" spans="1:22" x14ac:dyDescent="0.2">
      <c r="A415"/>
      <c r="B415">
        <v>23022</v>
      </c>
      <c r="C415" t="s">
        <v>2535</v>
      </c>
      <c r="D415" t="s">
        <v>57</v>
      </c>
      <c r="E415" t="s">
        <v>1091</v>
      </c>
      <c r="F415" t="s">
        <v>2310</v>
      </c>
      <c r="G415">
        <v>720.021808867</v>
      </c>
      <c r="H415" t="s">
        <v>248</v>
      </c>
      <c r="Q415">
        <v>6863.1500463399998</v>
      </c>
      <c r="R415">
        <v>37550.295800599997</v>
      </c>
      <c r="S415">
        <v>-14.195854472300001</v>
      </c>
      <c r="T415">
        <v>-109.65587828699999</v>
      </c>
      <c r="U415">
        <v>0</v>
      </c>
      <c r="V415">
        <v>0</v>
      </c>
    </row>
    <row r="416" spans="1:22" x14ac:dyDescent="0.2">
      <c r="A416"/>
      <c r="B416">
        <v>23023</v>
      </c>
      <c r="C416" t="s">
        <v>2536</v>
      </c>
      <c r="D416" t="s">
        <v>55</v>
      </c>
      <c r="E416" t="s">
        <v>52</v>
      </c>
      <c r="F416" t="s">
        <v>2310</v>
      </c>
      <c r="G416">
        <v>720.021808867</v>
      </c>
      <c r="H416" t="s">
        <v>248</v>
      </c>
      <c r="Q416">
        <v>6863.1500463399998</v>
      </c>
      <c r="R416">
        <v>37550.295800599997</v>
      </c>
      <c r="S416">
        <v>-14.195854472300001</v>
      </c>
      <c r="T416">
        <v>-109.65587828699999</v>
      </c>
      <c r="U416">
        <v>0</v>
      </c>
      <c r="V416">
        <v>0</v>
      </c>
    </row>
    <row r="417" spans="1:22" x14ac:dyDescent="0.2">
      <c r="A417"/>
      <c r="B417">
        <v>23024</v>
      </c>
      <c r="C417" t="s">
        <v>2537</v>
      </c>
      <c r="D417" t="s">
        <v>54</v>
      </c>
      <c r="E417" t="s">
        <v>52</v>
      </c>
      <c r="F417" t="s">
        <v>2310</v>
      </c>
      <c r="G417">
        <v>720.021808867</v>
      </c>
      <c r="H417" t="s">
        <v>248</v>
      </c>
      <c r="Q417">
        <v>6863.1500463399998</v>
      </c>
      <c r="R417">
        <v>37550.295800599997</v>
      </c>
      <c r="S417">
        <v>-14.195854472300001</v>
      </c>
      <c r="T417">
        <v>-109.65587828699999</v>
      </c>
      <c r="U417">
        <v>0</v>
      </c>
      <c r="V417">
        <v>0</v>
      </c>
    </row>
    <row r="418" spans="1:22" x14ac:dyDescent="0.2">
      <c r="A418"/>
      <c r="B418">
        <v>23025</v>
      </c>
      <c r="C418" t="s">
        <v>2538</v>
      </c>
      <c r="D418" t="s">
        <v>53</v>
      </c>
      <c r="E418" t="s">
        <v>52</v>
      </c>
      <c r="F418" t="s">
        <v>2310</v>
      </c>
      <c r="G418">
        <v>720.021808867</v>
      </c>
      <c r="H418" t="s">
        <v>248</v>
      </c>
      <c r="Q418">
        <v>6863.1500463399998</v>
      </c>
      <c r="R418">
        <v>37550.295800599997</v>
      </c>
      <c r="S418">
        <v>-14.195854472300001</v>
      </c>
      <c r="T418">
        <v>-109.65587828699999</v>
      </c>
      <c r="U418">
        <v>0</v>
      </c>
      <c r="V418">
        <v>0</v>
      </c>
    </row>
    <row r="419" spans="1:22" x14ac:dyDescent="0.2">
      <c r="A419"/>
      <c r="B419">
        <v>23026</v>
      </c>
      <c r="C419" t="s">
        <v>2539</v>
      </c>
      <c r="D419" t="s">
        <v>69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2" x14ac:dyDescent="0.2">
      <c r="A420"/>
      <c r="B420">
        <v>23027</v>
      </c>
      <c r="C420" t="s">
        <v>2540</v>
      </c>
      <c r="D420" t="s">
        <v>65</v>
      </c>
      <c r="F420" t="s">
        <v>1915</v>
      </c>
      <c r="G420">
        <v>2458.5803114599998</v>
      </c>
      <c r="H420" t="s">
        <v>248</v>
      </c>
      <c r="Q420">
        <v>5270.8924391</v>
      </c>
      <c r="R420">
        <v>37534.712333199997</v>
      </c>
      <c r="S420">
        <v>-10.078876682600001</v>
      </c>
      <c r="T420">
        <v>-143.54729682300001</v>
      </c>
      <c r="U420">
        <v>0</v>
      </c>
      <c r="V420">
        <v>0</v>
      </c>
    </row>
    <row r="421" spans="1:22" x14ac:dyDescent="0.2">
      <c r="A421"/>
      <c r="B421">
        <v>23028</v>
      </c>
      <c r="C421" t="s">
        <v>2541</v>
      </c>
      <c r="D421" t="s">
        <v>59</v>
      </c>
      <c r="E421" t="s">
        <v>1091</v>
      </c>
      <c r="F421" t="s">
        <v>1915</v>
      </c>
      <c r="G421">
        <v>2458.5803114599998</v>
      </c>
      <c r="H421" t="s">
        <v>248</v>
      </c>
      <c r="Q421">
        <v>5269.4070415699998</v>
      </c>
      <c r="R421">
        <v>37536.723202200003</v>
      </c>
      <c r="S421">
        <v>-10.078876682600001</v>
      </c>
      <c r="T421">
        <v>126.452703177</v>
      </c>
      <c r="U421">
        <v>0</v>
      </c>
      <c r="V421">
        <v>0</v>
      </c>
    </row>
    <row r="422" spans="1:22" x14ac:dyDescent="0.2">
      <c r="A422"/>
      <c r="B422">
        <v>23029</v>
      </c>
      <c r="C422" t="s">
        <v>2542</v>
      </c>
      <c r="D422" t="s">
        <v>57</v>
      </c>
      <c r="E422" t="s">
        <v>1091</v>
      </c>
      <c r="F422" t="s">
        <v>1915</v>
      </c>
      <c r="G422">
        <v>2458.5803114599998</v>
      </c>
      <c r="H422" t="s">
        <v>248</v>
      </c>
      <c r="Q422">
        <v>5269.4070415699998</v>
      </c>
      <c r="R422">
        <v>37536.723202200003</v>
      </c>
      <c r="S422">
        <v>-10.078876682600001</v>
      </c>
      <c r="T422">
        <v>126.452703177</v>
      </c>
      <c r="U422">
        <v>0</v>
      </c>
      <c r="V422">
        <v>0</v>
      </c>
    </row>
    <row r="423" spans="1:22" x14ac:dyDescent="0.2">
      <c r="A423"/>
      <c r="B423">
        <v>23030</v>
      </c>
      <c r="C423" t="s">
        <v>2543</v>
      </c>
      <c r="D423" t="s">
        <v>55</v>
      </c>
      <c r="E423" t="s">
        <v>52</v>
      </c>
      <c r="F423" t="s">
        <v>1915</v>
      </c>
      <c r="G423">
        <v>2458.5803114599998</v>
      </c>
      <c r="H423" t="s">
        <v>248</v>
      </c>
      <c r="Q423">
        <v>5269.4070415699998</v>
      </c>
      <c r="R423">
        <v>37536.723202200003</v>
      </c>
      <c r="S423">
        <v>-10.078876682600001</v>
      </c>
      <c r="T423">
        <v>126.452703177</v>
      </c>
      <c r="U423">
        <v>0</v>
      </c>
      <c r="V423">
        <v>0</v>
      </c>
    </row>
    <row r="424" spans="1:22" x14ac:dyDescent="0.2">
      <c r="A424"/>
      <c r="B424">
        <v>23031</v>
      </c>
      <c r="C424" t="s">
        <v>2544</v>
      </c>
      <c r="D424" t="s">
        <v>54</v>
      </c>
      <c r="E424" t="s">
        <v>52</v>
      </c>
      <c r="F424" t="s">
        <v>1915</v>
      </c>
      <c r="G424">
        <v>2458.5803114599998</v>
      </c>
      <c r="H424" t="s">
        <v>248</v>
      </c>
      <c r="Q424">
        <v>5269.4070415699998</v>
      </c>
      <c r="R424">
        <v>37536.723202200003</v>
      </c>
      <c r="S424">
        <v>-10.078876682600001</v>
      </c>
      <c r="T424">
        <v>126.452703177</v>
      </c>
      <c r="U424">
        <v>0</v>
      </c>
      <c r="V424">
        <v>0</v>
      </c>
    </row>
    <row r="425" spans="1:22" x14ac:dyDescent="0.2">
      <c r="A425"/>
      <c r="B425">
        <v>23032</v>
      </c>
      <c r="C425" t="s">
        <v>2545</v>
      </c>
      <c r="D425" t="s">
        <v>53</v>
      </c>
      <c r="E425" t="s">
        <v>52</v>
      </c>
      <c r="F425" t="s">
        <v>1915</v>
      </c>
      <c r="G425">
        <v>2458.5803114599998</v>
      </c>
      <c r="H425" t="s">
        <v>248</v>
      </c>
      <c r="Q425">
        <v>5269.4070415699998</v>
      </c>
      <c r="R425">
        <v>37536.723202200003</v>
      </c>
      <c r="S425">
        <v>-10.078876682600001</v>
      </c>
      <c r="T425">
        <v>126.452703177</v>
      </c>
      <c r="U425">
        <v>0</v>
      </c>
      <c r="V425">
        <v>0</v>
      </c>
    </row>
    <row r="426" spans="1:22" x14ac:dyDescent="0.2">
      <c r="A426"/>
      <c r="B426">
        <v>23033</v>
      </c>
      <c r="C426" t="s">
        <v>2546</v>
      </c>
      <c r="D426" t="s">
        <v>65</v>
      </c>
      <c r="F426" t="s">
        <v>2310</v>
      </c>
      <c r="G426">
        <v>2381.7727629199999</v>
      </c>
      <c r="H426" t="s">
        <v>248</v>
      </c>
      <c r="Q426">
        <v>5271.5628476499996</v>
      </c>
      <c r="R426">
        <v>37553.675963599999</v>
      </c>
      <c r="S426">
        <v>-10.1136489912</v>
      </c>
      <c r="T426">
        <v>-144.250521867</v>
      </c>
      <c r="U426">
        <v>0</v>
      </c>
      <c r="V426">
        <v>0</v>
      </c>
    </row>
    <row r="427" spans="1:22" x14ac:dyDescent="0.2">
      <c r="A427"/>
      <c r="B427">
        <v>23034</v>
      </c>
      <c r="C427" t="s">
        <v>2547</v>
      </c>
      <c r="D427" t="s">
        <v>59</v>
      </c>
      <c r="E427" t="s">
        <v>1091</v>
      </c>
      <c r="F427" t="s">
        <v>2310</v>
      </c>
      <c r="G427">
        <v>2381.7727629199999</v>
      </c>
      <c r="H427" t="s">
        <v>248</v>
      </c>
      <c r="Q427">
        <v>5273.0234533299999</v>
      </c>
      <c r="R427">
        <v>37551.647015399998</v>
      </c>
      <c r="S427">
        <v>-10.1136489912</v>
      </c>
      <c r="T427">
        <v>-54.250521866699998</v>
      </c>
      <c r="U427">
        <v>0</v>
      </c>
      <c r="V427">
        <v>0</v>
      </c>
    </row>
    <row r="428" spans="1:22" x14ac:dyDescent="0.2">
      <c r="A428"/>
      <c r="B428">
        <v>23035</v>
      </c>
      <c r="C428" t="s">
        <v>2548</v>
      </c>
      <c r="D428" t="s">
        <v>57</v>
      </c>
      <c r="E428" t="s">
        <v>1091</v>
      </c>
      <c r="F428" t="s">
        <v>2310</v>
      </c>
      <c r="G428">
        <v>2381.7727629199999</v>
      </c>
      <c r="H428" t="s">
        <v>248</v>
      </c>
      <c r="Q428">
        <v>5273.0234533299999</v>
      </c>
      <c r="R428">
        <v>37551.647015399998</v>
      </c>
      <c r="S428">
        <v>-10.1136489912</v>
      </c>
      <c r="T428">
        <v>-54.250521866699998</v>
      </c>
      <c r="U428">
        <v>0</v>
      </c>
      <c r="V428">
        <v>0</v>
      </c>
    </row>
    <row r="429" spans="1:22" x14ac:dyDescent="0.2">
      <c r="A429"/>
      <c r="B429">
        <v>23036</v>
      </c>
      <c r="C429" t="s">
        <v>2549</v>
      </c>
      <c r="D429" t="s">
        <v>55</v>
      </c>
      <c r="E429" t="s">
        <v>52</v>
      </c>
      <c r="F429" t="s">
        <v>2310</v>
      </c>
      <c r="G429">
        <v>2381.7727629199999</v>
      </c>
      <c r="H429" t="s">
        <v>248</v>
      </c>
      <c r="Q429">
        <v>5273.0234533299999</v>
      </c>
      <c r="R429">
        <v>37551.647015399998</v>
      </c>
      <c r="S429">
        <v>-10.1136489912</v>
      </c>
      <c r="T429">
        <v>-54.250521866699998</v>
      </c>
      <c r="U429">
        <v>0</v>
      </c>
      <c r="V429">
        <v>0</v>
      </c>
    </row>
    <row r="430" spans="1:22" x14ac:dyDescent="0.2">
      <c r="A430"/>
      <c r="B430">
        <v>23037</v>
      </c>
      <c r="C430" t="s">
        <v>2550</v>
      </c>
      <c r="D430" t="s">
        <v>54</v>
      </c>
      <c r="E430" t="s">
        <v>52</v>
      </c>
      <c r="F430" t="s">
        <v>2310</v>
      </c>
      <c r="G430">
        <v>2381.7727629199999</v>
      </c>
      <c r="H430" t="s">
        <v>248</v>
      </c>
      <c r="Q430">
        <v>5273.0234533299999</v>
      </c>
      <c r="R430">
        <v>37551.647015399998</v>
      </c>
      <c r="S430">
        <v>-10.1136489912</v>
      </c>
      <c r="T430">
        <v>-54.250521866699998</v>
      </c>
      <c r="U430">
        <v>0</v>
      </c>
      <c r="V430">
        <v>0</v>
      </c>
    </row>
    <row r="431" spans="1:22" x14ac:dyDescent="0.2">
      <c r="A431"/>
      <c r="B431">
        <v>23038</v>
      </c>
      <c r="C431" t="s">
        <v>2551</v>
      </c>
      <c r="D431" t="s">
        <v>53</v>
      </c>
      <c r="E431" t="s">
        <v>52</v>
      </c>
      <c r="F431" t="s">
        <v>2310</v>
      </c>
      <c r="G431">
        <v>2381.7727629199999</v>
      </c>
      <c r="H431" t="s">
        <v>248</v>
      </c>
      <c r="Q431">
        <v>5273.0234533299999</v>
      </c>
      <c r="R431">
        <v>37551.647015399998</v>
      </c>
      <c r="S431">
        <v>-10.1136489912</v>
      </c>
      <c r="T431">
        <v>-54.250521866699998</v>
      </c>
      <c r="U431">
        <v>0</v>
      </c>
      <c r="V431">
        <v>0</v>
      </c>
    </row>
    <row r="432" spans="1:22" x14ac:dyDescent="0.2">
      <c r="A432"/>
      <c r="B432">
        <v>23039</v>
      </c>
      <c r="C432" t="s">
        <v>2552</v>
      </c>
      <c r="D432" t="s">
        <v>69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2" x14ac:dyDescent="0.2">
      <c r="A433"/>
      <c r="B433">
        <v>23040</v>
      </c>
      <c r="C433" t="s">
        <v>2553</v>
      </c>
      <c r="D433" t="s">
        <v>65</v>
      </c>
      <c r="F433" t="s">
        <v>1915</v>
      </c>
      <c r="G433">
        <v>3400.3333648299999</v>
      </c>
      <c r="H433" t="s">
        <v>248</v>
      </c>
      <c r="Q433">
        <v>4740.0008731799999</v>
      </c>
      <c r="R433">
        <v>36784.282395800001</v>
      </c>
      <c r="S433">
        <v>-13.5722368798</v>
      </c>
      <c r="T433">
        <v>-104.881959983</v>
      </c>
      <c r="U433">
        <v>0</v>
      </c>
      <c r="V433">
        <v>0</v>
      </c>
    </row>
    <row r="434" spans="1:22" x14ac:dyDescent="0.2">
      <c r="A434"/>
      <c r="B434">
        <v>23041</v>
      </c>
      <c r="C434" t="s">
        <v>2554</v>
      </c>
      <c r="D434" t="s">
        <v>59</v>
      </c>
      <c r="E434" t="s">
        <v>1091</v>
      </c>
      <c r="F434" t="s">
        <v>1915</v>
      </c>
      <c r="G434">
        <v>3400.3333648299999</v>
      </c>
      <c r="H434" t="s">
        <v>248</v>
      </c>
      <c r="Q434">
        <v>4737.5847307000004</v>
      </c>
      <c r="R434">
        <v>36784.924467099998</v>
      </c>
      <c r="S434">
        <v>-13.5722368798</v>
      </c>
      <c r="T434">
        <v>165.118040017</v>
      </c>
      <c r="U434">
        <v>0</v>
      </c>
      <c r="V434">
        <v>0</v>
      </c>
    </row>
    <row r="435" spans="1:22" x14ac:dyDescent="0.2">
      <c r="A435"/>
      <c r="B435">
        <v>23042</v>
      </c>
      <c r="C435" t="s">
        <v>2555</v>
      </c>
      <c r="D435" t="s">
        <v>57</v>
      </c>
      <c r="E435" t="s">
        <v>1091</v>
      </c>
      <c r="F435" t="s">
        <v>1915</v>
      </c>
      <c r="G435">
        <v>3400.3333648299999</v>
      </c>
      <c r="H435" t="s">
        <v>248</v>
      </c>
      <c r="Q435">
        <v>4737.5847307000004</v>
      </c>
      <c r="R435">
        <v>36784.924467099998</v>
      </c>
      <c r="S435">
        <v>-13.5722368798</v>
      </c>
      <c r="T435">
        <v>165.118040017</v>
      </c>
      <c r="U435">
        <v>0</v>
      </c>
      <c r="V435">
        <v>0</v>
      </c>
    </row>
    <row r="436" spans="1:22" x14ac:dyDescent="0.2">
      <c r="A436"/>
      <c r="B436">
        <v>23043</v>
      </c>
      <c r="C436" t="s">
        <v>2556</v>
      </c>
      <c r="D436" t="s">
        <v>55</v>
      </c>
      <c r="E436" t="s">
        <v>52</v>
      </c>
      <c r="F436" t="s">
        <v>1915</v>
      </c>
      <c r="G436">
        <v>3400.3333648299999</v>
      </c>
      <c r="H436" t="s">
        <v>248</v>
      </c>
      <c r="Q436">
        <v>4737.5847307000004</v>
      </c>
      <c r="R436">
        <v>36784.924467099998</v>
      </c>
      <c r="S436">
        <v>-13.5722368798</v>
      </c>
      <c r="T436">
        <v>165.118040017</v>
      </c>
      <c r="U436">
        <v>0</v>
      </c>
      <c r="V436">
        <v>0</v>
      </c>
    </row>
    <row r="437" spans="1:22" x14ac:dyDescent="0.2">
      <c r="A437"/>
      <c r="B437">
        <v>23044</v>
      </c>
      <c r="C437" t="s">
        <v>2557</v>
      </c>
      <c r="D437" t="s">
        <v>54</v>
      </c>
      <c r="E437" t="s">
        <v>52</v>
      </c>
      <c r="F437" t="s">
        <v>1915</v>
      </c>
      <c r="G437">
        <v>3400.3333648299999</v>
      </c>
      <c r="H437" t="s">
        <v>248</v>
      </c>
      <c r="Q437">
        <v>4737.5847307000004</v>
      </c>
      <c r="R437">
        <v>36784.924467099998</v>
      </c>
      <c r="S437">
        <v>-13.5722368798</v>
      </c>
      <c r="T437">
        <v>165.118040017</v>
      </c>
      <c r="U437">
        <v>0</v>
      </c>
      <c r="V437">
        <v>0</v>
      </c>
    </row>
    <row r="438" spans="1:22" x14ac:dyDescent="0.2">
      <c r="A438"/>
      <c r="B438">
        <v>23045</v>
      </c>
      <c r="C438" t="s">
        <v>2558</v>
      </c>
      <c r="D438" t="s">
        <v>53</v>
      </c>
      <c r="E438" t="s">
        <v>52</v>
      </c>
      <c r="F438" t="s">
        <v>1915</v>
      </c>
      <c r="G438">
        <v>3400.3333648299999</v>
      </c>
      <c r="H438" t="s">
        <v>248</v>
      </c>
      <c r="Q438">
        <v>4737.5847307000004</v>
      </c>
      <c r="R438">
        <v>36784.924467099998</v>
      </c>
      <c r="S438">
        <v>-13.5722368798</v>
      </c>
      <c r="T438">
        <v>165.118040017</v>
      </c>
      <c r="U438">
        <v>0</v>
      </c>
      <c r="V438">
        <v>0</v>
      </c>
    </row>
    <row r="439" spans="1:22" x14ac:dyDescent="0.2">
      <c r="A439"/>
      <c r="B439">
        <v>23046</v>
      </c>
      <c r="C439" t="s">
        <v>2559</v>
      </c>
      <c r="D439" t="s">
        <v>65</v>
      </c>
      <c r="F439" t="s">
        <v>2310</v>
      </c>
      <c r="G439">
        <v>3329.7086545500001</v>
      </c>
      <c r="H439" t="s">
        <v>248</v>
      </c>
      <c r="Q439">
        <v>4727.89590494</v>
      </c>
      <c r="R439">
        <v>36796.745037300003</v>
      </c>
      <c r="S439">
        <v>-13.608055458799999</v>
      </c>
      <c r="T439">
        <v>-105.29952176099999</v>
      </c>
      <c r="U439">
        <v>0</v>
      </c>
      <c r="V439">
        <v>0</v>
      </c>
    </row>
    <row r="440" spans="1:22" x14ac:dyDescent="0.2">
      <c r="A440"/>
      <c r="B440">
        <v>23047</v>
      </c>
      <c r="C440" t="s">
        <v>2560</v>
      </c>
      <c r="D440" t="s">
        <v>59</v>
      </c>
      <c r="E440" t="s">
        <v>1091</v>
      </c>
      <c r="F440" t="s">
        <v>2310</v>
      </c>
      <c r="G440">
        <v>3329.7086545500001</v>
      </c>
      <c r="H440" t="s">
        <v>248</v>
      </c>
      <c r="Q440">
        <v>4730.30730399</v>
      </c>
      <c r="R440">
        <v>36796.085374800001</v>
      </c>
      <c r="S440">
        <v>-13.608055458799999</v>
      </c>
      <c r="T440">
        <v>-15.299521761099999</v>
      </c>
      <c r="U440">
        <v>0</v>
      </c>
      <c r="V440">
        <v>0</v>
      </c>
    </row>
    <row r="441" spans="1:22" x14ac:dyDescent="0.2">
      <c r="A441"/>
      <c r="B441">
        <v>23048</v>
      </c>
      <c r="C441" t="s">
        <v>2561</v>
      </c>
      <c r="D441" t="s">
        <v>57</v>
      </c>
      <c r="E441" t="s">
        <v>1091</v>
      </c>
      <c r="F441" t="s">
        <v>2310</v>
      </c>
      <c r="G441">
        <v>3329.7086545500001</v>
      </c>
      <c r="H441" t="s">
        <v>248</v>
      </c>
      <c r="Q441">
        <v>4730.30730399</v>
      </c>
      <c r="R441">
        <v>36796.085374800001</v>
      </c>
      <c r="S441">
        <v>-13.608055458799999</v>
      </c>
      <c r="T441">
        <v>-15.299521761099999</v>
      </c>
      <c r="U441">
        <v>0</v>
      </c>
      <c r="V441">
        <v>0</v>
      </c>
    </row>
    <row r="442" spans="1:22" x14ac:dyDescent="0.2">
      <c r="A442"/>
      <c r="B442">
        <v>23049</v>
      </c>
      <c r="C442" t="s">
        <v>2562</v>
      </c>
      <c r="D442" t="s">
        <v>55</v>
      </c>
      <c r="E442" t="s">
        <v>52</v>
      </c>
      <c r="F442" t="s">
        <v>2310</v>
      </c>
      <c r="G442">
        <v>3329.7086545500001</v>
      </c>
      <c r="H442" t="s">
        <v>248</v>
      </c>
      <c r="Q442">
        <v>4730.30730399</v>
      </c>
      <c r="R442">
        <v>36796.085374800001</v>
      </c>
      <c r="S442">
        <v>-13.608055458799999</v>
      </c>
      <c r="T442">
        <v>-15.299521761099999</v>
      </c>
      <c r="U442">
        <v>0</v>
      </c>
      <c r="V442">
        <v>0</v>
      </c>
    </row>
    <row r="443" spans="1:22" x14ac:dyDescent="0.2">
      <c r="A443"/>
      <c r="B443">
        <v>23050</v>
      </c>
      <c r="C443" t="s">
        <v>2563</v>
      </c>
      <c r="D443" t="s">
        <v>54</v>
      </c>
      <c r="E443" t="s">
        <v>52</v>
      </c>
      <c r="F443" t="s">
        <v>2310</v>
      </c>
      <c r="G443">
        <v>3329.7086545500001</v>
      </c>
      <c r="H443" t="s">
        <v>248</v>
      </c>
      <c r="Q443">
        <v>4730.30730399</v>
      </c>
      <c r="R443">
        <v>36796.085374800001</v>
      </c>
      <c r="S443">
        <v>-13.608055458799999</v>
      </c>
      <c r="T443">
        <v>-15.299521761099999</v>
      </c>
      <c r="U443">
        <v>0</v>
      </c>
      <c r="V443">
        <v>0</v>
      </c>
    </row>
    <row r="444" spans="1:22" x14ac:dyDescent="0.2">
      <c r="A444"/>
      <c r="B444">
        <v>23051</v>
      </c>
      <c r="C444" t="s">
        <v>2564</v>
      </c>
      <c r="D444" t="s">
        <v>53</v>
      </c>
      <c r="E444" t="s">
        <v>52</v>
      </c>
      <c r="F444" t="s">
        <v>2310</v>
      </c>
      <c r="G444">
        <v>3329.7086545500001</v>
      </c>
      <c r="H444" t="s">
        <v>248</v>
      </c>
      <c r="Q444">
        <v>4730.30730399</v>
      </c>
      <c r="R444">
        <v>36796.085374800001</v>
      </c>
      <c r="S444">
        <v>-13.608055458799999</v>
      </c>
      <c r="T444">
        <v>-15.299521761099999</v>
      </c>
      <c r="U444">
        <v>0</v>
      </c>
      <c r="V444">
        <v>0</v>
      </c>
    </row>
    <row r="445" spans="1:22" x14ac:dyDescent="0.2">
      <c r="A445"/>
      <c r="B445">
        <v>23052</v>
      </c>
      <c r="C445" t="s">
        <v>2565</v>
      </c>
      <c r="D445" t="s">
        <v>69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2">
      <c r="A446"/>
      <c r="B446">
        <v>23053</v>
      </c>
      <c r="C446" t="s">
        <v>2566</v>
      </c>
      <c r="D446" t="s">
        <v>65</v>
      </c>
      <c r="F446" t="s">
        <v>1915</v>
      </c>
      <c r="G446">
        <v>4451.5191533899997</v>
      </c>
      <c r="H446" t="s">
        <v>248</v>
      </c>
      <c r="Q446">
        <v>4449.6903941500004</v>
      </c>
      <c r="R446">
        <v>35809.975293099997</v>
      </c>
      <c r="S446">
        <v>-12.9527338716</v>
      </c>
      <c r="T446">
        <v>-134.79792711900001</v>
      </c>
      <c r="U446">
        <v>0</v>
      </c>
      <c r="V446">
        <v>0</v>
      </c>
    </row>
    <row r="447" spans="1:22" x14ac:dyDescent="0.2">
      <c r="A447"/>
      <c r="B447">
        <v>23054</v>
      </c>
      <c r="C447" t="s">
        <v>2567</v>
      </c>
      <c r="D447" t="s">
        <v>59</v>
      </c>
      <c r="E447" t="s">
        <v>1091</v>
      </c>
      <c r="F447" t="s">
        <v>1915</v>
      </c>
      <c r="G447">
        <v>4451.5191533899997</v>
      </c>
      <c r="H447" t="s">
        <v>248</v>
      </c>
      <c r="Q447">
        <v>4447.9164035800004</v>
      </c>
      <c r="R447">
        <v>35811.736814399999</v>
      </c>
      <c r="S447">
        <v>-12.9527338716</v>
      </c>
      <c r="T447">
        <v>135.20207288099999</v>
      </c>
      <c r="U447">
        <v>0</v>
      </c>
      <c r="V447">
        <v>0</v>
      </c>
    </row>
    <row r="448" spans="1:22" x14ac:dyDescent="0.2">
      <c r="A448"/>
      <c r="B448">
        <v>23055</v>
      </c>
      <c r="C448" t="s">
        <v>2568</v>
      </c>
      <c r="D448" t="s">
        <v>57</v>
      </c>
      <c r="E448" t="s">
        <v>1091</v>
      </c>
      <c r="F448" t="s">
        <v>1915</v>
      </c>
      <c r="G448">
        <v>4451.5191533899997</v>
      </c>
      <c r="H448" t="s">
        <v>248</v>
      </c>
      <c r="Q448">
        <v>4447.9164035800004</v>
      </c>
      <c r="R448">
        <v>35811.736814399999</v>
      </c>
      <c r="S448">
        <v>-12.9527338716</v>
      </c>
      <c r="T448">
        <v>135.20207288099999</v>
      </c>
      <c r="U448">
        <v>0</v>
      </c>
      <c r="V448">
        <v>0</v>
      </c>
    </row>
    <row r="449" spans="1:22" x14ac:dyDescent="0.2">
      <c r="A449"/>
      <c r="B449">
        <v>23056</v>
      </c>
      <c r="C449" t="s">
        <v>2569</v>
      </c>
      <c r="D449" t="s">
        <v>55</v>
      </c>
      <c r="E449" t="s">
        <v>52</v>
      </c>
      <c r="F449" t="s">
        <v>1915</v>
      </c>
      <c r="G449">
        <v>4451.5191533899997</v>
      </c>
      <c r="H449" t="s">
        <v>248</v>
      </c>
      <c r="Q449">
        <v>4447.9164035800004</v>
      </c>
      <c r="R449">
        <v>35811.736814399999</v>
      </c>
      <c r="S449">
        <v>-12.9527338716</v>
      </c>
      <c r="T449">
        <v>135.20207288099999</v>
      </c>
      <c r="U449">
        <v>0</v>
      </c>
      <c r="V449">
        <v>0</v>
      </c>
    </row>
    <row r="450" spans="1:22" x14ac:dyDescent="0.2">
      <c r="A450"/>
      <c r="B450">
        <v>23057</v>
      </c>
      <c r="C450" t="s">
        <v>2570</v>
      </c>
      <c r="D450" t="s">
        <v>54</v>
      </c>
      <c r="E450" t="s">
        <v>52</v>
      </c>
      <c r="F450" t="s">
        <v>1915</v>
      </c>
      <c r="G450">
        <v>4451.5191533899997</v>
      </c>
      <c r="H450" t="s">
        <v>248</v>
      </c>
      <c r="Q450">
        <v>4447.9164035800004</v>
      </c>
      <c r="R450">
        <v>35811.736814399999</v>
      </c>
      <c r="S450">
        <v>-12.9527338716</v>
      </c>
      <c r="T450">
        <v>135.20207288099999</v>
      </c>
      <c r="U450">
        <v>0</v>
      </c>
      <c r="V450">
        <v>0</v>
      </c>
    </row>
    <row r="451" spans="1:22" x14ac:dyDescent="0.2">
      <c r="A451"/>
      <c r="B451">
        <v>23058</v>
      </c>
      <c r="C451" t="s">
        <v>2571</v>
      </c>
      <c r="D451" t="s">
        <v>53</v>
      </c>
      <c r="E451" t="s">
        <v>52</v>
      </c>
      <c r="F451" t="s">
        <v>1915</v>
      </c>
      <c r="G451">
        <v>4451.5191533899997</v>
      </c>
      <c r="H451" t="s">
        <v>248</v>
      </c>
      <c r="Q451">
        <v>4447.9164035800004</v>
      </c>
      <c r="R451">
        <v>35811.736814399999</v>
      </c>
      <c r="S451">
        <v>-12.9527338716</v>
      </c>
      <c r="T451">
        <v>135.20207288099999</v>
      </c>
      <c r="U451">
        <v>0</v>
      </c>
      <c r="V451">
        <v>0</v>
      </c>
    </row>
    <row r="452" spans="1:22" x14ac:dyDescent="0.2">
      <c r="A452"/>
      <c r="B452">
        <v>23059</v>
      </c>
      <c r="C452" t="s">
        <v>2572</v>
      </c>
      <c r="D452" t="s">
        <v>65</v>
      </c>
      <c r="F452" t="s">
        <v>2310</v>
      </c>
      <c r="G452">
        <v>4381.5315581699997</v>
      </c>
      <c r="H452" t="s">
        <v>248</v>
      </c>
      <c r="Q452">
        <v>4443.0720096499999</v>
      </c>
      <c r="R452">
        <v>35824.517348000001</v>
      </c>
      <c r="S452">
        <v>-13.0003865289</v>
      </c>
      <c r="T452">
        <v>-134.762150453</v>
      </c>
      <c r="U452">
        <v>0</v>
      </c>
      <c r="V452">
        <v>0</v>
      </c>
    </row>
    <row r="453" spans="1:22" x14ac:dyDescent="0.2">
      <c r="A453"/>
      <c r="B453">
        <v>23060</v>
      </c>
      <c r="C453" t="s">
        <v>2573</v>
      </c>
      <c r="D453" t="s">
        <v>59</v>
      </c>
      <c r="E453" t="s">
        <v>1091</v>
      </c>
      <c r="F453" t="s">
        <v>2310</v>
      </c>
      <c r="G453">
        <v>4381.5315581699997</v>
      </c>
      <c r="H453" t="s">
        <v>248</v>
      </c>
      <c r="Q453">
        <v>4444.8470998100001</v>
      </c>
      <c r="R453">
        <v>35822.756934700003</v>
      </c>
      <c r="S453">
        <v>-13.0003865289</v>
      </c>
      <c r="T453">
        <v>-44.762150452699998</v>
      </c>
      <c r="U453">
        <v>0</v>
      </c>
      <c r="V453">
        <v>0</v>
      </c>
    </row>
    <row r="454" spans="1:22" x14ac:dyDescent="0.2">
      <c r="A454"/>
      <c r="B454">
        <v>23061</v>
      </c>
      <c r="C454" t="s">
        <v>2574</v>
      </c>
      <c r="D454" t="s">
        <v>57</v>
      </c>
      <c r="E454" t="s">
        <v>1091</v>
      </c>
      <c r="F454" t="s">
        <v>2310</v>
      </c>
      <c r="G454">
        <v>4381.5315581699997</v>
      </c>
      <c r="H454" t="s">
        <v>248</v>
      </c>
      <c r="Q454">
        <v>4444.8470998100001</v>
      </c>
      <c r="R454">
        <v>35822.756934700003</v>
      </c>
      <c r="S454">
        <v>-13.0003865289</v>
      </c>
      <c r="T454">
        <v>-44.762150452699998</v>
      </c>
      <c r="U454">
        <v>0</v>
      </c>
      <c r="V454">
        <v>0</v>
      </c>
    </row>
    <row r="455" spans="1:22" x14ac:dyDescent="0.2">
      <c r="A455"/>
      <c r="B455">
        <v>23062</v>
      </c>
      <c r="C455" t="s">
        <v>2575</v>
      </c>
      <c r="D455" t="s">
        <v>55</v>
      </c>
      <c r="E455" t="s">
        <v>52</v>
      </c>
      <c r="F455" t="s">
        <v>2310</v>
      </c>
      <c r="G455">
        <v>4381.5315581699997</v>
      </c>
      <c r="H455" t="s">
        <v>248</v>
      </c>
      <c r="Q455">
        <v>4444.8470998100001</v>
      </c>
      <c r="R455">
        <v>35822.756934700003</v>
      </c>
      <c r="S455">
        <v>-13.0003865289</v>
      </c>
      <c r="T455">
        <v>-44.762150452699998</v>
      </c>
      <c r="U455">
        <v>0</v>
      </c>
      <c r="V455">
        <v>0</v>
      </c>
    </row>
    <row r="456" spans="1:22" x14ac:dyDescent="0.2">
      <c r="A456"/>
      <c r="B456">
        <v>23063</v>
      </c>
      <c r="C456" t="s">
        <v>2576</v>
      </c>
      <c r="D456" t="s">
        <v>54</v>
      </c>
      <c r="E456" t="s">
        <v>52</v>
      </c>
      <c r="F456" t="s">
        <v>2310</v>
      </c>
      <c r="G456">
        <v>4381.5315581699997</v>
      </c>
      <c r="H456" t="s">
        <v>248</v>
      </c>
      <c r="Q456">
        <v>4444.8470998100001</v>
      </c>
      <c r="R456">
        <v>35822.756934700003</v>
      </c>
      <c r="S456">
        <v>-13.0003865289</v>
      </c>
      <c r="T456">
        <v>-44.762150452699998</v>
      </c>
      <c r="U456">
        <v>0</v>
      </c>
      <c r="V456">
        <v>0</v>
      </c>
    </row>
    <row r="457" spans="1:22" x14ac:dyDescent="0.2">
      <c r="A457"/>
      <c r="B457">
        <v>23064</v>
      </c>
      <c r="C457" t="s">
        <v>2577</v>
      </c>
      <c r="D457" t="s">
        <v>53</v>
      </c>
      <c r="E457" t="s">
        <v>52</v>
      </c>
      <c r="F457" t="s">
        <v>2310</v>
      </c>
      <c r="G457">
        <v>4381.5315581699997</v>
      </c>
      <c r="H457" t="s">
        <v>248</v>
      </c>
      <c r="Q457">
        <v>4444.8470998100001</v>
      </c>
      <c r="R457">
        <v>35822.756934700003</v>
      </c>
      <c r="S457">
        <v>-13.0003865289</v>
      </c>
      <c r="T457">
        <v>-44.762150452699998</v>
      </c>
      <c r="U457">
        <v>0</v>
      </c>
      <c r="V457">
        <v>0</v>
      </c>
    </row>
    <row r="458" spans="1:22" x14ac:dyDescent="0.2">
      <c r="A458"/>
      <c r="B458">
        <v>23065</v>
      </c>
      <c r="C458" t="s">
        <v>2578</v>
      </c>
      <c r="D458" t="s">
        <v>69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2" x14ac:dyDescent="0.2">
      <c r="A459"/>
      <c r="B459">
        <v>23066</v>
      </c>
      <c r="C459" t="s">
        <v>2579</v>
      </c>
      <c r="D459" t="s">
        <v>65</v>
      </c>
      <c r="F459" t="s">
        <v>1915</v>
      </c>
      <c r="G459">
        <v>5504.8263376499999</v>
      </c>
      <c r="H459" t="s">
        <v>248</v>
      </c>
      <c r="Q459">
        <v>4142.1812648900004</v>
      </c>
      <c r="R459">
        <v>34857.790973100004</v>
      </c>
      <c r="S459">
        <v>-11.1287745624</v>
      </c>
      <c r="T459">
        <v>-86.915594090599996</v>
      </c>
      <c r="U459">
        <v>0</v>
      </c>
      <c r="V459">
        <v>0</v>
      </c>
    </row>
    <row r="460" spans="1:22" x14ac:dyDescent="0.2">
      <c r="A460"/>
      <c r="B460">
        <v>23067</v>
      </c>
      <c r="C460" t="s">
        <v>2580</v>
      </c>
      <c r="D460" t="s">
        <v>59</v>
      </c>
      <c r="E460" t="s">
        <v>1091</v>
      </c>
      <c r="F460" t="s">
        <v>1915</v>
      </c>
      <c r="G460">
        <v>5504.8263376499999</v>
      </c>
      <c r="H460" t="s">
        <v>248</v>
      </c>
      <c r="Q460">
        <v>4139.6848865100001</v>
      </c>
      <c r="R460">
        <v>34857.6564555</v>
      </c>
      <c r="S460">
        <v>-11.1287745624</v>
      </c>
      <c r="T460">
        <v>-176.915594091</v>
      </c>
      <c r="U460">
        <v>0</v>
      </c>
      <c r="V460">
        <v>0</v>
      </c>
    </row>
    <row r="461" spans="1:22" x14ac:dyDescent="0.2">
      <c r="A461"/>
      <c r="B461">
        <v>23068</v>
      </c>
      <c r="C461" t="s">
        <v>2581</v>
      </c>
      <c r="D461" t="s">
        <v>57</v>
      </c>
      <c r="E461" t="s">
        <v>1091</v>
      </c>
      <c r="F461" t="s">
        <v>1915</v>
      </c>
      <c r="G461">
        <v>5504.8263376499999</v>
      </c>
      <c r="H461" t="s">
        <v>248</v>
      </c>
      <c r="Q461">
        <v>4139.6848865100001</v>
      </c>
      <c r="R461">
        <v>34857.6564555</v>
      </c>
      <c r="S461">
        <v>-11.1287745624</v>
      </c>
      <c r="T461">
        <v>-176.915594091</v>
      </c>
      <c r="U461">
        <v>0</v>
      </c>
      <c r="V461">
        <v>0</v>
      </c>
    </row>
    <row r="462" spans="1:22" x14ac:dyDescent="0.2">
      <c r="A462"/>
      <c r="B462">
        <v>23069</v>
      </c>
      <c r="C462" t="s">
        <v>2582</v>
      </c>
      <c r="D462" t="s">
        <v>55</v>
      </c>
      <c r="E462" t="s">
        <v>52</v>
      </c>
      <c r="F462" t="s">
        <v>1915</v>
      </c>
      <c r="G462">
        <v>5504.8263376499999</v>
      </c>
      <c r="H462" t="s">
        <v>248</v>
      </c>
      <c r="Q462">
        <v>4139.6848865100001</v>
      </c>
      <c r="R462">
        <v>34857.6564555</v>
      </c>
      <c r="S462">
        <v>-11.1287745624</v>
      </c>
      <c r="T462">
        <v>-176.915594091</v>
      </c>
      <c r="U462">
        <v>0</v>
      </c>
      <c r="V462">
        <v>0</v>
      </c>
    </row>
    <row r="463" spans="1:22" x14ac:dyDescent="0.2">
      <c r="A463"/>
      <c r="B463">
        <v>23070</v>
      </c>
      <c r="C463" t="s">
        <v>2583</v>
      </c>
      <c r="D463" t="s">
        <v>54</v>
      </c>
      <c r="E463" t="s">
        <v>52</v>
      </c>
      <c r="F463" t="s">
        <v>1915</v>
      </c>
      <c r="G463">
        <v>5504.8263376499999</v>
      </c>
      <c r="H463" t="s">
        <v>248</v>
      </c>
      <c r="Q463">
        <v>4139.6848865100001</v>
      </c>
      <c r="R463">
        <v>34857.6564555</v>
      </c>
      <c r="S463">
        <v>-11.1287745624</v>
      </c>
      <c r="T463">
        <v>-176.915594091</v>
      </c>
      <c r="U463">
        <v>0</v>
      </c>
      <c r="V463">
        <v>0</v>
      </c>
    </row>
    <row r="464" spans="1:22" x14ac:dyDescent="0.2">
      <c r="A464"/>
      <c r="B464">
        <v>23071</v>
      </c>
      <c r="C464" t="s">
        <v>2584</v>
      </c>
      <c r="D464" t="s">
        <v>53</v>
      </c>
      <c r="E464" t="s">
        <v>52</v>
      </c>
      <c r="F464" t="s">
        <v>1915</v>
      </c>
      <c r="G464">
        <v>5504.8263376499999</v>
      </c>
      <c r="H464" t="s">
        <v>248</v>
      </c>
      <c r="Q464">
        <v>4139.6848865100001</v>
      </c>
      <c r="R464">
        <v>34857.6564555</v>
      </c>
      <c r="S464">
        <v>-11.1287745624</v>
      </c>
      <c r="T464">
        <v>-176.915594091</v>
      </c>
      <c r="U464">
        <v>0</v>
      </c>
      <c r="V464">
        <v>0</v>
      </c>
    </row>
    <row r="465" spans="1:22" x14ac:dyDescent="0.2">
      <c r="A465"/>
      <c r="B465">
        <v>23072</v>
      </c>
      <c r="C465" t="s">
        <v>2585</v>
      </c>
      <c r="D465" t="s">
        <v>65</v>
      </c>
      <c r="F465" t="s">
        <v>2310</v>
      </c>
      <c r="G465">
        <v>5442.0713616200001</v>
      </c>
      <c r="H465" t="s">
        <v>248</v>
      </c>
      <c r="Q465">
        <v>4127.1228640099998</v>
      </c>
      <c r="R465">
        <v>34859.576471300003</v>
      </c>
      <c r="S465">
        <v>-11.1723966705</v>
      </c>
      <c r="T465">
        <v>-87.1254652378</v>
      </c>
      <c r="U465">
        <v>0</v>
      </c>
      <c r="V465">
        <v>0</v>
      </c>
    </row>
    <row r="466" spans="1:22" x14ac:dyDescent="0.2">
      <c r="A466"/>
      <c r="B466">
        <v>23073</v>
      </c>
      <c r="C466" t="s">
        <v>2586</v>
      </c>
      <c r="D466" t="s">
        <v>59</v>
      </c>
      <c r="E466" t="s">
        <v>1091</v>
      </c>
      <c r="F466" t="s">
        <v>2310</v>
      </c>
      <c r="G466">
        <v>5442.0713616200001</v>
      </c>
      <c r="H466" t="s">
        <v>248</v>
      </c>
      <c r="Q466">
        <v>4129.6197183699996</v>
      </c>
      <c r="R466">
        <v>34859.701843900002</v>
      </c>
      <c r="S466">
        <v>-11.1723966705</v>
      </c>
      <c r="T466">
        <v>2.8745347622300002</v>
      </c>
      <c r="U466">
        <v>0</v>
      </c>
      <c r="V466">
        <v>0</v>
      </c>
    </row>
    <row r="467" spans="1:22" x14ac:dyDescent="0.2">
      <c r="A467"/>
      <c r="B467">
        <v>23074</v>
      </c>
      <c r="C467" t="s">
        <v>2587</v>
      </c>
      <c r="D467" t="s">
        <v>57</v>
      </c>
      <c r="E467" t="s">
        <v>1091</v>
      </c>
      <c r="F467" t="s">
        <v>2310</v>
      </c>
      <c r="G467">
        <v>5442.0713616200001</v>
      </c>
      <c r="H467" t="s">
        <v>248</v>
      </c>
      <c r="Q467">
        <v>4129.6197183699996</v>
      </c>
      <c r="R467">
        <v>34859.701843900002</v>
      </c>
      <c r="S467">
        <v>-11.1723966705</v>
      </c>
      <c r="T467">
        <v>2.8745347622300002</v>
      </c>
      <c r="U467">
        <v>0</v>
      </c>
      <c r="V467">
        <v>0</v>
      </c>
    </row>
    <row r="468" spans="1:22" x14ac:dyDescent="0.2">
      <c r="A468"/>
      <c r="B468">
        <v>23075</v>
      </c>
      <c r="C468" t="s">
        <v>2588</v>
      </c>
      <c r="D468" t="s">
        <v>55</v>
      </c>
      <c r="E468" t="s">
        <v>52</v>
      </c>
      <c r="F468" t="s">
        <v>2310</v>
      </c>
      <c r="G468">
        <v>5442.0713616200001</v>
      </c>
      <c r="H468" t="s">
        <v>248</v>
      </c>
      <c r="Q468">
        <v>4129.6197183699996</v>
      </c>
      <c r="R468">
        <v>34859.701843900002</v>
      </c>
      <c r="S468">
        <v>-11.1723966705</v>
      </c>
      <c r="T468">
        <v>2.8745347622300002</v>
      </c>
      <c r="U468">
        <v>0</v>
      </c>
      <c r="V468">
        <v>0</v>
      </c>
    </row>
    <row r="469" spans="1:22" x14ac:dyDescent="0.2">
      <c r="A469"/>
      <c r="B469">
        <v>23076</v>
      </c>
      <c r="C469" t="s">
        <v>2589</v>
      </c>
      <c r="D469" t="s">
        <v>54</v>
      </c>
      <c r="E469" t="s">
        <v>52</v>
      </c>
      <c r="F469" t="s">
        <v>2310</v>
      </c>
      <c r="G469">
        <v>5442.0713616200001</v>
      </c>
      <c r="H469" t="s">
        <v>248</v>
      </c>
      <c r="Q469">
        <v>4129.6197183699996</v>
      </c>
      <c r="R469">
        <v>34859.701843900002</v>
      </c>
      <c r="S469">
        <v>-11.1723966705</v>
      </c>
      <c r="T469">
        <v>2.8745347622300002</v>
      </c>
      <c r="U469">
        <v>0</v>
      </c>
      <c r="V469">
        <v>0</v>
      </c>
    </row>
    <row r="470" spans="1:22" x14ac:dyDescent="0.2">
      <c r="A470"/>
      <c r="B470">
        <v>23077</v>
      </c>
      <c r="C470" t="s">
        <v>2590</v>
      </c>
      <c r="D470" t="s">
        <v>53</v>
      </c>
      <c r="E470" t="s">
        <v>52</v>
      </c>
      <c r="F470" t="s">
        <v>2310</v>
      </c>
      <c r="G470">
        <v>5442.0713616200001</v>
      </c>
      <c r="H470" t="s">
        <v>248</v>
      </c>
      <c r="Q470">
        <v>4129.6197183699996</v>
      </c>
      <c r="R470">
        <v>34859.701843900002</v>
      </c>
      <c r="S470">
        <v>-11.1723966705</v>
      </c>
      <c r="T470">
        <v>2.8745347622300002</v>
      </c>
      <c r="U470">
        <v>0</v>
      </c>
      <c r="V470">
        <v>0</v>
      </c>
    </row>
    <row r="471" spans="1:22" x14ac:dyDescent="0.2">
      <c r="A471"/>
      <c r="B471">
        <v>23078</v>
      </c>
      <c r="C471" t="s">
        <v>2591</v>
      </c>
      <c r="D471" t="s">
        <v>69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2" x14ac:dyDescent="0.2">
      <c r="A472"/>
      <c r="B472">
        <v>23079</v>
      </c>
      <c r="C472" t="s">
        <v>2592</v>
      </c>
      <c r="D472" t="s">
        <v>65</v>
      </c>
      <c r="F472" t="s">
        <v>1915</v>
      </c>
      <c r="G472">
        <v>6424.6224566600004</v>
      </c>
      <c r="H472" t="s">
        <v>248</v>
      </c>
      <c r="Q472">
        <v>4102.3137266399999</v>
      </c>
      <c r="R472">
        <v>33940.0227983</v>
      </c>
      <c r="S472">
        <v>-10.7973607632</v>
      </c>
      <c r="T472">
        <v>-91.274472099600004</v>
      </c>
      <c r="U472">
        <v>0</v>
      </c>
      <c r="V472">
        <v>0</v>
      </c>
    </row>
    <row r="473" spans="1:22" x14ac:dyDescent="0.2">
      <c r="A473"/>
      <c r="B473">
        <v>23080</v>
      </c>
      <c r="C473" t="s">
        <v>2593</v>
      </c>
      <c r="D473" t="s">
        <v>59</v>
      </c>
      <c r="E473" t="s">
        <v>1091</v>
      </c>
      <c r="F473" t="s">
        <v>1915</v>
      </c>
      <c r="G473">
        <v>6424.6224566600004</v>
      </c>
      <c r="H473" t="s">
        <v>248</v>
      </c>
      <c r="Q473">
        <v>4099.8143450999996</v>
      </c>
      <c r="R473">
        <v>33940.078403</v>
      </c>
      <c r="S473">
        <v>-10.7973607632</v>
      </c>
      <c r="T473">
        <v>178.7255279</v>
      </c>
      <c r="U473">
        <v>0</v>
      </c>
      <c r="V473">
        <v>0</v>
      </c>
    </row>
    <row r="474" spans="1:22" x14ac:dyDescent="0.2">
      <c r="A474"/>
      <c r="B474">
        <v>23081</v>
      </c>
      <c r="C474" t="s">
        <v>2594</v>
      </c>
      <c r="D474" t="s">
        <v>57</v>
      </c>
      <c r="E474" t="s">
        <v>1091</v>
      </c>
      <c r="F474" t="s">
        <v>1915</v>
      </c>
      <c r="G474">
        <v>6424.6224566600004</v>
      </c>
      <c r="H474" t="s">
        <v>248</v>
      </c>
      <c r="Q474">
        <v>4099.8143450999996</v>
      </c>
      <c r="R474">
        <v>33940.078403</v>
      </c>
      <c r="S474">
        <v>-10.7973607632</v>
      </c>
      <c r="T474">
        <v>178.7255279</v>
      </c>
      <c r="U474">
        <v>0</v>
      </c>
      <c r="V474">
        <v>0</v>
      </c>
    </row>
    <row r="475" spans="1:22" x14ac:dyDescent="0.2">
      <c r="A475"/>
      <c r="B475">
        <v>23082</v>
      </c>
      <c r="C475" t="s">
        <v>2595</v>
      </c>
      <c r="D475" t="s">
        <v>55</v>
      </c>
      <c r="E475" t="s">
        <v>52</v>
      </c>
      <c r="F475" t="s">
        <v>1915</v>
      </c>
      <c r="G475">
        <v>6424.6224566600004</v>
      </c>
      <c r="H475" t="s">
        <v>248</v>
      </c>
      <c r="Q475">
        <v>4099.8143450999996</v>
      </c>
      <c r="R475">
        <v>33940.078403</v>
      </c>
      <c r="S475">
        <v>-10.7973607632</v>
      </c>
      <c r="T475">
        <v>178.7255279</v>
      </c>
      <c r="U475">
        <v>0</v>
      </c>
      <c r="V475">
        <v>0</v>
      </c>
    </row>
    <row r="476" spans="1:22" x14ac:dyDescent="0.2">
      <c r="A476"/>
      <c r="B476">
        <v>23083</v>
      </c>
      <c r="C476" t="s">
        <v>2596</v>
      </c>
      <c r="D476" t="s">
        <v>54</v>
      </c>
      <c r="E476" t="s">
        <v>52</v>
      </c>
      <c r="F476" t="s">
        <v>1915</v>
      </c>
      <c r="G476">
        <v>6424.6224566600004</v>
      </c>
      <c r="H476" t="s">
        <v>248</v>
      </c>
      <c r="Q476">
        <v>4099.8143450999996</v>
      </c>
      <c r="R476">
        <v>33940.078403</v>
      </c>
      <c r="S476">
        <v>-10.7973607632</v>
      </c>
      <c r="T476">
        <v>178.7255279</v>
      </c>
      <c r="U476">
        <v>0</v>
      </c>
      <c r="V476">
        <v>0</v>
      </c>
    </row>
    <row r="477" spans="1:22" x14ac:dyDescent="0.2">
      <c r="A477"/>
      <c r="B477">
        <v>23084</v>
      </c>
      <c r="C477" t="s">
        <v>2597</v>
      </c>
      <c r="D477" t="s">
        <v>53</v>
      </c>
      <c r="E477" t="s">
        <v>52</v>
      </c>
      <c r="F477" t="s">
        <v>1915</v>
      </c>
      <c r="G477">
        <v>6424.6224566600004</v>
      </c>
      <c r="H477" t="s">
        <v>248</v>
      </c>
      <c r="Q477">
        <v>4099.8143450999996</v>
      </c>
      <c r="R477">
        <v>33940.078403</v>
      </c>
      <c r="S477">
        <v>-10.7973607632</v>
      </c>
      <c r="T477">
        <v>178.7255279</v>
      </c>
      <c r="U477">
        <v>0</v>
      </c>
      <c r="V477">
        <v>0</v>
      </c>
    </row>
    <row r="478" spans="1:22" x14ac:dyDescent="0.2">
      <c r="A478"/>
      <c r="B478">
        <v>23085</v>
      </c>
      <c r="C478" t="s">
        <v>2598</v>
      </c>
      <c r="D478" t="s">
        <v>65</v>
      </c>
      <c r="F478" t="s">
        <v>2310</v>
      </c>
      <c r="G478">
        <v>6364.2683758100002</v>
      </c>
      <c r="H478" t="s">
        <v>248</v>
      </c>
      <c r="Q478">
        <v>4087.3626426300002</v>
      </c>
      <c r="R478">
        <v>33940.154565899997</v>
      </c>
      <c r="S478">
        <v>-10.8327594568</v>
      </c>
      <c r="T478">
        <v>-91.306420096599993</v>
      </c>
      <c r="U478">
        <v>0</v>
      </c>
      <c r="V478">
        <v>0</v>
      </c>
    </row>
    <row r="479" spans="1:22" x14ac:dyDescent="0.2">
      <c r="A479"/>
      <c r="B479">
        <v>23086</v>
      </c>
      <c r="C479" t="s">
        <v>2599</v>
      </c>
      <c r="D479" t="s">
        <v>59</v>
      </c>
      <c r="E479" t="s">
        <v>1091</v>
      </c>
      <c r="F479" t="s">
        <v>2310</v>
      </c>
      <c r="G479">
        <v>6364.2683758100002</v>
      </c>
      <c r="H479" t="s">
        <v>248</v>
      </c>
      <c r="Q479">
        <v>4089.86199278</v>
      </c>
      <c r="R479">
        <v>33940.097567500001</v>
      </c>
      <c r="S479">
        <v>-10.8327594568</v>
      </c>
      <c r="T479">
        <v>-1.3064200966199999</v>
      </c>
      <c r="U479">
        <v>0</v>
      </c>
      <c r="V479">
        <v>0</v>
      </c>
    </row>
    <row r="480" spans="1:22" x14ac:dyDescent="0.2">
      <c r="A480"/>
      <c r="B480">
        <v>23087</v>
      </c>
      <c r="C480" t="s">
        <v>2600</v>
      </c>
      <c r="D480" t="s">
        <v>57</v>
      </c>
      <c r="E480" t="s">
        <v>1091</v>
      </c>
      <c r="F480" t="s">
        <v>2310</v>
      </c>
      <c r="G480">
        <v>6364.2683758100002</v>
      </c>
      <c r="H480" t="s">
        <v>248</v>
      </c>
      <c r="Q480">
        <v>4089.86199278</v>
      </c>
      <c r="R480">
        <v>33940.097567500001</v>
      </c>
      <c r="S480">
        <v>-10.8327594568</v>
      </c>
      <c r="T480">
        <v>-1.3064200966199999</v>
      </c>
      <c r="U480">
        <v>0</v>
      </c>
      <c r="V480">
        <v>0</v>
      </c>
    </row>
    <row r="481" spans="1:22" x14ac:dyDescent="0.2">
      <c r="A481"/>
      <c r="B481">
        <v>23088</v>
      </c>
      <c r="C481" t="s">
        <v>2601</v>
      </c>
      <c r="D481" t="s">
        <v>55</v>
      </c>
      <c r="E481" t="s">
        <v>52</v>
      </c>
      <c r="F481" t="s">
        <v>2310</v>
      </c>
      <c r="G481">
        <v>6364.2683758100002</v>
      </c>
      <c r="H481" t="s">
        <v>248</v>
      </c>
      <c r="Q481">
        <v>4089.86199278</v>
      </c>
      <c r="R481">
        <v>33940.097567500001</v>
      </c>
      <c r="S481">
        <v>-10.8327594568</v>
      </c>
      <c r="T481">
        <v>-1.3064200966199999</v>
      </c>
      <c r="U481">
        <v>0</v>
      </c>
      <c r="V481">
        <v>0</v>
      </c>
    </row>
    <row r="482" spans="1:22" x14ac:dyDescent="0.2">
      <c r="A482"/>
      <c r="B482">
        <v>23089</v>
      </c>
      <c r="C482" t="s">
        <v>2602</v>
      </c>
      <c r="D482" t="s">
        <v>54</v>
      </c>
      <c r="E482" t="s">
        <v>52</v>
      </c>
      <c r="F482" t="s">
        <v>2310</v>
      </c>
      <c r="G482">
        <v>6364.2683758100002</v>
      </c>
      <c r="H482" t="s">
        <v>248</v>
      </c>
      <c r="Q482">
        <v>4089.86199278</v>
      </c>
      <c r="R482">
        <v>33940.097567500001</v>
      </c>
      <c r="S482">
        <v>-10.8327594568</v>
      </c>
      <c r="T482">
        <v>-1.3064200966199999</v>
      </c>
      <c r="U482">
        <v>0</v>
      </c>
      <c r="V482">
        <v>0</v>
      </c>
    </row>
    <row r="483" spans="1:22" x14ac:dyDescent="0.2">
      <c r="A483"/>
      <c r="B483">
        <v>23090</v>
      </c>
      <c r="C483" t="s">
        <v>2603</v>
      </c>
      <c r="D483" t="s">
        <v>53</v>
      </c>
      <c r="E483" t="s">
        <v>52</v>
      </c>
      <c r="F483" t="s">
        <v>2310</v>
      </c>
      <c r="G483">
        <v>6364.2683758100002</v>
      </c>
      <c r="H483" t="s">
        <v>248</v>
      </c>
      <c r="Q483">
        <v>4089.86199278</v>
      </c>
      <c r="R483">
        <v>33940.097567500001</v>
      </c>
      <c r="S483">
        <v>-10.8327594568</v>
      </c>
      <c r="T483">
        <v>-1.3064200966199999</v>
      </c>
      <c r="U483">
        <v>0</v>
      </c>
      <c r="V483">
        <v>0</v>
      </c>
    </row>
    <row r="484" spans="1:22" x14ac:dyDescent="0.2">
      <c r="A484"/>
      <c r="B484">
        <v>23091</v>
      </c>
      <c r="C484" t="s">
        <v>2604</v>
      </c>
      <c r="D484" t="s">
        <v>69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:22" x14ac:dyDescent="0.2">
      <c r="A485"/>
      <c r="B485">
        <v>23092</v>
      </c>
      <c r="C485" t="s">
        <v>2605</v>
      </c>
      <c r="D485" t="s">
        <v>65</v>
      </c>
      <c r="F485" t="s">
        <v>1915</v>
      </c>
      <c r="G485">
        <v>7499.5932947700003</v>
      </c>
      <c r="H485" t="s">
        <v>248</v>
      </c>
      <c r="Q485">
        <v>3686.1935321400001</v>
      </c>
      <c r="R485">
        <v>32992.8424199</v>
      </c>
      <c r="S485">
        <v>-11.285426235199999</v>
      </c>
      <c r="T485">
        <v>-130.348397597</v>
      </c>
      <c r="U485">
        <v>0</v>
      </c>
      <c r="V485">
        <v>0</v>
      </c>
    </row>
    <row r="486" spans="1:22" x14ac:dyDescent="0.2">
      <c r="A486"/>
      <c r="B486">
        <v>23093</v>
      </c>
      <c r="C486" t="s">
        <v>2606</v>
      </c>
      <c r="D486" t="s">
        <v>59</v>
      </c>
      <c r="E486" t="s">
        <v>1091</v>
      </c>
      <c r="F486" t="s">
        <v>1915</v>
      </c>
      <c r="G486">
        <v>7499.5932947700003</v>
      </c>
      <c r="H486" t="s">
        <v>248</v>
      </c>
      <c r="Q486">
        <v>3684.2882278500001</v>
      </c>
      <c r="R486">
        <v>32994.461004299999</v>
      </c>
      <c r="S486">
        <v>-11.285426235199999</v>
      </c>
      <c r="T486">
        <v>139.651602403</v>
      </c>
      <c r="U486">
        <v>0</v>
      </c>
      <c r="V486">
        <v>0</v>
      </c>
    </row>
    <row r="487" spans="1:22" x14ac:dyDescent="0.2">
      <c r="A487"/>
      <c r="B487">
        <v>23094</v>
      </c>
      <c r="C487" t="s">
        <v>2607</v>
      </c>
      <c r="D487" t="s">
        <v>57</v>
      </c>
      <c r="E487" t="s">
        <v>1091</v>
      </c>
      <c r="F487" t="s">
        <v>1915</v>
      </c>
      <c r="G487">
        <v>7499.5932947700003</v>
      </c>
      <c r="H487" t="s">
        <v>248</v>
      </c>
      <c r="Q487">
        <v>3684.2882278500001</v>
      </c>
      <c r="R487">
        <v>32994.461004299999</v>
      </c>
      <c r="S487">
        <v>-11.285426235199999</v>
      </c>
      <c r="T487">
        <v>139.651602403</v>
      </c>
      <c r="U487">
        <v>0</v>
      </c>
      <c r="V487">
        <v>0</v>
      </c>
    </row>
    <row r="488" spans="1:22" x14ac:dyDescent="0.2">
      <c r="A488"/>
      <c r="B488">
        <v>23095</v>
      </c>
      <c r="C488" t="s">
        <v>2608</v>
      </c>
      <c r="D488" t="s">
        <v>55</v>
      </c>
      <c r="E488" t="s">
        <v>52</v>
      </c>
      <c r="F488" t="s">
        <v>1915</v>
      </c>
      <c r="G488">
        <v>7499.5932947700003</v>
      </c>
      <c r="H488" t="s">
        <v>248</v>
      </c>
      <c r="Q488">
        <v>3684.2882278500001</v>
      </c>
      <c r="R488">
        <v>32994.461004299999</v>
      </c>
      <c r="S488">
        <v>-11.285426235199999</v>
      </c>
      <c r="T488">
        <v>139.651602403</v>
      </c>
      <c r="U488">
        <v>0</v>
      </c>
      <c r="V488">
        <v>0</v>
      </c>
    </row>
    <row r="489" spans="1:22" x14ac:dyDescent="0.2">
      <c r="A489"/>
      <c r="B489">
        <v>23096</v>
      </c>
      <c r="C489" t="s">
        <v>2609</v>
      </c>
      <c r="D489" t="s">
        <v>54</v>
      </c>
      <c r="E489" t="s">
        <v>52</v>
      </c>
      <c r="F489" t="s">
        <v>1915</v>
      </c>
      <c r="G489">
        <v>7499.5932947700003</v>
      </c>
      <c r="H489" t="s">
        <v>248</v>
      </c>
      <c r="Q489">
        <v>3684.2882278500001</v>
      </c>
      <c r="R489">
        <v>32994.461004299999</v>
      </c>
      <c r="S489">
        <v>-11.285426235199999</v>
      </c>
      <c r="T489">
        <v>139.651602403</v>
      </c>
      <c r="U489">
        <v>0</v>
      </c>
      <c r="V489">
        <v>0</v>
      </c>
    </row>
    <row r="490" spans="1:22" x14ac:dyDescent="0.2">
      <c r="A490"/>
      <c r="B490">
        <v>23097</v>
      </c>
      <c r="C490" t="s">
        <v>2610</v>
      </c>
      <c r="D490" t="s">
        <v>53</v>
      </c>
      <c r="E490" t="s">
        <v>52</v>
      </c>
      <c r="F490" t="s">
        <v>1915</v>
      </c>
      <c r="G490">
        <v>7499.5932947700003</v>
      </c>
      <c r="H490" t="s">
        <v>248</v>
      </c>
      <c r="Q490">
        <v>3684.2882278500001</v>
      </c>
      <c r="R490">
        <v>32994.461004299999</v>
      </c>
      <c r="S490">
        <v>-11.285426235199999</v>
      </c>
      <c r="T490">
        <v>139.651602403</v>
      </c>
      <c r="U490">
        <v>0</v>
      </c>
      <c r="V490">
        <v>0</v>
      </c>
    </row>
    <row r="491" spans="1:22" x14ac:dyDescent="0.2">
      <c r="A491"/>
      <c r="B491">
        <v>23098</v>
      </c>
      <c r="C491" t="s">
        <v>2611</v>
      </c>
      <c r="D491" t="s">
        <v>65</v>
      </c>
      <c r="F491" t="s">
        <v>2310</v>
      </c>
      <c r="G491">
        <v>7439.1631189099999</v>
      </c>
      <c r="H491" t="s">
        <v>248</v>
      </c>
      <c r="Q491">
        <v>3672.6070521500001</v>
      </c>
      <c r="R491">
        <v>32999.781503899998</v>
      </c>
      <c r="S491">
        <v>-11.313308666399999</v>
      </c>
      <c r="T491">
        <v>-130.35709221600001</v>
      </c>
      <c r="U491">
        <v>0</v>
      </c>
      <c r="V491">
        <v>0</v>
      </c>
    </row>
    <row r="492" spans="1:22" x14ac:dyDescent="0.2">
      <c r="A492"/>
      <c r="B492">
        <v>23099</v>
      </c>
      <c r="C492" t="s">
        <v>2612</v>
      </c>
      <c r="D492" t="s">
        <v>59</v>
      </c>
      <c r="E492" t="s">
        <v>1091</v>
      </c>
      <c r="F492" t="s">
        <v>2310</v>
      </c>
      <c r="G492">
        <v>7439.1631189099999</v>
      </c>
      <c r="H492" t="s">
        <v>248</v>
      </c>
      <c r="Q492">
        <v>3674.5121107999998</v>
      </c>
      <c r="R492">
        <v>32998.162630400002</v>
      </c>
      <c r="S492">
        <v>-11.313308666399999</v>
      </c>
      <c r="T492">
        <v>-40.357092215800002</v>
      </c>
      <c r="U492">
        <v>0</v>
      </c>
      <c r="V492">
        <v>0</v>
      </c>
    </row>
    <row r="493" spans="1:22" x14ac:dyDescent="0.2">
      <c r="A493"/>
      <c r="B493">
        <v>23100</v>
      </c>
      <c r="C493" t="s">
        <v>2613</v>
      </c>
      <c r="D493" t="s">
        <v>57</v>
      </c>
      <c r="E493" t="s">
        <v>1091</v>
      </c>
      <c r="F493" t="s">
        <v>2310</v>
      </c>
      <c r="G493">
        <v>7439.1631189099999</v>
      </c>
      <c r="H493" t="s">
        <v>248</v>
      </c>
      <c r="Q493">
        <v>3674.5121107999998</v>
      </c>
      <c r="R493">
        <v>32998.162630400002</v>
      </c>
      <c r="S493">
        <v>-11.313308666399999</v>
      </c>
      <c r="T493">
        <v>-40.357092215800002</v>
      </c>
      <c r="U493">
        <v>0</v>
      </c>
      <c r="V493">
        <v>0</v>
      </c>
    </row>
    <row r="494" spans="1:22" x14ac:dyDescent="0.2">
      <c r="A494"/>
      <c r="B494">
        <v>23101</v>
      </c>
      <c r="C494" t="s">
        <v>2614</v>
      </c>
      <c r="D494" t="s">
        <v>55</v>
      </c>
      <c r="E494" t="s">
        <v>52</v>
      </c>
      <c r="F494" t="s">
        <v>2310</v>
      </c>
      <c r="G494">
        <v>7439.1631189099999</v>
      </c>
      <c r="H494" t="s">
        <v>248</v>
      </c>
      <c r="Q494">
        <v>3674.5121107999998</v>
      </c>
      <c r="R494">
        <v>32998.162630400002</v>
      </c>
      <c r="S494">
        <v>-11.313308666399999</v>
      </c>
      <c r="T494">
        <v>-40.357092215800002</v>
      </c>
      <c r="U494">
        <v>0</v>
      </c>
      <c r="V494">
        <v>0</v>
      </c>
    </row>
    <row r="495" spans="1:22" x14ac:dyDescent="0.2">
      <c r="A495"/>
      <c r="B495">
        <v>23102</v>
      </c>
      <c r="C495" t="s">
        <v>2615</v>
      </c>
      <c r="D495" t="s">
        <v>54</v>
      </c>
      <c r="E495" t="s">
        <v>52</v>
      </c>
      <c r="F495" t="s">
        <v>2310</v>
      </c>
      <c r="G495">
        <v>7439.1631189099999</v>
      </c>
      <c r="H495" t="s">
        <v>248</v>
      </c>
      <c r="Q495">
        <v>3674.5121107999998</v>
      </c>
      <c r="R495">
        <v>32998.162630400002</v>
      </c>
      <c r="S495">
        <v>-11.313308666399999</v>
      </c>
      <c r="T495">
        <v>-40.357092215800002</v>
      </c>
      <c r="U495">
        <v>0</v>
      </c>
      <c r="V495">
        <v>0</v>
      </c>
    </row>
    <row r="496" spans="1:22" x14ac:dyDescent="0.2">
      <c r="A496"/>
      <c r="B496">
        <v>23103</v>
      </c>
      <c r="C496" t="s">
        <v>2616</v>
      </c>
      <c r="D496" t="s">
        <v>53</v>
      </c>
      <c r="E496" t="s">
        <v>52</v>
      </c>
      <c r="F496" t="s">
        <v>2310</v>
      </c>
      <c r="G496">
        <v>7439.1631189099999</v>
      </c>
      <c r="H496" t="s">
        <v>248</v>
      </c>
      <c r="Q496">
        <v>3674.5121107999998</v>
      </c>
      <c r="R496">
        <v>32998.162630400002</v>
      </c>
      <c r="S496">
        <v>-11.313308666399999</v>
      </c>
      <c r="T496">
        <v>-40.357092215800002</v>
      </c>
      <c r="U496">
        <v>0</v>
      </c>
      <c r="V496">
        <v>0</v>
      </c>
    </row>
    <row r="497" spans="1:22" x14ac:dyDescent="0.2">
      <c r="A497"/>
      <c r="B497">
        <v>23104</v>
      </c>
      <c r="C497" t="s">
        <v>2617</v>
      </c>
      <c r="D497" t="s">
        <v>69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2">
      <c r="A498"/>
      <c r="B498">
        <v>23105</v>
      </c>
      <c r="C498" t="s">
        <v>2618</v>
      </c>
      <c r="D498" t="s">
        <v>65</v>
      </c>
      <c r="F498" t="s">
        <v>2316</v>
      </c>
      <c r="G498">
        <v>322.001546265</v>
      </c>
      <c r="H498" t="s">
        <v>248</v>
      </c>
      <c r="Q498">
        <v>3374.7814038500001</v>
      </c>
      <c r="R498">
        <v>32147.8924725</v>
      </c>
      <c r="S498">
        <v>-10.776220866899999</v>
      </c>
      <c r="T498">
        <v>-103.77899165700001</v>
      </c>
      <c r="U498">
        <v>0</v>
      </c>
      <c r="V498">
        <v>0</v>
      </c>
    </row>
    <row r="499" spans="1:22" x14ac:dyDescent="0.2">
      <c r="A499"/>
      <c r="B499">
        <v>23106</v>
      </c>
      <c r="C499" t="s">
        <v>2619</v>
      </c>
      <c r="D499" t="s">
        <v>59</v>
      </c>
      <c r="E499" t="s">
        <v>1091</v>
      </c>
      <c r="F499" t="s">
        <v>2316</v>
      </c>
      <c r="G499">
        <v>322.001546265</v>
      </c>
      <c r="H499" t="s">
        <v>248</v>
      </c>
      <c r="Q499">
        <v>3372.3533496599998</v>
      </c>
      <c r="R499">
        <v>32148.487915900001</v>
      </c>
      <c r="S499">
        <v>-10.776220866899999</v>
      </c>
      <c r="T499">
        <v>166.22100834299999</v>
      </c>
      <c r="U499">
        <v>0</v>
      </c>
      <c r="V499">
        <v>0</v>
      </c>
    </row>
    <row r="500" spans="1:22" x14ac:dyDescent="0.2">
      <c r="A500"/>
      <c r="B500">
        <v>23107</v>
      </c>
      <c r="C500" t="s">
        <v>2620</v>
      </c>
      <c r="D500" t="s">
        <v>57</v>
      </c>
      <c r="E500" t="s">
        <v>1091</v>
      </c>
      <c r="F500" t="s">
        <v>2316</v>
      </c>
      <c r="G500">
        <v>322.001546265</v>
      </c>
      <c r="H500" t="s">
        <v>248</v>
      </c>
      <c r="Q500">
        <v>3372.3533496599998</v>
      </c>
      <c r="R500">
        <v>32148.487915900001</v>
      </c>
      <c r="S500">
        <v>-10.776220866899999</v>
      </c>
      <c r="T500">
        <v>166.22100834299999</v>
      </c>
      <c r="U500">
        <v>0</v>
      </c>
      <c r="V500">
        <v>0</v>
      </c>
    </row>
    <row r="501" spans="1:22" x14ac:dyDescent="0.2">
      <c r="A501"/>
      <c r="B501">
        <v>23108</v>
      </c>
      <c r="C501" t="s">
        <v>2621</v>
      </c>
      <c r="D501" t="s">
        <v>55</v>
      </c>
      <c r="E501" t="s">
        <v>52</v>
      </c>
      <c r="F501" t="s">
        <v>2316</v>
      </c>
      <c r="G501">
        <v>322.001546265</v>
      </c>
      <c r="H501" t="s">
        <v>248</v>
      </c>
      <c r="Q501">
        <v>3372.3533496599998</v>
      </c>
      <c r="R501">
        <v>32148.487915900001</v>
      </c>
      <c r="S501">
        <v>-10.776220866899999</v>
      </c>
      <c r="T501">
        <v>166.22100834299999</v>
      </c>
      <c r="U501">
        <v>0</v>
      </c>
      <c r="V501">
        <v>0</v>
      </c>
    </row>
    <row r="502" spans="1:22" x14ac:dyDescent="0.2">
      <c r="A502"/>
      <c r="B502">
        <v>23109</v>
      </c>
      <c r="C502" t="s">
        <v>2622</v>
      </c>
      <c r="D502" t="s">
        <v>54</v>
      </c>
      <c r="E502" t="s">
        <v>52</v>
      </c>
      <c r="F502" t="s">
        <v>2316</v>
      </c>
      <c r="G502">
        <v>322.001546265</v>
      </c>
      <c r="H502" t="s">
        <v>248</v>
      </c>
      <c r="Q502">
        <v>3372.3533496599998</v>
      </c>
      <c r="R502">
        <v>32148.487915900001</v>
      </c>
      <c r="S502">
        <v>-10.776220866899999</v>
      </c>
      <c r="T502">
        <v>166.22100834299999</v>
      </c>
      <c r="U502">
        <v>0</v>
      </c>
      <c r="V502">
        <v>0</v>
      </c>
    </row>
    <row r="503" spans="1:22" x14ac:dyDescent="0.2">
      <c r="A503"/>
      <c r="B503">
        <v>23110</v>
      </c>
      <c r="C503" t="s">
        <v>2623</v>
      </c>
      <c r="D503" t="s">
        <v>53</v>
      </c>
      <c r="E503" t="s">
        <v>52</v>
      </c>
      <c r="F503" t="s">
        <v>2316</v>
      </c>
      <c r="G503">
        <v>322.001546265</v>
      </c>
      <c r="H503" t="s">
        <v>248</v>
      </c>
      <c r="Q503">
        <v>3372.3533496599998</v>
      </c>
      <c r="R503">
        <v>32148.487915900001</v>
      </c>
      <c r="S503">
        <v>-10.776220866899999</v>
      </c>
      <c r="T503">
        <v>166.22100834299999</v>
      </c>
      <c r="U503">
        <v>0</v>
      </c>
      <c r="V503">
        <v>0</v>
      </c>
    </row>
    <row r="504" spans="1:22" x14ac:dyDescent="0.2">
      <c r="A504"/>
      <c r="B504">
        <v>23111</v>
      </c>
      <c r="C504" t="s">
        <v>2624</v>
      </c>
      <c r="D504" t="s">
        <v>65</v>
      </c>
      <c r="F504" t="s">
        <v>2325</v>
      </c>
      <c r="G504">
        <v>234.77281837999999</v>
      </c>
      <c r="H504" t="s">
        <v>248</v>
      </c>
      <c r="Q504">
        <v>3360.82438895</v>
      </c>
      <c r="R504">
        <v>32153.6011918</v>
      </c>
      <c r="S504">
        <v>-10.794316011399999</v>
      </c>
      <c r="T504">
        <v>-103.576476164</v>
      </c>
      <c r="U504">
        <v>0</v>
      </c>
      <c r="V504">
        <v>0</v>
      </c>
    </row>
    <row r="505" spans="1:22" x14ac:dyDescent="0.2">
      <c r="A505"/>
      <c r="B505">
        <v>23112</v>
      </c>
      <c r="C505" t="s">
        <v>2625</v>
      </c>
      <c r="D505" t="s">
        <v>59</v>
      </c>
      <c r="E505" t="s">
        <v>1091</v>
      </c>
      <c r="F505" t="s">
        <v>2325</v>
      </c>
      <c r="G505">
        <v>234.77281837999999</v>
      </c>
      <c r="H505" t="s">
        <v>248</v>
      </c>
      <c r="Q505">
        <v>3363.2545325999999</v>
      </c>
      <c r="R505">
        <v>32153.014334200001</v>
      </c>
      <c r="S505">
        <v>-10.794316011399999</v>
      </c>
      <c r="T505">
        <v>-13.576476164200001</v>
      </c>
      <c r="U505">
        <v>0</v>
      </c>
      <c r="V505">
        <v>0</v>
      </c>
    </row>
    <row r="506" spans="1:22" x14ac:dyDescent="0.2">
      <c r="A506"/>
      <c r="B506">
        <v>23113</v>
      </c>
      <c r="C506" t="s">
        <v>2626</v>
      </c>
      <c r="D506" t="s">
        <v>57</v>
      </c>
      <c r="E506" t="s">
        <v>1091</v>
      </c>
      <c r="F506" t="s">
        <v>2325</v>
      </c>
      <c r="G506">
        <v>234.77281837999999</v>
      </c>
      <c r="H506" t="s">
        <v>248</v>
      </c>
      <c r="Q506">
        <v>3363.2545325999999</v>
      </c>
      <c r="R506">
        <v>32153.014334200001</v>
      </c>
      <c r="S506">
        <v>-10.794316011399999</v>
      </c>
      <c r="T506">
        <v>-13.576476164200001</v>
      </c>
      <c r="U506">
        <v>0</v>
      </c>
      <c r="V506">
        <v>0</v>
      </c>
    </row>
    <row r="507" spans="1:22" x14ac:dyDescent="0.2">
      <c r="A507"/>
      <c r="B507">
        <v>23114</v>
      </c>
      <c r="C507" t="s">
        <v>2627</v>
      </c>
      <c r="D507" t="s">
        <v>55</v>
      </c>
      <c r="E507" t="s">
        <v>52</v>
      </c>
      <c r="F507" t="s">
        <v>2325</v>
      </c>
      <c r="G507">
        <v>234.77281837999999</v>
      </c>
      <c r="H507" t="s">
        <v>248</v>
      </c>
      <c r="Q507">
        <v>3363.2545325999999</v>
      </c>
      <c r="R507">
        <v>32153.014334200001</v>
      </c>
      <c r="S507">
        <v>-10.794316011399999</v>
      </c>
      <c r="T507">
        <v>-13.576476164200001</v>
      </c>
      <c r="U507">
        <v>0</v>
      </c>
      <c r="V507">
        <v>0</v>
      </c>
    </row>
    <row r="508" spans="1:22" x14ac:dyDescent="0.2">
      <c r="A508"/>
      <c r="B508">
        <v>23115</v>
      </c>
      <c r="C508" t="s">
        <v>2628</v>
      </c>
      <c r="D508" t="s">
        <v>54</v>
      </c>
      <c r="E508" t="s">
        <v>52</v>
      </c>
      <c r="F508" t="s">
        <v>2325</v>
      </c>
      <c r="G508">
        <v>234.77281837999999</v>
      </c>
      <c r="H508" t="s">
        <v>248</v>
      </c>
      <c r="Q508">
        <v>3363.2545325999999</v>
      </c>
      <c r="R508">
        <v>32153.014334200001</v>
      </c>
      <c r="S508">
        <v>-10.794316011399999</v>
      </c>
      <c r="T508">
        <v>-13.576476164200001</v>
      </c>
      <c r="U508">
        <v>0</v>
      </c>
      <c r="V508">
        <v>0</v>
      </c>
    </row>
    <row r="509" spans="1:22" x14ac:dyDescent="0.2">
      <c r="A509"/>
      <c r="B509">
        <v>23116</v>
      </c>
      <c r="C509" t="s">
        <v>2629</v>
      </c>
      <c r="D509" t="s">
        <v>53</v>
      </c>
      <c r="E509" t="s">
        <v>52</v>
      </c>
      <c r="F509" t="s">
        <v>2325</v>
      </c>
      <c r="G509">
        <v>234.77281837999999</v>
      </c>
      <c r="H509" t="s">
        <v>248</v>
      </c>
      <c r="Q509">
        <v>3363.2545325999999</v>
      </c>
      <c r="R509">
        <v>32153.014334200001</v>
      </c>
      <c r="S509">
        <v>-10.794316011399999</v>
      </c>
      <c r="T509">
        <v>-13.576476164200001</v>
      </c>
      <c r="U509">
        <v>0</v>
      </c>
      <c r="V509">
        <v>0</v>
      </c>
    </row>
    <row r="510" spans="1:22" x14ac:dyDescent="0.2">
      <c r="A510"/>
      <c r="B510">
        <v>23117</v>
      </c>
      <c r="C510" t="s">
        <v>2630</v>
      </c>
      <c r="D510" t="s">
        <v>69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 x14ac:dyDescent="0.2">
      <c r="A511"/>
      <c r="B511">
        <v>23118</v>
      </c>
      <c r="C511" t="s">
        <v>2631</v>
      </c>
      <c r="D511" t="s">
        <v>65</v>
      </c>
      <c r="F511" t="s">
        <v>2320</v>
      </c>
      <c r="G511">
        <v>865.19528784600004</v>
      </c>
      <c r="H511" t="s">
        <v>248</v>
      </c>
      <c r="Q511">
        <v>3224.85027958</v>
      </c>
      <c r="R511">
        <v>31154.558649300001</v>
      </c>
      <c r="S511">
        <v>-13.408991196500001</v>
      </c>
      <c r="T511">
        <v>-96.571310679000007</v>
      </c>
      <c r="U511">
        <v>0</v>
      </c>
      <c r="V511">
        <v>0</v>
      </c>
    </row>
    <row r="512" spans="1:22" x14ac:dyDescent="0.2">
      <c r="A512"/>
      <c r="B512">
        <v>23119</v>
      </c>
      <c r="C512" t="s">
        <v>2632</v>
      </c>
      <c r="D512" t="s">
        <v>59</v>
      </c>
      <c r="E512" t="s">
        <v>1091</v>
      </c>
      <c r="F512" t="s">
        <v>2320</v>
      </c>
      <c r="G512">
        <v>865.19528784600004</v>
      </c>
      <c r="H512" t="s">
        <v>248</v>
      </c>
      <c r="Q512">
        <v>3222.36670409</v>
      </c>
      <c r="R512">
        <v>31154.8447486</v>
      </c>
      <c r="S512">
        <v>-13.408991196500001</v>
      </c>
      <c r="T512">
        <v>173.42868932100001</v>
      </c>
      <c r="U512">
        <v>0</v>
      </c>
      <c r="V512">
        <v>0</v>
      </c>
    </row>
    <row r="513" spans="1:22" x14ac:dyDescent="0.2">
      <c r="A513"/>
      <c r="B513">
        <v>23120</v>
      </c>
      <c r="C513" t="s">
        <v>2633</v>
      </c>
      <c r="D513" t="s">
        <v>57</v>
      </c>
      <c r="E513" t="s">
        <v>1091</v>
      </c>
      <c r="F513" t="s">
        <v>2320</v>
      </c>
      <c r="G513">
        <v>865.19528784600004</v>
      </c>
      <c r="H513" t="s">
        <v>248</v>
      </c>
      <c r="Q513">
        <v>3222.36670409</v>
      </c>
      <c r="R513">
        <v>31154.8447486</v>
      </c>
      <c r="S513">
        <v>-13.408991196500001</v>
      </c>
      <c r="T513">
        <v>173.42868932100001</v>
      </c>
      <c r="U513">
        <v>0</v>
      </c>
      <c r="V513">
        <v>0</v>
      </c>
    </row>
    <row r="514" spans="1:22" x14ac:dyDescent="0.2">
      <c r="A514"/>
      <c r="B514">
        <v>23121</v>
      </c>
      <c r="C514" t="s">
        <v>2634</v>
      </c>
      <c r="D514" t="s">
        <v>55</v>
      </c>
      <c r="E514" t="s">
        <v>52</v>
      </c>
      <c r="F514" t="s">
        <v>2320</v>
      </c>
      <c r="G514">
        <v>865.19528784600004</v>
      </c>
      <c r="H514" t="s">
        <v>248</v>
      </c>
      <c r="Q514">
        <v>3222.36670409</v>
      </c>
      <c r="R514">
        <v>31154.8447486</v>
      </c>
      <c r="S514">
        <v>-13.408991196500001</v>
      </c>
      <c r="T514">
        <v>173.42868932100001</v>
      </c>
      <c r="U514">
        <v>0</v>
      </c>
      <c r="V514">
        <v>0</v>
      </c>
    </row>
    <row r="515" spans="1:22" x14ac:dyDescent="0.2">
      <c r="A515"/>
      <c r="B515">
        <v>23122</v>
      </c>
      <c r="C515" t="s">
        <v>2635</v>
      </c>
      <c r="D515" t="s">
        <v>54</v>
      </c>
      <c r="E515" t="s">
        <v>52</v>
      </c>
      <c r="F515" t="s">
        <v>2320</v>
      </c>
      <c r="G515">
        <v>865.19528784600004</v>
      </c>
      <c r="H515" t="s">
        <v>248</v>
      </c>
      <c r="Q515">
        <v>3222.36670409</v>
      </c>
      <c r="R515">
        <v>31154.8447486</v>
      </c>
      <c r="S515">
        <v>-13.408991196500001</v>
      </c>
      <c r="T515">
        <v>173.42868932100001</v>
      </c>
      <c r="U515">
        <v>0</v>
      </c>
      <c r="V515">
        <v>0</v>
      </c>
    </row>
    <row r="516" spans="1:22" x14ac:dyDescent="0.2">
      <c r="A516"/>
      <c r="B516">
        <v>23123</v>
      </c>
      <c r="C516" t="s">
        <v>2636</v>
      </c>
      <c r="D516" t="s">
        <v>53</v>
      </c>
      <c r="E516" t="s">
        <v>52</v>
      </c>
      <c r="F516" t="s">
        <v>2320</v>
      </c>
      <c r="G516">
        <v>865.19528784600004</v>
      </c>
      <c r="H516" t="s">
        <v>248</v>
      </c>
      <c r="Q516">
        <v>3222.36670409</v>
      </c>
      <c r="R516">
        <v>31154.8447486</v>
      </c>
      <c r="S516">
        <v>-13.408991196500001</v>
      </c>
      <c r="T516">
        <v>173.42868932100001</v>
      </c>
      <c r="U516">
        <v>0</v>
      </c>
      <c r="V516">
        <v>0</v>
      </c>
    </row>
    <row r="517" spans="1:22" x14ac:dyDescent="0.2">
      <c r="A517"/>
      <c r="B517">
        <v>23124</v>
      </c>
      <c r="C517" t="s">
        <v>2637</v>
      </c>
      <c r="D517" t="s">
        <v>65</v>
      </c>
      <c r="F517" t="s">
        <v>2335</v>
      </c>
      <c r="G517">
        <v>518.09279302100003</v>
      </c>
      <c r="H517" t="s">
        <v>248</v>
      </c>
      <c r="Q517">
        <v>3211.3646436099998</v>
      </c>
      <c r="R517">
        <v>31168.221409400001</v>
      </c>
      <c r="S517">
        <v>-13.4423175081</v>
      </c>
      <c r="T517">
        <v>-96.596529450199995</v>
      </c>
      <c r="U517">
        <v>0</v>
      </c>
      <c r="V517">
        <v>0</v>
      </c>
    </row>
    <row r="518" spans="1:22" x14ac:dyDescent="0.2">
      <c r="A518"/>
      <c r="B518">
        <v>23125</v>
      </c>
      <c r="C518" t="s">
        <v>2638</v>
      </c>
      <c r="D518" t="s">
        <v>59</v>
      </c>
      <c r="E518" t="s">
        <v>1091</v>
      </c>
      <c r="F518" t="s">
        <v>2335</v>
      </c>
      <c r="G518">
        <v>518.09279302100003</v>
      </c>
      <c r="H518" t="s">
        <v>248</v>
      </c>
      <c r="Q518">
        <v>3213.84809292</v>
      </c>
      <c r="R518">
        <v>31167.934217000002</v>
      </c>
      <c r="S518">
        <v>-13.4423175081</v>
      </c>
      <c r="T518">
        <v>-6.5965294501800003</v>
      </c>
      <c r="U518">
        <v>0</v>
      </c>
      <c r="V518">
        <v>0</v>
      </c>
    </row>
    <row r="519" spans="1:22" x14ac:dyDescent="0.2">
      <c r="A519"/>
      <c r="B519">
        <v>23126</v>
      </c>
      <c r="C519" t="s">
        <v>2639</v>
      </c>
      <c r="D519" t="s">
        <v>57</v>
      </c>
      <c r="E519" t="s">
        <v>1091</v>
      </c>
      <c r="F519" t="s">
        <v>2335</v>
      </c>
      <c r="G519">
        <v>518.09279302100003</v>
      </c>
      <c r="H519" t="s">
        <v>248</v>
      </c>
      <c r="Q519">
        <v>3213.84809292</v>
      </c>
      <c r="R519">
        <v>31167.934217000002</v>
      </c>
      <c r="S519">
        <v>-13.4423175081</v>
      </c>
      <c r="T519">
        <v>-6.5965294501800003</v>
      </c>
      <c r="U519">
        <v>0</v>
      </c>
      <c r="V519">
        <v>0</v>
      </c>
    </row>
    <row r="520" spans="1:22" x14ac:dyDescent="0.2">
      <c r="A520"/>
      <c r="B520">
        <v>23127</v>
      </c>
      <c r="C520" t="s">
        <v>2640</v>
      </c>
      <c r="D520" t="s">
        <v>55</v>
      </c>
      <c r="E520" t="s">
        <v>52</v>
      </c>
      <c r="F520" t="s">
        <v>2335</v>
      </c>
      <c r="G520">
        <v>518.09279302100003</v>
      </c>
      <c r="H520" t="s">
        <v>248</v>
      </c>
      <c r="Q520">
        <v>3213.84809292</v>
      </c>
      <c r="R520">
        <v>31167.934217000002</v>
      </c>
      <c r="S520">
        <v>-13.4423175081</v>
      </c>
      <c r="T520">
        <v>-6.5965294501800003</v>
      </c>
      <c r="U520">
        <v>0</v>
      </c>
      <c r="V520">
        <v>0</v>
      </c>
    </row>
    <row r="521" spans="1:22" x14ac:dyDescent="0.2">
      <c r="A521"/>
      <c r="B521">
        <v>23128</v>
      </c>
      <c r="C521" t="s">
        <v>2641</v>
      </c>
      <c r="D521" t="s">
        <v>54</v>
      </c>
      <c r="E521" t="s">
        <v>52</v>
      </c>
      <c r="F521" t="s">
        <v>2335</v>
      </c>
      <c r="G521">
        <v>518.09279302100003</v>
      </c>
      <c r="H521" t="s">
        <v>248</v>
      </c>
      <c r="Q521">
        <v>3213.84809292</v>
      </c>
      <c r="R521">
        <v>31167.934217000002</v>
      </c>
      <c r="S521">
        <v>-13.4423175081</v>
      </c>
      <c r="T521">
        <v>-6.5965294501800003</v>
      </c>
      <c r="U521">
        <v>0</v>
      </c>
      <c r="V521">
        <v>0</v>
      </c>
    </row>
    <row r="522" spans="1:22" x14ac:dyDescent="0.2">
      <c r="A522"/>
      <c r="B522">
        <v>23129</v>
      </c>
      <c r="C522" t="s">
        <v>2642</v>
      </c>
      <c r="D522" t="s">
        <v>53</v>
      </c>
      <c r="E522" t="s">
        <v>52</v>
      </c>
      <c r="F522" t="s">
        <v>2335</v>
      </c>
      <c r="G522">
        <v>518.09279302100003</v>
      </c>
      <c r="H522" t="s">
        <v>248</v>
      </c>
      <c r="Q522">
        <v>3213.84809292</v>
      </c>
      <c r="R522">
        <v>31167.934217000002</v>
      </c>
      <c r="S522">
        <v>-13.4423175081</v>
      </c>
      <c r="T522">
        <v>-6.5965294501800003</v>
      </c>
      <c r="U522">
        <v>0</v>
      </c>
      <c r="V522">
        <v>0</v>
      </c>
    </row>
    <row r="523" spans="1:22" x14ac:dyDescent="0.2">
      <c r="A523"/>
      <c r="B523">
        <v>23130</v>
      </c>
      <c r="C523" t="s">
        <v>2643</v>
      </c>
      <c r="D523" t="s">
        <v>69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:22" x14ac:dyDescent="0.2">
      <c r="A524"/>
      <c r="B524">
        <v>23131</v>
      </c>
      <c r="C524" t="s">
        <v>2644</v>
      </c>
      <c r="D524" t="s">
        <v>65</v>
      </c>
      <c r="F524" t="s">
        <v>2320</v>
      </c>
      <c r="G524">
        <v>2158.2874089000002</v>
      </c>
      <c r="H524" t="s">
        <v>248</v>
      </c>
      <c r="Q524">
        <v>3368.6797823699999</v>
      </c>
      <c r="R524">
        <v>29882.1340366</v>
      </c>
      <c r="S524">
        <v>-14.651348710000001</v>
      </c>
      <c r="T524">
        <v>-91.841189417099997</v>
      </c>
      <c r="U524">
        <v>0</v>
      </c>
      <c r="V524">
        <v>0</v>
      </c>
    </row>
    <row r="525" spans="1:22" x14ac:dyDescent="0.2">
      <c r="A525"/>
      <c r="B525">
        <v>23132</v>
      </c>
      <c r="C525" t="s">
        <v>2645</v>
      </c>
      <c r="D525" t="s">
        <v>59</v>
      </c>
      <c r="E525" t="s">
        <v>1091</v>
      </c>
      <c r="F525" t="s">
        <v>2320</v>
      </c>
      <c r="G525">
        <v>2158.2874089000002</v>
      </c>
      <c r="H525" t="s">
        <v>248</v>
      </c>
      <c r="Q525">
        <v>3366.1810730699999</v>
      </c>
      <c r="R525">
        <v>29882.2143598</v>
      </c>
      <c r="S525">
        <v>-14.651348710000001</v>
      </c>
      <c r="T525">
        <v>178.15881058299999</v>
      </c>
      <c r="U525">
        <v>0</v>
      </c>
      <c r="V525">
        <v>0</v>
      </c>
    </row>
    <row r="526" spans="1:22" x14ac:dyDescent="0.2">
      <c r="A526"/>
      <c r="B526">
        <v>23133</v>
      </c>
      <c r="C526" t="s">
        <v>2646</v>
      </c>
      <c r="D526" t="s">
        <v>57</v>
      </c>
      <c r="E526" t="s">
        <v>1091</v>
      </c>
      <c r="F526" t="s">
        <v>2320</v>
      </c>
      <c r="G526">
        <v>2158.2874089000002</v>
      </c>
      <c r="H526" t="s">
        <v>248</v>
      </c>
      <c r="Q526">
        <v>3366.1810730699999</v>
      </c>
      <c r="R526">
        <v>29882.2143598</v>
      </c>
      <c r="S526">
        <v>-14.651348710000001</v>
      </c>
      <c r="T526">
        <v>178.15881058299999</v>
      </c>
      <c r="U526">
        <v>0</v>
      </c>
      <c r="V526">
        <v>0</v>
      </c>
    </row>
    <row r="527" spans="1:22" x14ac:dyDescent="0.2">
      <c r="A527"/>
      <c r="B527">
        <v>23134</v>
      </c>
      <c r="C527" t="s">
        <v>2647</v>
      </c>
      <c r="D527" t="s">
        <v>55</v>
      </c>
      <c r="E527" t="s">
        <v>52</v>
      </c>
      <c r="F527" t="s">
        <v>2320</v>
      </c>
      <c r="G527">
        <v>2158.2874089000002</v>
      </c>
      <c r="H527" t="s">
        <v>248</v>
      </c>
      <c r="Q527">
        <v>3366.1810730699999</v>
      </c>
      <c r="R527">
        <v>29882.2143598</v>
      </c>
      <c r="S527">
        <v>-14.651348710000001</v>
      </c>
      <c r="T527">
        <v>178.15881058299999</v>
      </c>
      <c r="U527">
        <v>0</v>
      </c>
      <c r="V527">
        <v>0</v>
      </c>
    </row>
    <row r="528" spans="1:22" x14ac:dyDescent="0.2">
      <c r="A528"/>
      <c r="B528">
        <v>23135</v>
      </c>
      <c r="C528" t="s">
        <v>2648</v>
      </c>
      <c r="D528" t="s">
        <v>54</v>
      </c>
      <c r="E528" t="s">
        <v>52</v>
      </c>
      <c r="F528" t="s">
        <v>2320</v>
      </c>
      <c r="G528">
        <v>2158.2874089000002</v>
      </c>
      <c r="H528" t="s">
        <v>248</v>
      </c>
      <c r="Q528">
        <v>3366.1810730699999</v>
      </c>
      <c r="R528">
        <v>29882.2143598</v>
      </c>
      <c r="S528">
        <v>-14.651348710000001</v>
      </c>
      <c r="T528">
        <v>178.15881058299999</v>
      </c>
      <c r="U528">
        <v>0</v>
      </c>
      <c r="V528">
        <v>0</v>
      </c>
    </row>
    <row r="529" spans="1:22" x14ac:dyDescent="0.2">
      <c r="A529"/>
      <c r="B529">
        <v>23136</v>
      </c>
      <c r="C529" t="s">
        <v>2649</v>
      </c>
      <c r="D529" t="s">
        <v>53</v>
      </c>
      <c r="E529" t="s">
        <v>52</v>
      </c>
      <c r="F529" t="s">
        <v>2320</v>
      </c>
      <c r="G529">
        <v>2158.2874089000002</v>
      </c>
      <c r="H529" t="s">
        <v>248</v>
      </c>
      <c r="Q529">
        <v>3366.1810730699999</v>
      </c>
      <c r="R529">
        <v>29882.2143598</v>
      </c>
      <c r="S529">
        <v>-14.651348710000001</v>
      </c>
      <c r="T529">
        <v>178.15881058299999</v>
      </c>
      <c r="U529">
        <v>0</v>
      </c>
      <c r="V529">
        <v>0</v>
      </c>
    </row>
    <row r="530" spans="1:22" x14ac:dyDescent="0.2">
      <c r="A530"/>
      <c r="B530">
        <v>23137</v>
      </c>
      <c r="C530" t="s">
        <v>2650</v>
      </c>
      <c r="D530" t="s">
        <v>65</v>
      </c>
      <c r="F530" t="s">
        <v>2335</v>
      </c>
      <c r="G530">
        <v>1814.4297876200001</v>
      </c>
      <c r="H530" t="s">
        <v>248</v>
      </c>
      <c r="Q530">
        <v>3354.0288179700001</v>
      </c>
      <c r="R530">
        <v>29891.804883000001</v>
      </c>
      <c r="S530">
        <v>-14.6544704735</v>
      </c>
      <c r="T530">
        <v>-91.836122618100006</v>
      </c>
      <c r="U530">
        <v>0</v>
      </c>
      <c r="V530">
        <v>0</v>
      </c>
    </row>
    <row r="531" spans="1:22" x14ac:dyDescent="0.2">
      <c r="A531"/>
      <c r="B531">
        <v>23138</v>
      </c>
      <c r="C531" t="s">
        <v>2651</v>
      </c>
      <c r="D531" t="s">
        <v>59</v>
      </c>
      <c r="E531" t="s">
        <v>1091</v>
      </c>
      <c r="F531" t="s">
        <v>2335</v>
      </c>
      <c r="G531">
        <v>1814.4297876200001</v>
      </c>
      <c r="H531" t="s">
        <v>248</v>
      </c>
      <c r="Q531">
        <v>3356.5275343600001</v>
      </c>
      <c r="R531">
        <v>29891.724780799999</v>
      </c>
      <c r="S531">
        <v>-14.6544704735</v>
      </c>
      <c r="T531">
        <v>-1.8361226181400001</v>
      </c>
      <c r="U531">
        <v>0</v>
      </c>
      <c r="V531">
        <v>0</v>
      </c>
    </row>
    <row r="532" spans="1:22" x14ac:dyDescent="0.2">
      <c r="A532"/>
      <c r="B532">
        <v>23139</v>
      </c>
      <c r="C532" t="s">
        <v>2652</v>
      </c>
      <c r="D532" t="s">
        <v>57</v>
      </c>
      <c r="E532" t="s">
        <v>1091</v>
      </c>
      <c r="F532" t="s">
        <v>2335</v>
      </c>
      <c r="G532">
        <v>1814.4297876200001</v>
      </c>
      <c r="H532" t="s">
        <v>248</v>
      </c>
      <c r="Q532">
        <v>3356.5275343600001</v>
      </c>
      <c r="R532">
        <v>29891.724780799999</v>
      </c>
      <c r="S532">
        <v>-14.6544704735</v>
      </c>
      <c r="T532">
        <v>-1.8361226181400001</v>
      </c>
      <c r="U532">
        <v>0</v>
      </c>
      <c r="V532">
        <v>0</v>
      </c>
    </row>
    <row r="533" spans="1:22" x14ac:dyDescent="0.2">
      <c r="A533"/>
      <c r="B533">
        <v>23140</v>
      </c>
      <c r="C533" t="s">
        <v>2653</v>
      </c>
      <c r="D533" t="s">
        <v>55</v>
      </c>
      <c r="E533" t="s">
        <v>52</v>
      </c>
      <c r="F533" t="s">
        <v>2335</v>
      </c>
      <c r="G533">
        <v>1814.4297876200001</v>
      </c>
      <c r="H533" t="s">
        <v>248</v>
      </c>
      <c r="Q533">
        <v>3356.5275343600001</v>
      </c>
      <c r="R533">
        <v>29891.724780799999</v>
      </c>
      <c r="S533">
        <v>-14.6544704735</v>
      </c>
      <c r="T533">
        <v>-1.8361226181400001</v>
      </c>
      <c r="U533">
        <v>0</v>
      </c>
      <c r="V533">
        <v>0</v>
      </c>
    </row>
    <row r="534" spans="1:22" x14ac:dyDescent="0.2">
      <c r="A534"/>
      <c r="B534">
        <v>23141</v>
      </c>
      <c r="C534" t="s">
        <v>2654</v>
      </c>
      <c r="D534" t="s">
        <v>54</v>
      </c>
      <c r="E534" t="s">
        <v>52</v>
      </c>
      <c r="F534" t="s">
        <v>2335</v>
      </c>
      <c r="G534">
        <v>1814.4297876200001</v>
      </c>
      <c r="H534" t="s">
        <v>248</v>
      </c>
      <c r="Q534">
        <v>3356.5275343600001</v>
      </c>
      <c r="R534">
        <v>29891.724780799999</v>
      </c>
      <c r="S534">
        <v>-14.6544704735</v>
      </c>
      <c r="T534">
        <v>-1.8361226181400001</v>
      </c>
      <c r="U534">
        <v>0</v>
      </c>
      <c r="V534">
        <v>0</v>
      </c>
    </row>
    <row r="535" spans="1:22" x14ac:dyDescent="0.2">
      <c r="A535"/>
      <c r="B535">
        <v>23142</v>
      </c>
      <c r="C535" t="s">
        <v>2655</v>
      </c>
      <c r="D535" t="s">
        <v>53</v>
      </c>
      <c r="E535" t="s">
        <v>52</v>
      </c>
      <c r="F535" t="s">
        <v>2335</v>
      </c>
      <c r="G535">
        <v>1814.4297876200001</v>
      </c>
      <c r="H535" t="s">
        <v>248</v>
      </c>
      <c r="Q535">
        <v>3356.5275343600001</v>
      </c>
      <c r="R535">
        <v>29891.724780799999</v>
      </c>
      <c r="S535">
        <v>-14.6544704735</v>
      </c>
      <c r="T535">
        <v>-1.8361226181400001</v>
      </c>
      <c r="U535">
        <v>0</v>
      </c>
      <c r="V535">
        <v>0</v>
      </c>
    </row>
    <row r="536" spans="1:22" x14ac:dyDescent="0.2">
      <c r="A536"/>
      <c r="B536">
        <v>23143</v>
      </c>
      <c r="C536" t="s">
        <v>2656</v>
      </c>
      <c r="D536" t="s">
        <v>69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x14ac:dyDescent="0.2">
      <c r="A537"/>
      <c r="B537">
        <v>23144</v>
      </c>
      <c r="C537" t="s">
        <v>2657</v>
      </c>
      <c r="D537" t="s">
        <v>65</v>
      </c>
      <c r="F537" t="s">
        <v>2320</v>
      </c>
      <c r="G537">
        <v>3530.89460465</v>
      </c>
      <c r="H537" t="s">
        <v>248</v>
      </c>
      <c r="Q537">
        <v>3359.2015351099999</v>
      </c>
      <c r="R537">
        <v>28533.978105300001</v>
      </c>
      <c r="S537">
        <v>-14.525786808599999</v>
      </c>
      <c r="T537">
        <v>-113.28672524300001</v>
      </c>
      <c r="U537">
        <v>0</v>
      </c>
      <c r="V537">
        <v>0</v>
      </c>
    </row>
    <row r="538" spans="1:22" x14ac:dyDescent="0.2">
      <c r="A538"/>
      <c r="B538">
        <v>23145</v>
      </c>
      <c r="C538" t="s">
        <v>2658</v>
      </c>
      <c r="D538" t="s">
        <v>59</v>
      </c>
      <c r="E538" t="s">
        <v>1091</v>
      </c>
      <c r="F538" t="s">
        <v>2320</v>
      </c>
      <c r="G538">
        <v>3530.89460465</v>
      </c>
      <c r="H538" t="s">
        <v>248</v>
      </c>
      <c r="Q538">
        <v>3356.9051901100001</v>
      </c>
      <c r="R538">
        <v>28534.9664371</v>
      </c>
      <c r="S538">
        <v>-14.525786808599999</v>
      </c>
      <c r="T538">
        <v>156.71327475699999</v>
      </c>
      <c r="U538">
        <v>0</v>
      </c>
      <c r="V538">
        <v>0</v>
      </c>
    </row>
    <row r="539" spans="1:22" x14ac:dyDescent="0.2">
      <c r="A539"/>
      <c r="B539">
        <v>23146</v>
      </c>
      <c r="C539" t="s">
        <v>2659</v>
      </c>
      <c r="D539" t="s">
        <v>57</v>
      </c>
      <c r="E539" t="s">
        <v>1091</v>
      </c>
      <c r="F539" t="s">
        <v>2320</v>
      </c>
      <c r="G539">
        <v>3530.89460465</v>
      </c>
      <c r="H539" t="s">
        <v>248</v>
      </c>
      <c r="Q539">
        <v>3356.9051901100001</v>
      </c>
      <c r="R539">
        <v>28534.9664371</v>
      </c>
      <c r="S539">
        <v>-14.525786808599999</v>
      </c>
      <c r="T539">
        <v>156.71327475699999</v>
      </c>
      <c r="U539">
        <v>0</v>
      </c>
      <c r="V539">
        <v>0</v>
      </c>
    </row>
    <row r="540" spans="1:22" x14ac:dyDescent="0.2">
      <c r="A540"/>
      <c r="B540">
        <v>23147</v>
      </c>
      <c r="C540" t="s">
        <v>2660</v>
      </c>
      <c r="D540" t="s">
        <v>55</v>
      </c>
      <c r="E540" t="s">
        <v>52</v>
      </c>
      <c r="F540" t="s">
        <v>2320</v>
      </c>
      <c r="G540">
        <v>3530.89460465</v>
      </c>
      <c r="H540" t="s">
        <v>248</v>
      </c>
      <c r="Q540">
        <v>3356.9051901100001</v>
      </c>
      <c r="R540">
        <v>28534.9664371</v>
      </c>
      <c r="S540">
        <v>-14.525786808599999</v>
      </c>
      <c r="T540">
        <v>156.71327475699999</v>
      </c>
      <c r="U540">
        <v>0</v>
      </c>
      <c r="V540">
        <v>0</v>
      </c>
    </row>
    <row r="541" spans="1:22" x14ac:dyDescent="0.2">
      <c r="A541"/>
      <c r="B541">
        <v>23148</v>
      </c>
      <c r="C541" t="s">
        <v>2661</v>
      </c>
      <c r="D541" t="s">
        <v>54</v>
      </c>
      <c r="E541" t="s">
        <v>52</v>
      </c>
      <c r="F541" t="s">
        <v>2320</v>
      </c>
      <c r="G541">
        <v>3530.89460465</v>
      </c>
      <c r="H541" t="s">
        <v>248</v>
      </c>
      <c r="Q541">
        <v>3356.9051901100001</v>
      </c>
      <c r="R541">
        <v>28534.9664371</v>
      </c>
      <c r="S541">
        <v>-14.525786808599999</v>
      </c>
      <c r="T541">
        <v>156.71327475699999</v>
      </c>
      <c r="U541">
        <v>0</v>
      </c>
      <c r="V541">
        <v>0</v>
      </c>
    </row>
    <row r="542" spans="1:22" x14ac:dyDescent="0.2">
      <c r="A542"/>
      <c r="B542">
        <v>23149</v>
      </c>
      <c r="C542" t="s">
        <v>2662</v>
      </c>
      <c r="D542" t="s">
        <v>53</v>
      </c>
      <c r="E542" t="s">
        <v>52</v>
      </c>
      <c r="F542" t="s">
        <v>2320</v>
      </c>
      <c r="G542">
        <v>3530.89460465</v>
      </c>
      <c r="H542" t="s">
        <v>248</v>
      </c>
      <c r="Q542">
        <v>3356.9051901100001</v>
      </c>
      <c r="R542">
        <v>28534.9664371</v>
      </c>
      <c r="S542">
        <v>-14.525786808599999</v>
      </c>
      <c r="T542">
        <v>156.71327475699999</v>
      </c>
      <c r="U542">
        <v>0</v>
      </c>
      <c r="V542">
        <v>0</v>
      </c>
    </row>
    <row r="543" spans="1:22" x14ac:dyDescent="0.2">
      <c r="A543"/>
      <c r="B543">
        <v>23150</v>
      </c>
      <c r="C543" t="s">
        <v>2663</v>
      </c>
      <c r="D543" t="s">
        <v>65</v>
      </c>
      <c r="F543" t="s">
        <v>2335</v>
      </c>
      <c r="G543">
        <v>3188.16695669</v>
      </c>
      <c r="H543" t="s">
        <v>248</v>
      </c>
      <c r="Q543">
        <v>3347.9314541099998</v>
      </c>
      <c r="R543">
        <v>28545.59636</v>
      </c>
      <c r="S543">
        <v>-14.518924307400001</v>
      </c>
      <c r="T543">
        <v>-113.323036862</v>
      </c>
      <c r="U543">
        <v>0</v>
      </c>
      <c r="V543">
        <v>0</v>
      </c>
    </row>
    <row r="544" spans="1:22" x14ac:dyDescent="0.2">
      <c r="A544"/>
      <c r="B544">
        <v>23151</v>
      </c>
      <c r="C544" t="s">
        <v>2664</v>
      </c>
      <c r="D544" t="s">
        <v>59</v>
      </c>
      <c r="E544" t="s">
        <v>1091</v>
      </c>
      <c r="F544" t="s">
        <v>2335</v>
      </c>
      <c r="G544">
        <v>3188.16695669</v>
      </c>
      <c r="H544" t="s">
        <v>248</v>
      </c>
      <c r="Q544">
        <v>3350.22717229</v>
      </c>
      <c r="R544">
        <v>28544.606573100002</v>
      </c>
      <c r="S544">
        <v>-14.518924307400001</v>
      </c>
      <c r="T544">
        <v>-23.3230368615</v>
      </c>
      <c r="U544">
        <v>0</v>
      </c>
      <c r="V544">
        <v>0</v>
      </c>
    </row>
    <row r="545" spans="1:22" x14ac:dyDescent="0.2">
      <c r="A545"/>
      <c r="B545">
        <v>23152</v>
      </c>
      <c r="C545" t="s">
        <v>2665</v>
      </c>
      <c r="D545" t="s">
        <v>57</v>
      </c>
      <c r="E545" t="s">
        <v>1091</v>
      </c>
      <c r="F545" t="s">
        <v>2335</v>
      </c>
      <c r="G545">
        <v>3188.16695669</v>
      </c>
      <c r="H545" t="s">
        <v>248</v>
      </c>
      <c r="Q545">
        <v>3350.22717229</v>
      </c>
      <c r="R545">
        <v>28544.606573100002</v>
      </c>
      <c r="S545">
        <v>-14.518924307400001</v>
      </c>
      <c r="T545">
        <v>-23.3230368615</v>
      </c>
      <c r="U545">
        <v>0</v>
      </c>
      <c r="V545">
        <v>0</v>
      </c>
    </row>
    <row r="546" spans="1:22" x14ac:dyDescent="0.2">
      <c r="A546"/>
      <c r="B546">
        <v>23153</v>
      </c>
      <c r="C546" t="s">
        <v>2666</v>
      </c>
      <c r="D546" t="s">
        <v>55</v>
      </c>
      <c r="E546" t="s">
        <v>52</v>
      </c>
      <c r="F546" t="s">
        <v>2335</v>
      </c>
      <c r="G546">
        <v>3188.16695669</v>
      </c>
      <c r="H546" t="s">
        <v>248</v>
      </c>
      <c r="Q546">
        <v>3350.22717229</v>
      </c>
      <c r="R546">
        <v>28544.606573100002</v>
      </c>
      <c r="S546">
        <v>-14.518924307400001</v>
      </c>
      <c r="T546">
        <v>-23.3230368615</v>
      </c>
      <c r="U546">
        <v>0</v>
      </c>
      <c r="V546">
        <v>0</v>
      </c>
    </row>
    <row r="547" spans="1:22" x14ac:dyDescent="0.2">
      <c r="A547"/>
      <c r="B547">
        <v>23154</v>
      </c>
      <c r="C547" t="s">
        <v>2667</v>
      </c>
      <c r="D547" t="s">
        <v>54</v>
      </c>
      <c r="E547" t="s">
        <v>52</v>
      </c>
      <c r="F547" t="s">
        <v>2335</v>
      </c>
      <c r="G547">
        <v>3188.16695669</v>
      </c>
      <c r="H547" t="s">
        <v>248</v>
      </c>
      <c r="Q547">
        <v>3350.22717229</v>
      </c>
      <c r="R547">
        <v>28544.606573100002</v>
      </c>
      <c r="S547">
        <v>-14.518924307400001</v>
      </c>
      <c r="T547">
        <v>-23.3230368615</v>
      </c>
      <c r="U547">
        <v>0</v>
      </c>
      <c r="V547">
        <v>0</v>
      </c>
    </row>
    <row r="548" spans="1:22" x14ac:dyDescent="0.2">
      <c r="A548"/>
      <c r="B548">
        <v>23155</v>
      </c>
      <c r="C548" t="s">
        <v>2668</v>
      </c>
      <c r="D548" t="s">
        <v>53</v>
      </c>
      <c r="E548" t="s">
        <v>52</v>
      </c>
      <c r="F548" t="s">
        <v>2335</v>
      </c>
      <c r="G548">
        <v>3188.16695669</v>
      </c>
      <c r="H548" t="s">
        <v>248</v>
      </c>
      <c r="Q548">
        <v>3350.22717229</v>
      </c>
      <c r="R548">
        <v>28544.606573100002</v>
      </c>
      <c r="S548">
        <v>-14.518924307400001</v>
      </c>
      <c r="T548">
        <v>-23.3230368615</v>
      </c>
      <c r="U548">
        <v>0</v>
      </c>
      <c r="V548">
        <v>0</v>
      </c>
    </row>
    <row r="549" spans="1:22" x14ac:dyDescent="0.2">
      <c r="A549"/>
      <c r="B549">
        <v>23156</v>
      </c>
      <c r="C549" t="s">
        <v>2669</v>
      </c>
      <c r="D549" t="s">
        <v>69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:22" x14ac:dyDescent="0.2">
      <c r="A550"/>
      <c r="B550">
        <v>23157</v>
      </c>
      <c r="C550" t="s">
        <v>2670</v>
      </c>
      <c r="D550" t="s">
        <v>65</v>
      </c>
      <c r="F550" t="s">
        <v>2320</v>
      </c>
      <c r="G550">
        <v>4708.4403060200002</v>
      </c>
      <c r="H550" t="s">
        <v>248</v>
      </c>
      <c r="Q550">
        <v>3138.0120254899998</v>
      </c>
      <c r="R550">
        <v>27386.979927199998</v>
      </c>
      <c r="S550">
        <v>-14.427041818499999</v>
      </c>
      <c r="T550">
        <v>-92.558463106399998</v>
      </c>
      <c r="U550">
        <v>0</v>
      </c>
      <c r="V550">
        <v>0</v>
      </c>
    </row>
    <row r="551" spans="1:22" x14ac:dyDescent="0.2">
      <c r="A551"/>
      <c r="B551">
        <v>23158</v>
      </c>
      <c r="C551" t="s">
        <v>2671</v>
      </c>
      <c r="D551" t="s">
        <v>59</v>
      </c>
      <c r="E551" t="s">
        <v>1091</v>
      </c>
      <c r="F551" t="s">
        <v>2320</v>
      </c>
      <c r="G551">
        <v>4708.4403060200002</v>
      </c>
      <c r="H551" t="s">
        <v>248</v>
      </c>
      <c r="Q551">
        <v>3135.5145174999998</v>
      </c>
      <c r="R551">
        <v>27387.0915241</v>
      </c>
      <c r="S551">
        <v>-14.427041818499999</v>
      </c>
      <c r="T551">
        <v>177.441536894</v>
      </c>
      <c r="U551">
        <v>0</v>
      </c>
      <c r="V551">
        <v>0</v>
      </c>
    </row>
    <row r="552" spans="1:22" x14ac:dyDescent="0.2">
      <c r="A552"/>
      <c r="B552">
        <v>23159</v>
      </c>
      <c r="C552" t="s">
        <v>2672</v>
      </c>
      <c r="D552" t="s">
        <v>57</v>
      </c>
      <c r="E552" t="s">
        <v>1091</v>
      </c>
      <c r="F552" t="s">
        <v>2320</v>
      </c>
      <c r="G552">
        <v>4708.4403060200002</v>
      </c>
      <c r="H552" t="s">
        <v>248</v>
      </c>
      <c r="Q552">
        <v>3135.5145174999998</v>
      </c>
      <c r="R552">
        <v>27387.0915241</v>
      </c>
      <c r="S552">
        <v>-14.427041818499999</v>
      </c>
      <c r="T552">
        <v>177.441536894</v>
      </c>
      <c r="U552">
        <v>0</v>
      </c>
      <c r="V552">
        <v>0</v>
      </c>
    </row>
    <row r="553" spans="1:22" x14ac:dyDescent="0.2">
      <c r="A553"/>
      <c r="B553">
        <v>23160</v>
      </c>
      <c r="C553" t="s">
        <v>2673</v>
      </c>
      <c r="D553" t="s">
        <v>55</v>
      </c>
      <c r="E553" t="s">
        <v>52</v>
      </c>
      <c r="F553" t="s">
        <v>2320</v>
      </c>
      <c r="G553">
        <v>4708.4403060200002</v>
      </c>
      <c r="H553" t="s">
        <v>248</v>
      </c>
      <c r="Q553">
        <v>3135.5145174999998</v>
      </c>
      <c r="R553">
        <v>27387.0915241</v>
      </c>
      <c r="S553">
        <v>-14.427041818499999</v>
      </c>
      <c r="T553">
        <v>177.441536894</v>
      </c>
      <c r="U553">
        <v>0</v>
      </c>
      <c r="V553">
        <v>0</v>
      </c>
    </row>
    <row r="554" spans="1:22" x14ac:dyDescent="0.2">
      <c r="A554"/>
      <c r="B554">
        <v>23161</v>
      </c>
      <c r="C554" t="s">
        <v>2674</v>
      </c>
      <c r="D554" t="s">
        <v>54</v>
      </c>
      <c r="E554" t="s">
        <v>52</v>
      </c>
      <c r="F554" t="s">
        <v>2320</v>
      </c>
      <c r="G554">
        <v>4708.4403060200002</v>
      </c>
      <c r="H554" t="s">
        <v>248</v>
      </c>
      <c r="Q554">
        <v>3135.5145174999998</v>
      </c>
      <c r="R554">
        <v>27387.0915241</v>
      </c>
      <c r="S554">
        <v>-14.427041818499999</v>
      </c>
      <c r="T554">
        <v>177.441536894</v>
      </c>
      <c r="U554">
        <v>0</v>
      </c>
      <c r="V554">
        <v>0</v>
      </c>
    </row>
    <row r="555" spans="1:22" x14ac:dyDescent="0.2">
      <c r="A555"/>
      <c r="B555">
        <v>23162</v>
      </c>
      <c r="C555" t="s">
        <v>2675</v>
      </c>
      <c r="D555" t="s">
        <v>53</v>
      </c>
      <c r="E555" t="s">
        <v>52</v>
      </c>
      <c r="F555" t="s">
        <v>2320</v>
      </c>
      <c r="G555">
        <v>4708.4403060200002</v>
      </c>
      <c r="H555" t="s">
        <v>248</v>
      </c>
      <c r="Q555">
        <v>3135.5145174999998</v>
      </c>
      <c r="R555">
        <v>27387.0915241</v>
      </c>
      <c r="S555">
        <v>-14.427041818499999</v>
      </c>
      <c r="T555">
        <v>177.441536894</v>
      </c>
      <c r="U555">
        <v>0</v>
      </c>
      <c r="V555">
        <v>0</v>
      </c>
    </row>
    <row r="556" spans="1:22" x14ac:dyDescent="0.2">
      <c r="A556"/>
      <c r="B556">
        <v>23163</v>
      </c>
      <c r="C556" t="s">
        <v>2676</v>
      </c>
      <c r="D556" t="s">
        <v>65</v>
      </c>
      <c r="F556" t="s">
        <v>2335</v>
      </c>
      <c r="G556">
        <v>4370.1056054800001</v>
      </c>
      <c r="H556" t="s">
        <v>248</v>
      </c>
      <c r="Q556">
        <v>3123.2460065700002</v>
      </c>
      <c r="R556">
        <v>27391.2600112</v>
      </c>
      <c r="S556">
        <v>-14.453525795999999</v>
      </c>
      <c r="T556">
        <v>-92.622618093300005</v>
      </c>
      <c r="U556">
        <v>0</v>
      </c>
      <c r="V556">
        <v>0</v>
      </c>
    </row>
    <row r="557" spans="1:22" x14ac:dyDescent="0.2">
      <c r="A557"/>
      <c r="B557">
        <v>23164</v>
      </c>
      <c r="C557" t="s">
        <v>2677</v>
      </c>
      <c r="D557" t="s">
        <v>59</v>
      </c>
      <c r="E557" t="s">
        <v>1091</v>
      </c>
      <c r="F557" t="s">
        <v>2335</v>
      </c>
      <c r="G557">
        <v>4370.1056054800001</v>
      </c>
      <c r="H557" t="s">
        <v>248</v>
      </c>
      <c r="Q557">
        <v>3125.74338803</v>
      </c>
      <c r="R557">
        <v>27391.145617800001</v>
      </c>
      <c r="S557">
        <v>-14.453525795999999</v>
      </c>
      <c r="T557">
        <v>-2.6226180933299998</v>
      </c>
      <c r="U557">
        <v>0</v>
      </c>
      <c r="V557">
        <v>0</v>
      </c>
    </row>
    <row r="558" spans="1:22" x14ac:dyDescent="0.2">
      <c r="A558"/>
      <c r="B558">
        <v>23165</v>
      </c>
      <c r="C558" t="s">
        <v>2678</v>
      </c>
      <c r="D558" t="s">
        <v>57</v>
      </c>
      <c r="E558" t="s">
        <v>1091</v>
      </c>
      <c r="F558" t="s">
        <v>2335</v>
      </c>
      <c r="G558">
        <v>4370.1056054800001</v>
      </c>
      <c r="H558" t="s">
        <v>248</v>
      </c>
      <c r="Q558">
        <v>3125.74338803</v>
      </c>
      <c r="R558">
        <v>27391.145617800001</v>
      </c>
      <c r="S558">
        <v>-14.453525795999999</v>
      </c>
      <c r="T558">
        <v>-2.6226180933299998</v>
      </c>
      <c r="U558">
        <v>0</v>
      </c>
      <c r="V558">
        <v>0</v>
      </c>
    </row>
    <row r="559" spans="1:22" x14ac:dyDescent="0.2">
      <c r="A559"/>
      <c r="B559">
        <v>23166</v>
      </c>
      <c r="C559" t="s">
        <v>2679</v>
      </c>
      <c r="D559" t="s">
        <v>55</v>
      </c>
      <c r="E559" t="s">
        <v>52</v>
      </c>
      <c r="F559" t="s">
        <v>2335</v>
      </c>
      <c r="G559">
        <v>4370.1056054800001</v>
      </c>
      <c r="H559" t="s">
        <v>248</v>
      </c>
      <c r="Q559">
        <v>3125.74338803</v>
      </c>
      <c r="R559">
        <v>27391.145617800001</v>
      </c>
      <c r="S559">
        <v>-14.453525795999999</v>
      </c>
      <c r="T559">
        <v>-2.6226180933299998</v>
      </c>
      <c r="U559">
        <v>0</v>
      </c>
      <c r="V559">
        <v>0</v>
      </c>
    </row>
    <row r="560" spans="1:22" x14ac:dyDescent="0.2">
      <c r="A560"/>
      <c r="B560">
        <v>23167</v>
      </c>
      <c r="C560" t="s">
        <v>2680</v>
      </c>
      <c r="D560" t="s">
        <v>54</v>
      </c>
      <c r="E560" t="s">
        <v>52</v>
      </c>
      <c r="F560" t="s">
        <v>2335</v>
      </c>
      <c r="G560">
        <v>4370.1056054800001</v>
      </c>
      <c r="H560" t="s">
        <v>248</v>
      </c>
      <c r="Q560">
        <v>3125.74338803</v>
      </c>
      <c r="R560">
        <v>27391.145617800001</v>
      </c>
      <c r="S560">
        <v>-14.453525795999999</v>
      </c>
      <c r="T560">
        <v>-2.6226180933299998</v>
      </c>
      <c r="U560">
        <v>0</v>
      </c>
      <c r="V560">
        <v>0</v>
      </c>
    </row>
    <row r="561" spans="1:22" x14ac:dyDescent="0.2">
      <c r="A561"/>
      <c r="B561">
        <v>23168</v>
      </c>
      <c r="C561" t="s">
        <v>2681</v>
      </c>
      <c r="D561" t="s">
        <v>53</v>
      </c>
      <c r="E561" t="s">
        <v>52</v>
      </c>
      <c r="F561" t="s">
        <v>2335</v>
      </c>
      <c r="G561">
        <v>4370.1056054800001</v>
      </c>
      <c r="H561" t="s">
        <v>248</v>
      </c>
      <c r="Q561">
        <v>3125.74338803</v>
      </c>
      <c r="R561">
        <v>27391.145617800001</v>
      </c>
      <c r="S561">
        <v>-14.453525795999999</v>
      </c>
      <c r="T561">
        <v>-2.6226180933299998</v>
      </c>
      <c r="U561">
        <v>0</v>
      </c>
      <c r="V561">
        <v>0</v>
      </c>
    </row>
    <row r="562" spans="1:22" x14ac:dyDescent="0.2">
      <c r="A562"/>
      <c r="B562">
        <v>23169</v>
      </c>
      <c r="C562" t="s">
        <v>2682</v>
      </c>
      <c r="D562" t="s">
        <v>69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 x14ac:dyDescent="0.2">
      <c r="A563"/>
      <c r="B563">
        <v>23170</v>
      </c>
      <c r="C563" t="s">
        <v>2683</v>
      </c>
      <c r="D563" t="s">
        <v>65</v>
      </c>
      <c r="F563" t="s">
        <v>2320</v>
      </c>
      <c r="G563">
        <v>5713.9609466900001</v>
      </c>
      <c r="H563" t="s">
        <v>248</v>
      </c>
      <c r="Q563">
        <v>3172.2547388100002</v>
      </c>
      <c r="R563">
        <v>26387.2382521</v>
      </c>
      <c r="S563">
        <v>-13.6196460473</v>
      </c>
      <c r="T563">
        <v>-84.698971621499993</v>
      </c>
      <c r="U563">
        <v>0</v>
      </c>
      <c r="V563">
        <v>0</v>
      </c>
    </row>
    <row r="564" spans="1:22" x14ac:dyDescent="0.2">
      <c r="A564"/>
      <c r="B564">
        <v>23171</v>
      </c>
      <c r="C564" t="s">
        <v>2684</v>
      </c>
      <c r="D564" t="s">
        <v>59</v>
      </c>
      <c r="E564" t="s">
        <v>1091</v>
      </c>
      <c r="F564" t="s">
        <v>2320</v>
      </c>
      <c r="G564">
        <v>5713.9609466900001</v>
      </c>
      <c r="H564" t="s">
        <v>248</v>
      </c>
      <c r="Q564">
        <v>3169.7654312099999</v>
      </c>
      <c r="R564">
        <v>26387.007280999998</v>
      </c>
      <c r="S564">
        <v>-13.6196460473</v>
      </c>
      <c r="T564">
        <v>-174.698971621</v>
      </c>
      <c r="U564">
        <v>0</v>
      </c>
      <c r="V564">
        <v>0</v>
      </c>
    </row>
    <row r="565" spans="1:22" x14ac:dyDescent="0.2">
      <c r="A565"/>
      <c r="B565">
        <v>23172</v>
      </c>
      <c r="C565" t="s">
        <v>2685</v>
      </c>
      <c r="D565" t="s">
        <v>57</v>
      </c>
      <c r="E565" t="s">
        <v>1091</v>
      </c>
      <c r="F565" t="s">
        <v>2320</v>
      </c>
      <c r="G565">
        <v>5713.9609466900001</v>
      </c>
      <c r="H565" t="s">
        <v>248</v>
      </c>
      <c r="Q565">
        <v>3169.7654312099999</v>
      </c>
      <c r="R565">
        <v>26387.007280999998</v>
      </c>
      <c r="S565">
        <v>-13.6196460473</v>
      </c>
      <c r="T565">
        <v>-174.698971621</v>
      </c>
      <c r="U565">
        <v>0</v>
      </c>
      <c r="V565">
        <v>0</v>
      </c>
    </row>
    <row r="566" spans="1:22" x14ac:dyDescent="0.2">
      <c r="A566"/>
      <c r="B566">
        <v>23173</v>
      </c>
      <c r="C566" t="s">
        <v>2686</v>
      </c>
      <c r="D566" t="s">
        <v>55</v>
      </c>
      <c r="E566" t="s">
        <v>52</v>
      </c>
      <c r="F566" t="s">
        <v>2320</v>
      </c>
      <c r="G566">
        <v>5713.9609466900001</v>
      </c>
      <c r="H566" t="s">
        <v>248</v>
      </c>
      <c r="Q566">
        <v>3169.7654312099999</v>
      </c>
      <c r="R566">
        <v>26387.007280999998</v>
      </c>
      <c r="S566">
        <v>-13.6196460473</v>
      </c>
      <c r="T566">
        <v>-174.698971621</v>
      </c>
      <c r="U566">
        <v>0</v>
      </c>
      <c r="V566">
        <v>0</v>
      </c>
    </row>
    <row r="567" spans="1:22" x14ac:dyDescent="0.2">
      <c r="A567"/>
      <c r="B567">
        <v>23174</v>
      </c>
      <c r="C567" t="s">
        <v>2687</v>
      </c>
      <c r="D567" t="s">
        <v>54</v>
      </c>
      <c r="E567" t="s">
        <v>52</v>
      </c>
      <c r="F567" t="s">
        <v>2320</v>
      </c>
      <c r="G567">
        <v>5713.9609466900001</v>
      </c>
      <c r="H567" t="s">
        <v>248</v>
      </c>
      <c r="Q567">
        <v>3169.7654312099999</v>
      </c>
      <c r="R567">
        <v>26387.007280999998</v>
      </c>
      <c r="S567">
        <v>-13.6196460473</v>
      </c>
      <c r="T567">
        <v>-174.698971621</v>
      </c>
      <c r="U567">
        <v>0</v>
      </c>
      <c r="V567">
        <v>0</v>
      </c>
    </row>
    <row r="568" spans="1:22" x14ac:dyDescent="0.2">
      <c r="A568"/>
      <c r="B568">
        <v>23175</v>
      </c>
      <c r="C568" t="s">
        <v>2688</v>
      </c>
      <c r="D568" t="s">
        <v>53</v>
      </c>
      <c r="E568" t="s">
        <v>52</v>
      </c>
      <c r="F568" t="s">
        <v>2320</v>
      </c>
      <c r="G568">
        <v>5713.9609466900001</v>
      </c>
      <c r="H568" t="s">
        <v>248</v>
      </c>
      <c r="Q568">
        <v>3169.7654312099999</v>
      </c>
      <c r="R568">
        <v>26387.007280999998</v>
      </c>
      <c r="S568">
        <v>-13.6196460473</v>
      </c>
      <c r="T568">
        <v>-174.698971621</v>
      </c>
      <c r="U568">
        <v>0</v>
      </c>
      <c r="V568">
        <v>0</v>
      </c>
    </row>
    <row r="569" spans="1:22" x14ac:dyDescent="0.2">
      <c r="A569"/>
      <c r="B569">
        <v>23176</v>
      </c>
      <c r="C569" t="s">
        <v>2689</v>
      </c>
      <c r="D569" t="s">
        <v>65</v>
      </c>
      <c r="F569" t="s">
        <v>2335</v>
      </c>
      <c r="G569">
        <v>5378.4882990300002</v>
      </c>
      <c r="H569" t="s">
        <v>248</v>
      </c>
      <c r="Q569">
        <v>3157.2487600999998</v>
      </c>
      <c r="R569">
        <v>26387.285645</v>
      </c>
      <c r="S569">
        <v>-13.6437837154</v>
      </c>
      <c r="T569">
        <v>-84.733025460099995</v>
      </c>
      <c r="U569">
        <v>0</v>
      </c>
      <c r="V569">
        <v>0</v>
      </c>
    </row>
    <row r="570" spans="1:22" x14ac:dyDescent="0.2">
      <c r="A570"/>
      <c r="B570">
        <v>23177</v>
      </c>
      <c r="C570" t="s">
        <v>2690</v>
      </c>
      <c r="D570" t="s">
        <v>59</v>
      </c>
      <c r="E570" t="s">
        <v>1091</v>
      </c>
      <c r="F570" t="s">
        <v>2335</v>
      </c>
      <c r="G570">
        <v>5378.4882990300002</v>
      </c>
      <c r="H570" t="s">
        <v>248</v>
      </c>
      <c r="Q570">
        <v>3159.7382045300001</v>
      </c>
      <c r="R570">
        <v>26387.515136499998</v>
      </c>
      <c r="S570">
        <v>-13.6437837154</v>
      </c>
      <c r="T570">
        <v>5.2669745398899996</v>
      </c>
      <c r="U570">
        <v>0</v>
      </c>
      <c r="V570">
        <v>0</v>
      </c>
    </row>
    <row r="571" spans="1:22" x14ac:dyDescent="0.2">
      <c r="A571"/>
      <c r="B571">
        <v>23178</v>
      </c>
      <c r="C571" t="s">
        <v>2691</v>
      </c>
      <c r="D571" t="s">
        <v>57</v>
      </c>
      <c r="E571" t="s">
        <v>1091</v>
      </c>
      <c r="F571" t="s">
        <v>2335</v>
      </c>
      <c r="G571">
        <v>5378.4882990300002</v>
      </c>
      <c r="H571" t="s">
        <v>248</v>
      </c>
      <c r="Q571">
        <v>3159.7382045300001</v>
      </c>
      <c r="R571">
        <v>26387.515136499998</v>
      </c>
      <c r="S571">
        <v>-13.6437837154</v>
      </c>
      <c r="T571">
        <v>5.2669745398899996</v>
      </c>
      <c r="U571">
        <v>0</v>
      </c>
      <c r="V571">
        <v>0</v>
      </c>
    </row>
    <row r="572" spans="1:22" x14ac:dyDescent="0.2">
      <c r="A572"/>
      <c r="B572">
        <v>23179</v>
      </c>
      <c r="C572" t="s">
        <v>2692</v>
      </c>
      <c r="D572" t="s">
        <v>55</v>
      </c>
      <c r="E572" t="s">
        <v>52</v>
      </c>
      <c r="F572" t="s">
        <v>2335</v>
      </c>
      <c r="G572">
        <v>5378.4882990300002</v>
      </c>
      <c r="H572" t="s">
        <v>248</v>
      </c>
      <c r="Q572">
        <v>3159.7382045300001</v>
      </c>
      <c r="R572">
        <v>26387.515136499998</v>
      </c>
      <c r="S572">
        <v>-13.6437837154</v>
      </c>
      <c r="T572">
        <v>5.2669745398899996</v>
      </c>
      <c r="U572">
        <v>0</v>
      </c>
      <c r="V572">
        <v>0</v>
      </c>
    </row>
    <row r="573" spans="1:22" x14ac:dyDescent="0.2">
      <c r="A573"/>
      <c r="B573">
        <v>23180</v>
      </c>
      <c r="C573" t="s">
        <v>2693</v>
      </c>
      <c r="D573" t="s">
        <v>54</v>
      </c>
      <c r="E573" t="s">
        <v>52</v>
      </c>
      <c r="F573" t="s">
        <v>2335</v>
      </c>
      <c r="G573">
        <v>5378.4882990300002</v>
      </c>
      <c r="H573" t="s">
        <v>248</v>
      </c>
      <c r="Q573">
        <v>3159.7382045300001</v>
      </c>
      <c r="R573">
        <v>26387.515136499998</v>
      </c>
      <c r="S573">
        <v>-13.6437837154</v>
      </c>
      <c r="T573">
        <v>5.2669745398899996</v>
      </c>
      <c r="U573">
        <v>0</v>
      </c>
      <c r="V573">
        <v>0</v>
      </c>
    </row>
    <row r="574" spans="1:22" x14ac:dyDescent="0.2">
      <c r="A574"/>
      <c r="B574">
        <v>23181</v>
      </c>
      <c r="C574" t="s">
        <v>2694</v>
      </c>
      <c r="D574" t="s">
        <v>53</v>
      </c>
      <c r="E574" t="s">
        <v>52</v>
      </c>
      <c r="F574" t="s">
        <v>2335</v>
      </c>
      <c r="G574">
        <v>5378.4882990300002</v>
      </c>
      <c r="H574" t="s">
        <v>248</v>
      </c>
      <c r="Q574">
        <v>3159.7382045300001</v>
      </c>
      <c r="R574">
        <v>26387.515136499998</v>
      </c>
      <c r="S574">
        <v>-13.6437837154</v>
      </c>
      <c r="T574">
        <v>5.2669745398899996</v>
      </c>
      <c r="U574">
        <v>0</v>
      </c>
      <c r="V574">
        <v>0</v>
      </c>
    </row>
    <row r="575" spans="1:22" x14ac:dyDescent="0.2">
      <c r="A575"/>
      <c r="B575">
        <v>23182</v>
      </c>
      <c r="C575" t="s">
        <v>2695</v>
      </c>
      <c r="D575" t="s">
        <v>69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:22" x14ac:dyDescent="0.2">
      <c r="A576"/>
      <c r="B576">
        <v>23183</v>
      </c>
      <c r="C576" t="s">
        <v>2696</v>
      </c>
      <c r="D576" t="s">
        <v>65</v>
      </c>
      <c r="F576" t="s">
        <v>2412</v>
      </c>
      <c r="G576">
        <v>399.36280476399997</v>
      </c>
      <c r="H576" t="s">
        <v>248</v>
      </c>
      <c r="Q576">
        <v>2943.0933359599999</v>
      </c>
      <c r="R576">
        <v>25606.786068900001</v>
      </c>
      <c r="S576">
        <v>-11.1453693395</v>
      </c>
      <c r="T576">
        <v>-179.19934656500001</v>
      </c>
      <c r="U576">
        <v>0</v>
      </c>
      <c r="V576">
        <v>0</v>
      </c>
    </row>
    <row r="577" spans="1:22" x14ac:dyDescent="0.2">
      <c r="A577"/>
      <c r="B577">
        <v>23184</v>
      </c>
      <c r="C577" t="s">
        <v>2697</v>
      </c>
      <c r="D577" t="s">
        <v>59</v>
      </c>
      <c r="E577" t="s">
        <v>1091</v>
      </c>
      <c r="F577" t="s">
        <v>2412</v>
      </c>
      <c r="G577">
        <v>399.36280476399997</v>
      </c>
      <c r="H577" t="s">
        <v>248</v>
      </c>
      <c r="Q577">
        <v>2943.0584020000001</v>
      </c>
      <c r="R577">
        <v>25609.285824800001</v>
      </c>
      <c r="S577">
        <v>-11.1453693395</v>
      </c>
      <c r="T577">
        <v>90.800653435399994</v>
      </c>
      <c r="U577">
        <v>0</v>
      </c>
      <c r="V577">
        <v>0</v>
      </c>
    </row>
    <row r="578" spans="1:22" x14ac:dyDescent="0.2">
      <c r="A578"/>
      <c r="B578">
        <v>23185</v>
      </c>
      <c r="C578" t="s">
        <v>2698</v>
      </c>
      <c r="D578" t="s">
        <v>57</v>
      </c>
      <c r="E578" t="s">
        <v>1091</v>
      </c>
      <c r="F578" t="s">
        <v>2412</v>
      </c>
      <c r="G578">
        <v>399.36280476399997</v>
      </c>
      <c r="H578" t="s">
        <v>248</v>
      </c>
      <c r="Q578">
        <v>2943.0584020000001</v>
      </c>
      <c r="R578">
        <v>25609.285824800001</v>
      </c>
      <c r="S578">
        <v>-11.1453693395</v>
      </c>
      <c r="T578">
        <v>90.800653435399994</v>
      </c>
      <c r="U578">
        <v>0</v>
      </c>
      <c r="V578">
        <v>0</v>
      </c>
    </row>
    <row r="579" spans="1:22" x14ac:dyDescent="0.2">
      <c r="A579"/>
      <c r="B579">
        <v>23186</v>
      </c>
      <c r="C579" t="s">
        <v>2699</v>
      </c>
      <c r="D579" t="s">
        <v>55</v>
      </c>
      <c r="E579" t="s">
        <v>52</v>
      </c>
      <c r="F579" t="s">
        <v>2412</v>
      </c>
      <c r="G579">
        <v>399.36280476399997</v>
      </c>
      <c r="H579" t="s">
        <v>248</v>
      </c>
      <c r="Q579">
        <v>2943.0584020000001</v>
      </c>
      <c r="R579">
        <v>25609.285824800001</v>
      </c>
      <c r="S579">
        <v>-11.1453693395</v>
      </c>
      <c r="T579">
        <v>90.800653435399994</v>
      </c>
      <c r="U579">
        <v>0</v>
      </c>
      <c r="V579">
        <v>0</v>
      </c>
    </row>
    <row r="580" spans="1:22" x14ac:dyDescent="0.2">
      <c r="A580"/>
      <c r="B580">
        <v>23187</v>
      </c>
      <c r="C580" t="s">
        <v>2700</v>
      </c>
      <c r="D580" t="s">
        <v>54</v>
      </c>
      <c r="E580" t="s">
        <v>52</v>
      </c>
      <c r="F580" t="s">
        <v>2412</v>
      </c>
      <c r="G580">
        <v>399.36280476399997</v>
      </c>
      <c r="H580" t="s">
        <v>248</v>
      </c>
      <c r="Q580">
        <v>2943.0584020000001</v>
      </c>
      <c r="R580">
        <v>25609.285824800001</v>
      </c>
      <c r="S580">
        <v>-11.1453693395</v>
      </c>
      <c r="T580">
        <v>90.800653435399994</v>
      </c>
      <c r="U580">
        <v>0</v>
      </c>
      <c r="V580">
        <v>0</v>
      </c>
    </row>
    <row r="581" spans="1:22" x14ac:dyDescent="0.2">
      <c r="A581"/>
      <c r="B581">
        <v>23188</v>
      </c>
      <c r="C581" t="s">
        <v>2701</v>
      </c>
      <c r="D581" t="s">
        <v>53</v>
      </c>
      <c r="E581" t="s">
        <v>52</v>
      </c>
      <c r="F581" t="s">
        <v>2412</v>
      </c>
      <c r="G581">
        <v>399.36280476399997</v>
      </c>
      <c r="H581" t="s">
        <v>248</v>
      </c>
      <c r="Q581">
        <v>2943.0584020000001</v>
      </c>
      <c r="R581">
        <v>25609.285824800001</v>
      </c>
      <c r="S581">
        <v>-11.1453693395</v>
      </c>
      <c r="T581">
        <v>90.800653435399994</v>
      </c>
      <c r="U581">
        <v>0</v>
      </c>
      <c r="V581">
        <v>0</v>
      </c>
    </row>
    <row r="582" spans="1:22" x14ac:dyDescent="0.2">
      <c r="A582"/>
      <c r="B582">
        <v>23189</v>
      </c>
      <c r="C582" t="s">
        <v>2702</v>
      </c>
      <c r="D582" t="s">
        <v>65</v>
      </c>
      <c r="F582" t="s">
        <v>2472</v>
      </c>
      <c r="G582">
        <v>391.13288607099997</v>
      </c>
      <c r="H582" t="s">
        <v>248</v>
      </c>
      <c r="Q582">
        <v>2942.8054751200002</v>
      </c>
      <c r="R582">
        <v>25621.7079519</v>
      </c>
      <c r="S582">
        <v>-11.1552639746</v>
      </c>
      <c r="T582">
        <v>-179.186659099</v>
      </c>
      <c r="U582">
        <v>0</v>
      </c>
      <c r="V582">
        <v>0</v>
      </c>
    </row>
    <row r="583" spans="1:22" x14ac:dyDescent="0.2">
      <c r="A583"/>
      <c r="B583">
        <v>23190</v>
      </c>
      <c r="C583" t="s">
        <v>2703</v>
      </c>
      <c r="D583" t="s">
        <v>59</v>
      </c>
      <c r="E583" t="s">
        <v>1091</v>
      </c>
      <c r="F583" t="s">
        <v>2472</v>
      </c>
      <c r="G583">
        <v>391.13288607099997</v>
      </c>
      <c r="H583" t="s">
        <v>248</v>
      </c>
      <c r="Q583">
        <v>2942.84096262</v>
      </c>
      <c r="R583">
        <v>25619.208203800001</v>
      </c>
      <c r="S583">
        <v>-11.1552639746</v>
      </c>
      <c r="T583">
        <v>-89.186659099400003</v>
      </c>
      <c r="U583">
        <v>0</v>
      </c>
      <c r="V583">
        <v>0</v>
      </c>
    </row>
    <row r="584" spans="1:22" x14ac:dyDescent="0.2">
      <c r="A584"/>
      <c r="B584">
        <v>23191</v>
      </c>
      <c r="C584" t="s">
        <v>2704</v>
      </c>
      <c r="D584" t="s">
        <v>57</v>
      </c>
      <c r="E584" t="s">
        <v>1091</v>
      </c>
      <c r="F584" t="s">
        <v>2472</v>
      </c>
      <c r="G584">
        <v>391.13288607099997</v>
      </c>
      <c r="H584" t="s">
        <v>248</v>
      </c>
      <c r="Q584">
        <v>2942.84096262</v>
      </c>
      <c r="R584">
        <v>25619.208203800001</v>
      </c>
      <c r="S584">
        <v>-11.1552639746</v>
      </c>
      <c r="T584">
        <v>-89.186659099400003</v>
      </c>
      <c r="U584">
        <v>0</v>
      </c>
      <c r="V584">
        <v>0</v>
      </c>
    </row>
    <row r="585" spans="1:22" x14ac:dyDescent="0.2">
      <c r="A585"/>
      <c r="B585">
        <v>23192</v>
      </c>
      <c r="C585" t="s">
        <v>2705</v>
      </c>
      <c r="D585" t="s">
        <v>55</v>
      </c>
      <c r="E585" t="s">
        <v>52</v>
      </c>
      <c r="F585" t="s">
        <v>2472</v>
      </c>
      <c r="G585">
        <v>391.13288607099997</v>
      </c>
      <c r="H585" t="s">
        <v>248</v>
      </c>
      <c r="Q585">
        <v>2942.84096262</v>
      </c>
      <c r="R585">
        <v>25619.208203800001</v>
      </c>
      <c r="S585">
        <v>-11.1552639746</v>
      </c>
      <c r="T585">
        <v>-89.186659099400003</v>
      </c>
      <c r="U585">
        <v>0</v>
      </c>
      <c r="V585">
        <v>0</v>
      </c>
    </row>
    <row r="586" spans="1:22" x14ac:dyDescent="0.2">
      <c r="A586"/>
      <c r="B586">
        <v>23193</v>
      </c>
      <c r="C586" t="s">
        <v>2706</v>
      </c>
      <c r="D586" t="s">
        <v>54</v>
      </c>
      <c r="E586" t="s">
        <v>52</v>
      </c>
      <c r="F586" t="s">
        <v>2472</v>
      </c>
      <c r="G586">
        <v>391.13288607099997</v>
      </c>
      <c r="H586" t="s">
        <v>248</v>
      </c>
      <c r="Q586">
        <v>2942.84096262</v>
      </c>
      <c r="R586">
        <v>25619.208203800001</v>
      </c>
      <c r="S586">
        <v>-11.1552639746</v>
      </c>
      <c r="T586">
        <v>-89.186659099400003</v>
      </c>
      <c r="U586">
        <v>0</v>
      </c>
      <c r="V586">
        <v>0</v>
      </c>
    </row>
    <row r="587" spans="1:22" x14ac:dyDescent="0.2">
      <c r="A587"/>
      <c r="B587">
        <v>23194</v>
      </c>
      <c r="C587" t="s">
        <v>2707</v>
      </c>
      <c r="D587" t="s">
        <v>53</v>
      </c>
      <c r="E587" t="s">
        <v>52</v>
      </c>
      <c r="F587" t="s">
        <v>2472</v>
      </c>
      <c r="G587">
        <v>391.13288607099997</v>
      </c>
      <c r="H587" t="s">
        <v>248</v>
      </c>
      <c r="Q587">
        <v>2942.84096262</v>
      </c>
      <c r="R587">
        <v>25619.208203800001</v>
      </c>
      <c r="S587">
        <v>-11.1552639746</v>
      </c>
      <c r="T587">
        <v>-89.186659099400003</v>
      </c>
      <c r="U587">
        <v>0</v>
      </c>
      <c r="V587">
        <v>0</v>
      </c>
    </row>
    <row r="588" spans="1:22" x14ac:dyDescent="0.2">
      <c r="A588"/>
      <c r="B588">
        <v>23195</v>
      </c>
      <c r="C588" t="s">
        <v>2708</v>
      </c>
      <c r="D588" t="s">
        <v>69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 x14ac:dyDescent="0.2">
      <c r="A589"/>
      <c r="B589">
        <v>23196</v>
      </c>
      <c r="C589" t="s">
        <v>2709</v>
      </c>
      <c r="D589" t="s">
        <v>65</v>
      </c>
      <c r="F589" t="s">
        <v>2337</v>
      </c>
      <c r="G589">
        <v>409.83424509899999</v>
      </c>
      <c r="H589" t="s">
        <v>248</v>
      </c>
      <c r="Q589">
        <v>2692.8199488</v>
      </c>
      <c r="R589">
        <v>25044.710368100001</v>
      </c>
      <c r="S589">
        <v>-14.1440782516</v>
      </c>
      <c r="T589">
        <v>-88.006355961300002</v>
      </c>
      <c r="U589">
        <v>0</v>
      </c>
      <c r="V589">
        <v>0</v>
      </c>
    </row>
    <row r="590" spans="1:22" x14ac:dyDescent="0.2">
      <c r="A590"/>
      <c r="B590">
        <v>23197</v>
      </c>
      <c r="C590" t="s">
        <v>2710</v>
      </c>
      <c r="D590" t="s">
        <v>59</v>
      </c>
      <c r="E590" t="s">
        <v>1091</v>
      </c>
      <c r="F590" t="s">
        <v>2337</v>
      </c>
      <c r="G590">
        <v>409.83424509899999</v>
      </c>
      <c r="H590" t="s">
        <v>248</v>
      </c>
      <c r="Q590">
        <v>2690.3214620600002</v>
      </c>
      <c r="R590">
        <v>25044.623396499999</v>
      </c>
      <c r="S590">
        <v>-14.1440782516</v>
      </c>
      <c r="T590">
        <v>-178.006355961</v>
      </c>
      <c r="U590">
        <v>0</v>
      </c>
      <c r="V590">
        <v>0</v>
      </c>
    </row>
    <row r="591" spans="1:22" x14ac:dyDescent="0.2">
      <c r="A591"/>
      <c r="B591">
        <v>23198</v>
      </c>
      <c r="C591" t="s">
        <v>2711</v>
      </c>
      <c r="D591" t="s">
        <v>57</v>
      </c>
      <c r="E591" t="s">
        <v>1091</v>
      </c>
      <c r="F591" t="s">
        <v>2337</v>
      </c>
      <c r="G591">
        <v>409.83424509899999</v>
      </c>
      <c r="H591" t="s">
        <v>248</v>
      </c>
      <c r="Q591">
        <v>2690.3214620600002</v>
      </c>
      <c r="R591">
        <v>25044.623396499999</v>
      </c>
      <c r="S591">
        <v>-14.1440782516</v>
      </c>
      <c r="T591">
        <v>-178.006355961</v>
      </c>
      <c r="U591">
        <v>0</v>
      </c>
      <c r="V591">
        <v>0</v>
      </c>
    </row>
    <row r="592" spans="1:22" x14ac:dyDescent="0.2">
      <c r="A592"/>
      <c r="B592">
        <v>23199</v>
      </c>
      <c r="C592" t="s">
        <v>2712</v>
      </c>
      <c r="D592" t="s">
        <v>55</v>
      </c>
      <c r="E592" t="s">
        <v>52</v>
      </c>
      <c r="F592" t="s">
        <v>2337</v>
      </c>
      <c r="G592">
        <v>409.83424509899999</v>
      </c>
      <c r="H592" t="s">
        <v>248</v>
      </c>
      <c r="Q592">
        <v>2690.3214620600002</v>
      </c>
      <c r="R592">
        <v>25044.623396499999</v>
      </c>
      <c r="S592">
        <v>-14.1440782516</v>
      </c>
      <c r="T592">
        <v>-178.006355961</v>
      </c>
      <c r="U592">
        <v>0</v>
      </c>
      <c r="V592">
        <v>0</v>
      </c>
    </row>
    <row r="593" spans="1:22" x14ac:dyDescent="0.2">
      <c r="A593"/>
      <c r="B593">
        <v>23200</v>
      </c>
      <c r="C593" t="s">
        <v>2713</v>
      </c>
      <c r="D593" t="s">
        <v>54</v>
      </c>
      <c r="E593" t="s">
        <v>52</v>
      </c>
      <c r="F593" t="s">
        <v>2337</v>
      </c>
      <c r="G593">
        <v>409.83424509899999</v>
      </c>
      <c r="H593" t="s">
        <v>248</v>
      </c>
      <c r="Q593">
        <v>2690.3214620600002</v>
      </c>
      <c r="R593">
        <v>25044.623396499999</v>
      </c>
      <c r="S593">
        <v>-14.1440782516</v>
      </c>
      <c r="T593">
        <v>-178.006355961</v>
      </c>
      <c r="U593">
        <v>0</v>
      </c>
      <c r="V593">
        <v>0</v>
      </c>
    </row>
    <row r="594" spans="1:22" x14ac:dyDescent="0.2">
      <c r="A594"/>
      <c r="B594">
        <v>23201</v>
      </c>
      <c r="C594" t="s">
        <v>2714</v>
      </c>
      <c r="D594" t="s">
        <v>53</v>
      </c>
      <c r="E594" t="s">
        <v>52</v>
      </c>
      <c r="F594" t="s">
        <v>2337</v>
      </c>
      <c r="G594">
        <v>409.83424509899999</v>
      </c>
      <c r="H594" t="s">
        <v>248</v>
      </c>
      <c r="Q594">
        <v>2690.3214620600002</v>
      </c>
      <c r="R594">
        <v>25044.623396499999</v>
      </c>
      <c r="S594">
        <v>-14.1440782516</v>
      </c>
      <c r="T594">
        <v>-178.006355961</v>
      </c>
      <c r="U594">
        <v>0</v>
      </c>
      <c r="V594">
        <v>0</v>
      </c>
    </row>
    <row r="595" spans="1:22" x14ac:dyDescent="0.2">
      <c r="A595"/>
      <c r="B595">
        <v>23202</v>
      </c>
      <c r="C595" t="s">
        <v>2715</v>
      </c>
      <c r="D595" t="s">
        <v>65</v>
      </c>
      <c r="F595" t="s">
        <v>2343</v>
      </c>
      <c r="G595">
        <v>410.13924153099998</v>
      </c>
      <c r="H595" t="s">
        <v>248</v>
      </c>
      <c r="Q595">
        <v>2677.8803022000002</v>
      </c>
      <c r="R595">
        <v>25043.826710099998</v>
      </c>
      <c r="S595">
        <v>-14.1709648828</v>
      </c>
      <c r="T595">
        <v>-88.007370493400003</v>
      </c>
      <c r="U595">
        <v>0</v>
      </c>
      <c r="V595">
        <v>0</v>
      </c>
    </row>
    <row r="596" spans="1:22" x14ac:dyDescent="0.2">
      <c r="A596"/>
      <c r="B596">
        <v>23203</v>
      </c>
      <c r="C596" t="s">
        <v>2716</v>
      </c>
      <c r="D596" t="s">
        <v>59</v>
      </c>
      <c r="E596" t="s">
        <v>1091</v>
      </c>
      <c r="F596" t="s">
        <v>2343</v>
      </c>
      <c r="G596">
        <v>410.13924153099998</v>
      </c>
      <c r="H596" t="s">
        <v>248</v>
      </c>
      <c r="Q596">
        <v>2680.3787904699998</v>
      </c>
      <c r="R596">
        <v>25043.913637400001</v>
      </c>
      <c r="S596">
        <v>-14.1709648828</v>
      </c>
      <c r="T596">
        <v>1.9926295065599999</v>
      </c>
      <c r="U596">
        <v>0</v>
      </c>
      <c r="V596">
        <v>0</v>
      </c>
    </row>
    <row r="597" spans="1:22" x14ac:dyDescent="0.2">
      <c r="A597"/>
      <c r="B597">
        <v>23204</v>
      </c>
      <c r="C597" t="s">
        <v>2717</v>
      </c>
      <c r="D597" t="s">
        <v>57</v>
      </c>
      <c r="E597" t="s">
        <v>1091</v>
      </c>
      <c r="F597" t="s">
        <v>2343</v>
      </c>
      <c r="G597">
        <v>410.13924153099998</v>
      </c>
      <c r="H597" t="s">
        <v>248</v>
      </c>
      <c r="Q597">
        <v>2680.3787904699998</v>
      </c>
      <c r="R597">
        <v>25043.913637400001</v>
      </c>
      <c r="S597">
        <v>-14.1709648828</v>
      </c>
      <c r="T597">
        <v>1.9926295065599999</v>
      </c>
      <c r="U597">
        <v>0</v>
      </c>
      <c r="V597">
        <v>0</v>
      </c>
    </row>
    <row r="598" spans="1:22" x14ac:dyDescent="0.2">
      <c r="A598"/>
      <c r="B598">
        <v>23205</v>
      </c>
      <c r="C598" t="s">
        <v>2718</v>
      </c>
      <c r="D598" t="s">
        <v>55</v>
      </c>
      <c r="E598" t="s">
        <v>52</v>
      </c>
      <c r="F598" t="s">
        <v>2343</v>
      </c>
      <c r="G598">
        <v>410.13924153099998</v>
      </c>
      <c r="H598" t="s">
        <v>248</v>
      </c>
      <c r="Q598">
        <v>2680.3787904699998</v>
      </c>
      <c r="R598">
        <v>25043.913637400001</v>
      </c>
      <c r="S598">
        <v>-14.1709648828</v>
      </c>
      <c r="T598">
        <v>1.9926295065599999</v>
      </c>
      <c r="U598">
        <v>0</v>
      </c>
      <c r="V598">
        <v>0</v>
      </c>
    </row>
    <row r="599" spans="1:22" x14ac:dyDescent="0.2">
      <c r="A599"/>
      <c r="B599">
        <v>23206</v>
      </c>
      <c r="C599" t="s">
        <v>2719</v>
      </c>
      <c r="D599" t="s">
        <v>54</v>
      </c>
      <c r="E599" t="s">
        <v>52</v>
      </c>
      <c r="F599" t="s">
        <v>2343</v>
      </c>
      <c r="G599">
        <v>410.13924153099998</v>
      </c>
      <c r="H599" t="s">
        <v>248</v>
      </c>
      <c r="Q599">
        <v>2680.3787904699998</v>
      </c>
      <c r="R599">
        <v>25043.913637400001</v>
      </c>
      <c r="S599">
        <v>-14.1709648828</v>
      </c>
      <c r="T599">
        <v>1.9926295065599999</v>
      </c>
      <c r="U599">
        <v>0</v>
      </c>
      <c r="V599">
        <v>0</v>
      </c>
    </row>
    <row r="600" spans="1:22" x14ac:dyDescent="0.2">
      <c r="A600"/>
      <c r="B600">
        <v>23207</v>
      </c>
      <c r="C600" t="s">
        <v>2720</v>
      </c>
      <c r="D600" t="s">
        <v>53</v>
      </c>
      <c r="E600" t="s">
        <v>52</v>
      </c>
      <c r="F600" t="s">
        <v>2343</v>
      </c>
      <c r="G600">
        <v>410.13924153099998</v>
      </c>
      <c r="H600" t="s">
        <v>248</v>
      </c>
      <c r="Q600">
        <v>2680.3787904699998</v>
      </c>
      <c r="R600">
        <v>25043.913637400001</v>
      </c>
      <c r="S600">
        <v>-14.1709648828</v>
      </c>
      <c r="T600">
        <v>1.9926295065599999</v>
      </c>
      <c r="U600">
        <v>0</v>
      </c>
      <c r="V600">
        <v>0</v>
      </c>
    </row>
    <row r="601" spans="1:22" x14ac:dyDescent="0.2">
      <c r="A601"/>
      <c r="B601">
        <v>23208</v>
      </c>
      <c r="C601" t="s">
        <v>2721</v>
      </c>
      <c r="D601" t="s">
        <v>69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 x14ac:dyDescent="0.2">
      <c r="A602"/>
      <c r="B602">
        <v>23209</v>
      </c>
      <c r="C602" t="s">
        <v>2722</v>
      </c>
      <c r="D602" t="s">
        <v>65</v>
      </c>
      <c r="F602" t="s">
        <v>2340</v>
      </c>
      <c r="G602">
        <v>465.95751624799999</v>
      </c>
      <c r="H602" t="s">
        <v>248</v>
      </c>
      <c r="Q602">
        <v>2596.25683742</v>
      </c>
      <c r="R602">
        <v>23785.170561800001</v>
      </c>
      <c r="S602">
        <v>-6.58658552134</v>
      </c>
      <c r="T602">
        <v>-105.397886586</v>
      </c>
      <c r="U602">
        <v>0</v>
      </c>
      <c r="V602">
        <v>0</v>
      </c>
    </row>
    <row r="603" spans="1:22" x14ac:dyDescent="0.2">
      <c r="A603"/>
      <c r="B603">
        <v>23210</v>
      </c>
      <c r="C603" t="s">
        <v>2723</v>
      </c>
      <c r="D603" t="s">
        <v>59</v>
      </c>
      <c r="E603" t="s">
        <v>1091</v>
      </c>
      <c r="F603" t="s">
        <v>2340</v>
      </c>
      <c r="G603">
        <v>465.95751624799999</v>
      </c>
      <c r="H603" t="s">
        <v>248</v>
      </c>
      <c r="Q603">
        <v>2593.8465744199998</v>
      </c>
      <c r="R603">
        <v>23785.8343632</v>
      </c>
      <c r="S603">
        <v>-6.58658552134</v>
      </c>
      <c r="T603">
        <v>164.602113414</v>
      </c>
      <c r="U603">
        <v>0</v>
      </c>
      <c r="V603">
        <v>0</v>
      </c>
    </row>
    <row r="604" spans="1:22" x14ac:dyDescent="0.2">
      <c r="A604"/>
      <c r="B604">
        <v>23211</v>
      </c>
      <c r="C604" t="s">
        <v>2724</v>
      </c>
      <c r="D604" t="s">
        <v>57</v>
      </c>
      <c r="E604" t="s">
        <v>1091</v>
      </c>
      <c r="F604" t="s">
        <v>2340</v>
      </c>
      <c r="G604">
        <v>465.95751624799999</v>
      </c>
      <c r="H604" t="s">
        <v>248</v>
      </c>
      <c r="Q604">
        <v>2593.8465744199998</v>
      </c>
      <c r="R604">
        <v>23785.8343632</v>
      </c>
      <c r="S604">
        <v>-6.58658552134</v>
      </c>
      <c r="T604">
        <v>164.602113414</v>
      </c>
      <c r="U604">
        <v>0</v>
      </c>
      <c r="V604">
        <v>0</v>
      </c>
    </row>
    <row r="605" spans="1:22" x14ac:dyDescent="0.2">
      <c r="A605"/>
      <c r="B605">
        <v>23212</v>
      </c>
      <c r="C605" t="s">
        <v>2725</v>
      </c>
      <c r="D605" t="s">
        <v>55</v>
      </c>
      <c r="E605" t="s">
        <v>52</v>
      </c>
      <c r="F605" t="s">
        <v>2340</v>
      </c>
      <c r="G605">
        <v>465.95751624799999</v>
      </c>
      <c r="H605" t="s">
        <v>248</v>
      </c>
      <c r="Q605">
        <v>2593.8465744199998</v>
      </c>
      <c r="R605">
        <v>23785.8343632</v>
      </c>
      <c r="S605">
        <v>-6.58658552134</v>
      </c>
      <c r="T605">
        <v>164.602113414</v>
      </c>
      <c r="U605">
        <v>0</v>
      </c>
      <c r="V605">
        <v>0</v>
      </c>
    </row>
    <row r="606" spans="1:22" x14ac:dyDescent="0.2">
      <c r="A606"/>
      <c r="B606">
        <v>23213</v>
      </c>
      <c r="C606" t="s">
        <v>2726</v>
      </c>
      <c r="D606" t="s">
        <v>54</v>
      </c>
      <c r="E606" t="s">
        <v>52</v>
      </c>
      <c r="F606" t="s">
        <v>2340</v>
      </c>
      <c r="G606">
        <v>465.95751624799999</v>
      </c>
      <c r="H606" t="s">
        <v>248</v>
      </c>
      <c r="Q606">
        <v>2593.8465744199998</v>
      </c>
      <c r="R606">
        <v>23785.8343632</v>
      </c>
      <c r="S606">
        <v>-6.58658552134</v>
      </c>
      <c r="T606">
        <v>164.602113414</v>
      </c>
      <c r="U606">
        <v>0</v>
      </c>
      <c r="V606">
        <v>0</v>
      </c>
    </row>
    <row r="607" spans="1:22" x14ac:dyDescent="0.2">
      <c r="A607"/>
      <c r="B607">
        <v>23214</v>
      </c>
      <c r="C607" t="s">
        <v>2727</v>
      </c>
      <c r="D607" t="s">
        <v>53</v>
      </c>
      <c r="E607" t="s">
        <v>52</v>
      </c>
      <c r="F607" t="s">
        <v>2340</v>
      </c>
      <c r="G607">
        <v>465.95751624799999</v>
      </c>
      <c r="H607" t="s">
        <v>248</v>
      </c>
      <c r="Q607">
        <v>2593.8465744199998</v>
      </c>
      <c r="R607">
        <v>23785.8343632</v>
      </c>
      <c r="S607">
        <v>-6.58658552134</v>
      </c>
      <c r="T607">
        <v>164.602113414</v>
      </c>
      <c r="U607">
        <v>0</v>
      </c>
      <c r="V607">
        <v>0</v>
      </c>
    </row>
    <row r="608" spans="1:22" x14ac:dyDescent="0.2">
      <c r="A608"/>
      <c r="B608">
        <v>23215</v>
      </c>
      <c r="C608" t="s">
        <v>2728</v>
      </c>
      <c r="D608" t="s">
        <v>65</v>
      </c>
      <c r="F608" t="s">
        <v>2345</v>
      </c>
      <c r="G608">
        <v>387.59095482999999</v>
      </c>
      <c r="H608" t="s">
        <v>248</v>
      </c>
      <c r="Q608">
        <v>2581.67387306</v>
      </c>
      <c r="R608">
        <v>23788.701591199999</v>
      </c>
      <c r="S608">
        <v>-6.6072097937700001</v>
      </c>
      <c r="T608">
        <v>-105.26977487000001</v>
      </c>
      <c r="U608">
        <v>0</v>
      </c>
      <c r="V608">
        <v>0</v>
      </c>
    </row>
    <row r="609" spans="1:22" x14ac:dyDescent="0.2">
      <c r="A609"/>
      <c r="B609">
        <v>23216</v>
      </c>
      <c r="C609" t="s">
        <v>2729</v>
      </c>
      <c r="D609" t="s">
        <v>59</v>
      </c>
      <c r="E609" t="s">
        <v>1091</v>
      </c>
      <c r="F609" t="s">
        <v>2345</v>
      </c>
      <c r="G609">
        <v>387.59095482999999</v>
      </c>
      <c r="H609" t="s">
        <v>248</v>
      </c>
      <c r="Q609">
        <v>2584.08561427</v>
      </c>
      <c r="R609">
        <v>23788.043180799999</v>
      </c>
      <c r="S609">
        <v>-6.6072097937700001</v>
      </c>
      <c r="T609">
        <v>-15.269774869800001</v>
      </c>
      <c r="U609">
        <v>0</v>
      </c>
      <c r="V609">
        <v>0</v>
      </c>
    </row>
    <row r="610" spans="1:22" x14ac:dyDescent="0.2">
      <c r="A610"/>
      <c r="B610">
        <v>23217</v>
      </c>
      <c r="C610" t="s">
        <v>2730</v>
      </c>
      <c r="D610" t="s">
        <v>57</v>
      </c>
      <c r="E610" t="s">
        <v>1091</v>
      </c>
      <c r="F610" t="s">
        <v>2345</v>
      </c>
      <c r="G610">
        <v>387.59095482999999</v>
      </c>
      <c r="H610" t="s">
        <v>248</v>
      </c>
      <c r="Q610">
        <v>2584.08561427</v>
      </c>
      <c r="R610">
        <v>23788.043180799999</v>
      </c>
      <c r="S610">
        <v>-6.6072097937700001</v>
      </c>
      <c r="T610">
        <v>-15.269774869800001</v>
      </c>
      <c r="U610">
        <v>0</v>
      </c>
      <c r="V610">
        <v>0</v>
      </c>
    </row>
    <row r="611" spans="1:22" x14ac:dyDescent="0.2">
      <c r="A611"/>
      <c r="B611">
        <v>23218</v>
      </c>
      <c r="C611" t="s">
        <v>2731</v>
      </c>
      <c r="D611" t="s">
        <v>55</v>
      </c>
      <c r="E611" t="s">
        <v>52</v>
      </c>
      <c r="F611" t="s">
        <v>2345</v>
      </c>
      <c r="G611">
        <v>387.59095482999999</v>
      </c>
      <c r="H611" t="s">
        <v>248</v>
      </c>
      <c r="Q611">
        <v>2584.08561427</v>
      </c>
      <c r="R611">
        <v>23788.043180799999</v>
      </c>
      <c r="S611">
        <v>-6.6072097937700001</v>
      </c>
      <c r="T611">
        <v>-15.269774869800001</v>
      </c>
      <c r="U611">
        <v>0</v>
      </c>
      <c r="V611">
        <v>0</v>
      </c>
    </row>
    <row r="612" spans="1:22" x14ac:dyDescent="0.2">
      <c r="A612"/>
      <c r="B612">
        <v>23219</v>
      </c>
      <c r="C612" t="s">
        <v>2732</v>
      </c>
      <c r="D612" t="s">
        <v>54</v>
      </c>
      <c r="E612" t="s">
        <v>52</v>
      </c>
      <c r="F612" t="s">
        <v>2345</v>
      </c>
      <c r="G612">
        <v>387.59095482999999</v>
      </c>
      <c r="H612" t="s">
        <v>248</v>
      </c>
      <c r="Q612">
        <v>2584.08561427</v>
      </c>
      <c r="R612">
        <v>23788.043180799999</v>
      </c>
      <c r="S612">
        <v>-6.6072097937700001</v>
      </c>
      <c r="T612">
        <v>-15.269774869800001</v>
      </c>
      <c r="U612">
        <v>0</v>
      </c>
      <c r="V612">
        <v>0</v>
      </c>
    </row>
    <row r="613" spans="1:22" x14ac:dyDescent="0.2">
      <c r="A613"/>
      <c r="B613">
        <v>23220</v>
      </c>
      <c r="C613" t="s">
        <v>2733</v>
      </c>
      <c r="D613" t="s">
        <v>53</v>
      </c>
      <c r="E613" t="s">
        <v>52</v>
      </c>
      <c r="F613" t="s">
        <v>2345</v>
      </c>
      <c r="G613">
        <v>387.59095482999999</v>
      </c>
      <c r="H613" t="s">
        <v>248</v>
      </c>
      <c r="Q613">
        <v>2584.08561427</v>
      </c>
      <c r="R613">
        <v>23788.043180799999</v>
      </c>
      <c r="S613">
        <v>-6.6072097937700001</v>
      </c>
      <c r="T613">
        <v>-15.269774869800001</v>
      </c>
      <c r="U613">
        <v>0</v>
      </c>
      <c r="V613">
        <v>0</v>
      </c>
    </row>
    <row r="614" spans="1:22" x14ac:dyDescent="0.2">
      <c r="A614"/>
      <c r="B614">
        <v>23221</v>
      </c>
      <c r="C614" t="s">
        <v>2734</v>
      </c>
      <c r="D614" t="s">
        <v>928</v>
      </c>
      <c r="E614" t="s">
        <v>1041</v>
      </c>
      <c r="F614" t="s">
        <v>2302</v>
      </c>
      <c r="G614">
        <v>40</v>
      </c>
      <c r="H614" t="s">
        <v>1270</v>
      </c>
      <c r="Q614">
        <v>6899.12135674</v>
      </c>
      <c r="R614">
        <v>36811.317781700003</v>
      </c>
      <c r="S614">
        <v>-9.1488414055600007</v>
      </c>
      <c r="T614">
        <v>-126.788005955</v>
      </c>
      <c r="U614">
        <v>0</v>
      </c>
      <c r="V614">
        <v>0</v>
      </c>
    </row>
    <row r="615" spans="1:22" x14ac:dyDescent="0.2">
      <c r="A615"/>
      <c r="B615">
        <v>23222</v>
      </c>
      <c r="C615" t="s">
        <v>2735</v>
      </c>
      <c r="D615" t="s">
        <v>928</v>
      </c>
      <c r="E615" t="s">
        <v>1041</v>
      </c>
      <c r="F615" t="s">
        <v>2302</v>
      </c>
      <c r="G615">
        <v>62.2</v>
      </c>
      <c r="H615" t="s">
        <v>1270</v>
      </c>
      <c r="Q615">
        <v>6912.41712861</v>
      </c>
      <c r="R615">
        <v>36829.095927000002</v>
      </c>
      <c r="S615">
        <v>-9.1478317792499997</v>
      </c>
      <c r="T615">
        <v>-126.795502101</v>
      </c>
      <c r="U615">
        <v>0</v>
      </c>
      <c r="V615">
        <v>0</v>
      </c>
    </row>
    <row r="616" spans="1:22" x14ac:dyDescent="0.2">
      <c r="A616"/>
      <c r="B616">
        <v>23223</v>
      </c>
      <c r="C616" t="s">
        <v>2736</v>
      </c>
      <c r="D616" t="s">
        <v>928</v>
      </c>
      <c r="E616" t="s">
        <v>1041</v>
      </c>
      <c r="F616" t="s">
        <v>2302</v>
      </c>
      <c r="G616">
        <v>176.21</v>
      </c>
      <c r="H616" t="s">
        <v>12</v>
      </c>
      <c r="Q616">
        <v>6980.7330398800004</v>
      </c>
      <c r="R616">
        <v>36920.371421800002</v>
      </c>
      <c r="S616">
        <v>-9.1440548610800008</v>
      </c>
      <c r="T616">
        <v>53.169951065299998</v>
      </c>
      <c r="U616">
        <v>0</v>
      </c>
      <c r="V616">
        <v>0</v>
      </c>
    </row>
    <row r="617" spans="1:22" x14ac:dyDescent="0.2">
      <c r="A617"/>
      <c r="B617">
        <v>23224</v>
      </c>
      <c r="C617" t="s">
        <v>2737</v>
      </c>
      <c r="D617" t="s">
        <v>928</v>
      </c>
      <c r="E617" t="s">
        <v>1041</v>
      </c>
      <c r="F617" t="s">
        <v>2302</v>
      </c>
      <c r="G617">
        <v>198.41</v>
      </c>
      <c r="H617" t="s">
        <v>12</v>
      </c>
      <c r="Q617">
        <v>6994.0416150299998</v>
      </c>
      <c r="R617">
        <v>36938.139984699999</v>
      </c>
      <c r="S617">
        <v>-9.1435936058799996</v>
      </c>
      <c r="T617">
        <v>53.163993308899997</v>
      </c>
      <c r="U617">
        <v>0</v>
      </c>
      <c r="V617">
        <v>0</v>
      </c>
    </row>
    <row r="618" spans="1:22" x14ac:dyDescent="0.2">
      <c r="A618"/>
      <c r="B618">
        <v>23225</v>
      </c>
      <c r="C618" t="s">
        <v>2738</v>
      </c>
      <c r="D618" t="s">
        <v>928</v>
      </c>
      <c r="E618" t="s">
        <v>1041</v>
      </c>
      <c r="F618" t="s">
        <v>1920</v>
      </c>
      <c r="G618">
        <v>95.32</v>
      </c>
      <c r="H618" t="s">
        <v>1270</v>
      </c>
      <c r="Q618">
        <v>6889.5290844499996</v>
      </c>
      <c r="R618">
        <v>36790.351538499999</v>
      </c>
      <c r="S618">
        <v>-9.1648483003999992</v>
      </c>
      <c r="T618">
        <v>-126.812121683</v>
      </c>
      <c r="U618">
        <v>0</v>
      </c>
      <c r="V618">
        <v>0</v>
      </c>
    </row>
    <row r="619" spans="1:22" x14ac:dyDescent="0.2">
      <c r="A619"/>
      <c r="B619">
        <v>23226</v>
      </c>
      <c r="C619" t="s">
        <v>2739</v>
      </c>
      <c r="D619" t="s">
        <v>928</v>
      </c>
      <c r="E619" t="s">
        <v>1041</v>
      </c>
      <c r="F619" t="s">
        <v>1920</v>
      </c>
      <c r="G619">
        <v>117.52</v>
      </c>
      <c r="H619" t="s">
        <v>1270</v>
      </c>
      <c r="Q619">
        <v>6902.8334378600002</v>
      </c>
      <c r="R619">
        <v>36808.123262599998</v>
      </c>
      <c r="S619">
        <v>-9.1641115137700009</v>
      </c>
      <c r="T619">
        <v>-126.825881424</v>
      </c>
      <c r="U619">
        <v>0</v>
      </c>
      <c r="V619">
        <v>0</v>
      </c>
    </row>
    <row r="620" spans="1:22" x14ac:dyDescent="0.2">
      <c r="A620"/>
      <c r="B620">
        <v>23227</v>
      </c>
      <c r="C620" t="s">
        <v>2740</v>
      </c>
      <c r="D620" t="s">
        <v>928</v>
      </c>
      <c r="E620" t="s">
        <v>1041</v>
      </c>
      <c r="F620" t="s">
        <v>1920</v>
      </c>
      <c r="G620">
        <v>254.15</v>
      </c>
      <c r="H620" t="s">
        <v>12</v>
      </c>
      <c r="Q620">
        <v>6984.7474953600004</v>
      </c>
      <c r="R620">
        <v>36917.475188299999</v>
      </c>
      <c r="S620">
        <v>-9.14502540276</v>
      </c>
      <c r="T620">
        <v>53.163427893200002</v>
      </c>
      <c r="U620">
        <v>0</v>
      </c>
      <c r="V620">
        <v>0</v>
      </c>
    </row>
    <row r="621" spans="1:22" x14ac:dyDescent="0.2">
      <c r="A621"/>
      <c r="B621">
        <v>23228</v>
      </c>
      <c r="C621" t="s">
        <v>2741</v>
      </c>
      <c r="D621" t="s">
        <v>928</v>
      </c>
      <c r="E621" t="s">
        <v>1041</v>
      </c>
      <c r="F621" t="s">
        <v>1920</v>
      </c>
      <c r="G621">
        <v>276.35000000000002</v>
      </c>
      <c r="H621" t="s">
        <v>12</v>
      </c>
      <c r="Q621">
        <v>6998.0569634599997</v>
      </c>
      <c r="R621">
        <v>36935.243082200002</v>
      </c>
      <c r="S621">
        <v>-9.14348941121</v>
      </c>
      <c r="T621">
        <v>53.164785402900002</v>
      </c>
      <c r="U621">
        <v>0</v>
      </c>
      <c r="V621">
        <v>0</v>
      </c>
    </row>
    <row r="622" spans="1:22" x14ac:dyDescent="0.2">
      <c r="A622"/>
      <c r="B622">
        <v>23229</v>
      </c>
      <c r="C622" t="s">
        <v>2742</v>
      </c>
      <c r="D622" t="s">
        <v>928</v>
      </c>
      <c r="E622" t="s">
        <v>1041</v>
      </c>
      <c r="F622" t="s">
        <v>1915</v>
      </c>
      <c r="G622">
        <v>710.76</v>
      </c>
      <c r="H622" t="s">
        <v>1270</v>
      </c>
      <c r="Q622">
        <v>6934.0631972900001</v>
      </c>
      <c r="R622">
        <v>37513.793736699998</v>
      </c>
      <c r="S622">
        <v>-14.153649977100001</v>
      </c>
      <c r="T622">
        <v>-24.181307568200001</v>
      </c>
      <c r="U622">
        <v>0</v>
      </c>
      <c r="V622">
        <v>0</v>
      </c>
    </row>
    <row r="623" spans="1:22" x14ac:dyDescent="0.2">
      <c r="A623"/>
      <c r="B623">
        <v>23230</v>
      </c>
      <c r="C623" t="s">
        <v>2743</v>
      </c>
      <c r="D623" t="s">
        <v>928</v>
      </c>
      <c r="E623" t="s">
        <v>1041</v>
      </c>
      <c r="F623" t="s">
        <v>1915</v>
      </c>
      <c r="G623">
        <v>732.96</v>
      </c>
      <c r="H623" t="s">
        <v>1270</v>
      </c>
      <c r="Q623">
        <v>6913.71209542</v>
      </c>
      <c r="R623">
        <v>37522.662360399998</v>
      </c>
      <c r="S623">
        <v>-14.153601291299999</v>
      </c>
      <c r="T623">
        <v>-22.911671850000001</v>
      </c>
      <c r="U623">
        <v>0</v>
      </c>
      <c r="V623">
        <v>0</v>
      </c>
    </row>
    <row r="624" spans="1:22" x14ac:dyDescent="0.2">
      <c r="A624"/>
      <c r="B624">
        <v>23231</v>
      </c>
      <c r="C624" t="s">
        <v>2744</v>
      </c>
      <c r="D624" t="s">
        <v>928</v>
      </c>
      <c r="E624" t="s">
        <v>1041</v>
      </c>
      <c r="F624" t="s">
        <v>1915</v>
      </c>
      <c r="G624">
        <v>847.11</v>
      </c>
      <c r="H624" t="s">
        <v>12</v>
      </c>
      <c r="Q624">
        <v>6806.2611628499999</v>
      </c>
      <c r="R624">
        <v>37561.007927500003</v>
      </c>
      <c r="S624">
        <v>-14.154747330099999</v>
      </c>
      <c r="T624">
        <v>163.515625253</v>
      </c>
      <c r="U624">
        <v>0</v>
      </c>
      <c r="V624">
        <v>0</v>
      </c>
    </row>
    <row r="625" spans="1:22" x14ac:dyDescent="0.2">
      <c r="A625"/>
      <c r="B625">
        <v>23232</v>
      </c>
      <c r="C625" t="s">
        <v>2745</v>
      </c>
      <c r="D625" t="s">
        <v>928</v>
      </c>
      <c r="E625" t="s">
        <v>1041</v>
      </c>
      <c r="F625" t="s">
        <v>1915</v>
      </c>
      <c r="G625">
        <v>869.31</v>
      </c>
      <c r="H625" t="s">
        <v>12</v>
      </c>
      <c r="Q625">
        <v>6784.9538969499999</v>
      </c>
      <c r="R625">
        <v>37567.240055900002</v>
      </c>
      <c r="S625">
        <v>-14.1546474019</v>
      </c>
      <c r="T625">
        <v>163.813316155</v>
      </c>
      <c r="U625">
        <v>0</v>
      </c>
      <c r="V625">
        <v>0</v>
      </c>
    </row>
    <row r="626" spans="1:22" x14ac:dyDescent="0.2">
      <c r="A626"/>
      <c r="B626">
        <v>23233</v>
      </c>
      <c r="C626" t="s">
        <v>2746</v>
      </c>
      <c r="D626" t="s">
        <v>928</v>
      </c>
      <c r="E626" t="s">
        <v>1041</v>
      </c>
      <c r="F626" t="s">
        <v>2310</v>
      </c>
      <c r="G626">
        <v>618.11</v>
      </c>
      <c r="H626" t="s">
        <v>1270</v>
      </c>
      <c r="Q626">
        <v>6956.4001804</v>
      </c>
      <c r="R626">
        <v>37508.901272800002</v>
      </c>
      <c r="S626">
        <v>-14.2035480432</v>
      </c>
      <c r="T626">
        <v>-25.418365488199999</v>
      </c>
      <c r="U626">
        <v>0</v>
      </c>
      <c r="V626">
        <v>0</v>
      </c>
    </row>
    <row r="627" spans="1:22" x14ac:dyDescent="0.2">
      <c r="A627"/>
      <c r="B627">
        <v>23234</v>
      </c>
      <c r="C627" t="s">
        <v>2747</v>
      </c>
      <c r="D627" t="s">
        <v>928</v>
      </c>
      <c r="E627" t="s">
        <v>1041</v>
      </c>
      <c r="F627" t="s">
        <v>2310</v>
      </c>
      <c r="G627">
        <v>640.30999999999995</v>
      </c>
      <c r="H627" t="s">
        <v>1270</v>
      </c>
      <c r="Q627">
        <v>6936.2461815500001</v>
      </c>
      <c r="R627">
        <v>37518.209147599999</v>
      </c>
      <c r="S627">
        <v>-14.2029844653</v>
      </c>
      <c r="T627">
        <v>-24.160421014600001</v>
      </c>
      <c r="U627">
        <v>0</v>
      </c>
      <c r="V627">
        <v>0</v>
      </c>
    </row>
    <row r="628" spans="1:22" x14ac:dyDescent="0.2">
      <c r="A628"/>
      <c r="B628">
        <v>23235</v>
      </c>
      <c r="C628" t="s">
        <v>2748</v>
      </c>
      <c r="D628" t="s">
        <v>928</v>
      </c>
      <c r="E628" t="s">
        <v>1041</v>
      </c>
      <c r="F628" t="s">
        <v>2310</v>
      </c>
      <c r="G628">
        <v>777.65</v>
      </c>
      <c r="H628" t="s">
        <v>12</v>
      </c>
      <c r="Q628">
        <v>6807.5193730299998</v>
      </c>
      <c r="R628">
        <v>37565.779875400003</v>
      </c>
      <c r="S628">
        <v>-14.193032453200001</v>
      </c>
      <c r="T628">
        <v>163.56416793700001</v>
      </c>
      <c r="U628">
        <v>0</v>
      </c>
      <c r="V628">
        <v>0</v>
      </c>
    </row>
    <row r="629" spans="1:22" x14ac:dyDescent="0.2">
      <c r="A629"/>
      <c r="B629">
        <v>23236</v>
      </c>
      <c r="C629" t="s">
        <v>2749</v>
      </c>
      <c r="D629" t="s">
        <v>928</v>
      </c>
      <c r="E629" t="s">
        <v>1041</v>
      </c>
      <c r="F629" t="s">
        <v>2310</v>
      </c>
      <c r="G629">
        <v>799.85</v>
      </c>
      <c r="H629" t="s">
        <v>12</v>
      </c>
      <c r="Q629">
        <v>6786.2037082699999</v>
      </c>
      <c r="R629">
        <v>37571.9832188</v>
      </c>
      <c r="S629">
        <v>-14.183795615999999</v>
      </c>
      <c r="T629">
        <v>163.774773966</v>
      </c>
      <c r="U629">
        <v>0</v>
      </c>
      <c r="V629">
        <v>0</v>
      </c>
    </row>
    <row r="630" spans="1:22" x14ac:dyDescent="0.2">
      <c r="A630"/>
      <c r="B630">
        <v>23237</v>
      </c>
      <c r="C630" t="s">
        <v>2750</v>
      </c>
      <c r="D630" t="s">
        <v>928</v>
      </c>
      <c r="E630" t="s">
        <v>1041</v>
      </c>
      <c r="F630" t="s">
        <v>1915</v>
      </c>
      <c r="G630">
        <v>2527.1799999999998</v>
      </c>
      <c r="H630" t="s">
        <v>12</v>
      </c>
      <c r="Q630">
        <v>5213.8129807900004</v>
      </c>
      <c r="R630">
        <v>37496.572483700002</v>
      </c>
      <c r="S630">
        <v>-10.115473636200001</v>
      </c>
      <c r="T630">
        <v>-141.592036979</v>
      </c>
      <c r="U630">
        <v>0</v>
      </c>
      <c r="V630">
        <v>0</v>
      </c>
    </row>
    <row r="631" spans="1:22" x14ac:dyDescent="0.2">
      <c r="A631"/>
      <c r="B631">
        <v>23238</v>
      </c>
      <c r="C631" t="s">
        <v>2751</v>
      </c>
      <c r="D631" t="s">
        <v>928</v>
      </c>
      <c r="E631" t="s">
        <v>1041</v>
      </c>
      <c r="F631" t="s">
        <v>1915</v>
      </c>
      <c r="G631">
        <v>2504.98</v>
      </c>
      <c r="H631" t="s">
        <v>12</v>
      </c>
      <c r="Q631">
        <v>5231.2122602899999</v>
      </c>
      <c r="R631">
        <v>37510.360220800001</v>
      </c>
      <c r="S631">
        <v>-10.0745269992</v>
      </c>
      <c r="T631">
        <v>-141.606531988</v>
      </c>
      <c r="U631">
        <v>0</v>
      </c>
      <c r="V631">
        <v>0</v>
      </c>
    </row>
    <row r="632" spans="1:22" x14ac:dyDescent="0.2">
      <c r="A632"/>
      <c r="B632">
        <v>23239</v>
      </c>
      <c r="C632" t="s">
        <v>2752</v>
      </c>
      <c r="D632" t="s">
        <v>928</v>
      </c>
      <c r="E632" t="s">
        <v>1041</v>
      </c>
      <c r="F632" t="s">
        <v>1915</v>
      </c>
      <c r="G632">
        <v>2368.6</v>
      </c>
      <c r="H632" t="s">
        <v>1270</v>
      </c>
      <c r="Q632">
        <v>5342.2401694299997</v>
      </c>
      <c r="R632">
        <v>37589.433008300002</v>
      </c>
      <c r="S632">
        <v>-10.075217562100001</v>
      </c>
      <c r="T632">
        <v>32.769154629200003</v>
      </c>
      <c r="U632">
        <v>0</v>
      </c>
      <c r="V632">
        <v>0</v>
      </c>
    </row>
    <row r="633" spans="1:22" x14ac:dyDescent="0.2">
      <c r="A633"/>
      <c r="B633">
        <v>23240</v>
      </c>
      <c r="C633" t="s">
        <v>2753</v>
      </c>
      <c r="D633" t="s">
        <v>928</v>
      </c>
      <c r="E633" t="s">
        <v>1041</v>
      </c>
      <c r="F633" t="s">
        <v>1915</v>
      </c>
      <c r="G633">
        <v>2346.4</v>
      </c>
      <c r="H633" t="s">
        <v>1270</v>
      </c>
      <c r="Q633">
        <v>5360.9435907200004</v>
      </c>
      <c r="R633">
        <v>37601.392141199998</v>
      </c>
      <c r="S633">
        <v>-10.068048317600001</v>
      </c>
      <c r="T633">
        <v>32.481013098600002</v>
      </c>
      <c r="U633">
        <v>0</v>
      </c>
      <c r="V633">
        <v>0</v>
      </c>
    </row>
    <row r="634" spans="1:22" x14ac:dyDescent="0.2">
      <c r="A634"/>
      <c r="B634">
        <v>23241</v>
      </c>
      <c r="C634" t="s">
        <v>2754</v>
      </c>
      <c r="D634" t="s">
        <v>928</v>
      </c>
      <c r="E634" t="s">
        <v>1041</v>
      </c>
      <c r="F634" t="s">
        <v>2310</v>
      </c>
      <c r="G634">
        <v>2462.15</v>
      </c>
      <c r="H634" t="s">
        <v>12</v>
      </c>
      <c r="Q634">
        <v>5210.84994706</v>
      </c>
      <c r="R634">
        <v>37500.530696000002</v>
      </c>
      <c r="S634">
        <v>-10.1401876122</v>
      </c>
      <c r="T634">
        <v>-141.59728399900001</v>
      </c>
      <c r="U634">
        <v>0</v>
      </c>
      <c r="V634">
        <v>0</v>
      </c>
    </row>
    <row r="635" spans="1:22" x14ac:dyDescent="0.2">
      <c r="A635"/>
      <c r="B635">
        <v>23242</v>
      </c>
      <c r="C635" t="s">
        <v>2755</v>
      </c>
      <c r="D635" t="s">
        <v>928</v>
      </c>
      <c r="E635" t="s">
        <v>1041</v>
      </c>
      <c r="F635" t="s">
        <v>2310</v>
      </c>
      <c r="G635">
        <v>2439.9499999999998</v>
      </c>
      <c r="H635" t="s">
        <v>12</v>
      </c>
      <c r="Q635">
        <v>5228.2395437799996</v>
      </c>
      <c r="R635">
        <v>37514.330630800003</v>
      </c>
      <c r="S635">
        <v>-10.0980327139</v>
      </c>
      <c r="T635">
        <v>-141.53006870300001</v>
      </c>
      <c r="U635">
        <v>0</v>
      </c>
      <c r="V635">
        <v>0</v>
      </c>
    </row>
    <row r="636" spans="1:22" x14ac:dyDescent="0.2">
      <c r="A636"/>
      <c r="B636">
        <v>23243</v>
      </c>
      <c r="C636" t="s">
        <v>2756</v>
      </c>
      <c r="D636" t="s">
        <v>928</v>
      </c>
      <c r="E636" t="s">
        <v>1041</v>
      </c>
      <c r="F636" t="s">
        <v>2310</v>
      </c>
      <c r="G636">
        <v>2303.25</v>
      </c>
      <c r="H636" t="s">
        <v>1270</v>
      </c>
      <c r="Q636">
        <v>5339.5100323999995</v>
      </c>
      <c r="R636">
        <v>37593.619357299998</v>
      </c>
      <c r="S636">
        <v>-10.105693393699999</v>
      </c>
      <c r="T636">
        <v>32.855312198599997</v>
      </c>
      <c r="U636">
        <v>0</v>
      </c>
      <c r="V636">
        <v>0</v>
      </c>
    </row>
    <row r="637" spans="1:22" x14ac:dyDescent="0.2">
      <c r="A637"/>
      <c r="B637">
        <v>23244</v>
      </c>
      <c r="C637" t="s">
        <v>2757</v>
      </c>
      <c r="D637" t="s">
        <v>928</v>
      </c>
      <c r="E637" t="s">
        <v>1041</v>
      </c>
      <c r="F637" t="s">
        <v>2310</v>
      </c>
      <c r="G637">
        <v>2281.0500000000002</v>
      </c>
      <c r="H637" t="s">
        <v>1270</v>
      </c>
      <c r="Q637">
        <v>5358.1984027099998</v>
      </c>
      <c r="R637">
        <v>37605.601983699999</v>
      </c>
      <c r="S637">
        <v>-10.101690359899999</v>
      </c>
      <c r="T637">
        <v>32.514314577699999</v>
      </c>
      <c r="U637">
        <v>0</v>
      </c>
      <c r="V637">
        <v>0</v>
      </c>
    </row>
    <row r="638" spans="1:22" x14ac:dyDescent="0.2">
      <c r="A638"/>
      <c r="B638">
        <v>23245</v>
      </c>
      <c r="C638" t="s">
        <v>2758</v>
      </c>
      <c r="D638" t="s">
        <v>928</v>
      </c>
      <c r="E638" t="s">
        <v>1041</v>
      </c>
      <c r="F638" t="s">
        <v>1915</v>
      </c>
      <c r="G638">
        <v>3285.16</v>
      </c>
      <c r="H638" t="s">
        <v>1270</v>
      </c>
      <c r="Q638">
        <v>4769.7463004600004</v>
      </c>
      <c r="R638">
        <v>36895.3908285</v>
      </c>
      <c r="S638">
        <v>-13.5738913468</v>
      </c>
      <c r="T638">
        <v>70.382261656300003</v>
      </c>
      <c r="U638">
        <v>0</v>
      </c>
      <c r="V638">
        <v>0</v>
      </c>
    </row>
    <row r="639" spans="1:22" x14ac:dyDescent="0.2">
      <c r="A639"/>
      <c r="B639">
        <v>23246</v>
      </c>
      <c r="C639" t="s">
        <v>2759</v>
      </c>
      <c r="D639" t="s">
        <v>928</v>
      </c>
      <c r="E639" t="s">
        <v>1041</v>
      </c>
      <c r="F639" t="s">
        <v>1915</v>
      </c>
      <c r="G639">
        <v>3307.36</v>
      </c>
      <c r="H639" t="s">
        <v>1270</v>
      </c>
      <c r="Q639">
        <v>4762.3942214600002</v>
      </c>
      <c r="R639">
        <v>36874.443729300001</v>
      </c>
      <c r="S639">
        <v>-13.580449290900001</v>
      </c>
      <c r="T639">
        <v>71.035610664700002</v>
      </c>
      <c r="U639">
        <v>0</v>
      </c>
      <c r="V639">
        <v>0</v>
      </c>
    </row>
    <row r="640" spans="1:22" x14ac:dyDescent="0.2">
      <c r="A640"/>
      <c r="B640">
        <v>23247</v>
      </c>
      <c r="C640" t="s">
        <v>2760</v>
      </c>
      <c r="D640" t="s">
        <v>928</v>
      </c>
      <c r="E640" t="s">
        <v>1041</v>
      </c>
      <c r="F640" t="s">
        <v>1915</v>
      </c>
      <c r="G640">
        <v>3443.74</v>
      </c>
      <c r="H640" t="s">
        <v>12</v>
      </c>
      <c r="Q640">
        <v>4724.8827093899999</v>
      </c>
      <c r="R640">
        <v>36743.399484699999</v>
      </c>
      <c r="S640">
        <v>-13.5755735366</v>
      </c>
      <c r="T640">
        <v>-102.486213522</v>
      </c>
      <c r="U640">
        <v>0</v>
      </c>
      <c r="V640">
        <v>0</v>
      </c>
    </row>
    <row r="641" spans="1:22" x14ac:dyDescent="0.2">
      <c r="A641"/>
      <c r="B641">
        <v>23248</v>
      </c>
      <c r="C641" t="s">
        <v>2761</v>
      </c>
      <c r="D641" t="s">
        <v>928</v>
      </c>
      <c r="E641" t="s">
        <v>1041</v>
      </c>
      <c r="F641" t="s">
        <v>1915</v>
      </c>
      <c r="G641">
        <v>3465.94</v>
      </c>
      <c r="H641" t="s">
        <v>12</v>
      </c>
      <c r="Q641">
        <v>4720.32460102</v>
      </c>
      <c r="R641">
        <v>36721.672930300003</v>
      </c>
      <c r="S641">
        <v>-13.5873700694</v>
      </c>
      <c r="T641">
        <v>-101.21536064999999</v>
      </c>
      <c r="U641">
        <v>0</v>
      </c>
      <c r="V641">
        <v>0</v>
      </c>
    </row>
    <row r="642" spans="1:22" x14ac:dyDescent="0.2">
      <c r="A642"/>
      <c r="B642">
        <v>23249</v>
      </c>
      <c r="C642" t="s">
        <v>2762</v>
      </c>
      <c r="D642" t="s">
        <v>928</v>
      </c>
      <c r="E642" t="s">
        <v>1041</v>
      </c>
      <c r="F642" t="s">
        <v>2310</v>
      </c>
      <c r="G642">
        <v>3404.44</v>
      </c>
      <c r="H642" t="s">
        <v>12</v>
      </c>
      <c r="Q642">
        <v>4715.4660694599997</v>
      </c>
      <c r="R642">
        <v>36722.728851300002</v>
      </c>
      <c r="S642">
        <v>-13.617237143900001</v>
      </c>
      <c r="T642">
        <v>-101.28436440999999</v>
      </c>
      <c r="U642">
        <v>0</v>
      </c>
      <c r="V642">
        <v>0</v>
      </c>
    </row>
    <row r="643" spans="1:22" x14ac:dyDescent="0.2">
      <c r="A643"/>
      <c r="B643">
        <v>23250</v>
      </c>
      <c r="C643" t="s">
        <v>2763</v>
      </c>
      <c r="D643" t="s">
        <v>928</v>
      </c>
      <c r="E643" t="s">
        <v>1041</v>
      </c>
      <c r="F643" t="s">
        <v>2310</v>
      </c>
      <c r="G643">
        <v>3382.24</v>
      </c>
      <c r="H643" t="s">
        <v>12</v>
      </c>
      <c r="Q643">
        <v>4720.0522070999996</v>
      </c>
      <c r="R643">
        <v>36744.449516000001</v>
      </c>
      <c r="S643">
        <v>-13.614138549</v>
      </c>
      <c r="T643">
        <v>-102.550456371</v>
      </c>
      <c r="U643">
        <v>0</v>
      </c>
      <c r="V643">
        <v>0</v>
      </c>
    </row>
    <row r="644" spans="1:22" x14ac:dyDescent="0.2">
      <c r="A644"/>
      <c r="B644">
        <v>23251</v>
      </c>
      <c r="C644" t="s">
        <v>2764</v>
      </c>
      <c r="D644" t="s">
        <v>928</v>
      </c>
      <c r="E644" t="s">
        <v>1041</v>
      </c>
      <c r="F644" t="s">
        <v>2310</v>
      </c>
      <c r="G644">
        <v>3245.3</v>
      </c>
      <c r="H644" t="s">
        <v>1270</v>
      </c>
      <c r="Q644">
        <v>4757.69832804</v>
      </c>
      <c r="R644">
        <v>36876.038258200002</v>
      </c>
      <c r="S644">
        <v>-13.621066519399999</v>
      </c>
      <c r="T644">
        <v>71.016656484400002</v>
      </c>
      <c r="U644">
        <v>0</v>
      </c>
      <c r="V644">
        <v>0</v>
      </c>
    </row>
    <row r="645" spans="1:22" x14ac:dyDescent="0.2">
      <c r="A645"/>
      <c r="B645">
        <v>23252</v>
      </c>
      <c r="C645" t="s">
        <v>2765</v>
      </c>
      <c r="D645" t="s">
        <v>928</v>
      </c>
      <c r="E645" t="s">
        <v>1041</v>
      </c>
      <c r="F645" t="s">
        <v>2310</v>
      </c>
      <c r="G645">
        <v>3223.1</v>
      </c>
      <c r="H645" t="s">
        <v>1270</v>
      </c>
      <c r="Q645">
        <v>4765.0576574500001</v>
      </c>
      <c r="R645">
        <v>36896.982817099997</v>
      </c>
      <c r="S645">
        <v>-13.620026447200001</v>
      </c>
      <c r="T645">
        <v>70.361095186399993</v>
      </c>
      <c r="U645">
        <v>0</v>
      </c>
      <c r="V645">
        <v>0</v>
      </c>
    </row>
    <row r="646" spans="1:22" x14ac:dyDescent="0.2">
      <c r="A646"/>
      <c r="B646">
        <v>23253</v>
      </c>
      <c r="C646" t="s">
        <v>2766</v>
      </c>
      <c r="D646" t="s">
        <v>928</v>
      </c>
      <c r="E646" t="s">
        <v>1041</v>
      </c>
      <c r="F646" t="s">
        <v>1915</v>
      </c>
      <c r="G646">
        <v>4358.8900000000003</v>
      </c>
      <c r="H646" t="s">
        <v>1270</v>
      </c>
      <c r="Q646">
        <v>4511.2878186500002</v>
      </c>
      <c r="R646">
        <v>35879.348306499996</v>
      </c>
      <c r="S646">
        <v>-12.9680283871</v>
      </c>
      <c r="T646">
        <v>45.477528738399997</v>
      </c>
      <c r="U646">
        <v>0</v>
      </c>
      <c r="V646">
        <v>0</v>
      </c>
    </row>
    <row r="647" spans="1:22" x14ac:dyDescent="0.2">
      <c r="A647"/>
      <c r="B647">
        <v>23254</v>
      </c>
      <c r="C647" t="s">
        <v>2767</v>
      </c>
      <c r="D647" t="s">
        <v>928</v>
      </c>
      <c r="E647" t="s">
        <v>1041</v>
      </c>
      <c r="F647" t="s">
        <v>1915</v>
      </c>
      <c r="G647">
        <v>4381.09</v>
      </c>
      <c r="H647" t="s">
        <v>1270</v>
      </c>
      <c r="Q647">
        <v>4495.7070342500001</v>
      </c>
      <c r="R647">
        <v>35863.534419299998</v>
      </c>
      <c r="S647">
        <v>-12.9693570315</v>
      </c>
      <c r="T647">
        <v>45.376922565999998</v>
      </c>
      <c r="U647">
        <v>0</v>
      </c>
      <c r="V647">
        <v>0</v>
      </c>
    </row>
    <row r="648" spans="1:22" x14ac:dyDescent="0.2">
      <c r="A648"/>
      <c r="B648">
        <v>23255</v>
      </c>
      <c r="C648" t="s">
        <v>2768</v>
      </c>
      <c r="D648" t="s">
        <v>928</v>
      </c>
      <c r="E648" t="s">
        <v>1041</v>
      </c>
      <c r="F648" t="s">
        <v>1915</v>
      </c>
      <c r="G648">
        <v>4517.3599999999997</v>
      </c>
      <c r="H648" t="s">
        <v>12</v>
      </c>
      <c r="Q648">
        <v>4399.7983332200001</v>
      </c>
      <c r="R648">
        <v>35766.730417799998</v>
      </c>
      <c r="S648">
        <v>-12.955766737799999</v>
      </c>
      <c r="T648">
        <v>-134.60848796900001</v>
      </c>
      <c r="U648">
        <v>0</v>
      </c>
      <c r="V648">
        <v>0</v>
      </c>
    </row>
    <row r="649" spans="1:22" x14ac:dyDescent="0.2">
      <c r="A649"/>
      <c r="B649">
        <v>23256</v>
      </c>
      <c r="C649" t="s">
        <v>2769</v>
      </c>
      <c r="D649" t="s">
        <v>928</v>
      </c>
      <c r="E649" t="s">
        <v>1041</v>
      </c>
      <c r="F649" t="s">
        <v>1915</v>
      </c>
      <c r="G649">
        <v>4539.5600000000004</v>
      </c>
      <c r="H649" t="s">
        <v>12</v>
      </c>
      <c r="Q649">
        <v>4384.2238467899997</v>
      </c>
      <c r="R649">
        <v>35750.910329300001</v>
      </c>
      <c r="S649">
        <v>-12.9579295187</v>
      </c>
      <c r="T649">
        <v>-134.49389087</v>
      </c>
      <c r="U649">
        <v>0</v>
      </c>
      <c r="V649">
        <v>0</v>
      </c>
    </row>
    <row r="650" spans="1:22" x14ac:dyDescent="0.2">
      <c r="A650"/>
      <c r="B650">
        <v>23257</v>
      </c>
      <c r="C650" t="s">
        <v>2770</v>
      </c>
      <c r="D650" t="s">
        <v>928</v>
      </c>
      <c r="E650" t="s">
        <v>1041</v>
      </c>
      <c r="F650" t="s">
        <v>2310</v>
      </c>
      <c r="G650">
        <v>4294.57</v>
      </c>
      <c r="H650" t="s">
        <v>1270</v>
      </c>
      <c r="Q650">
        <v>4507.7721332700003</v>
      </c>
      <c r="R650">
        <v>35882.826822399998</v>
      </c>
      <c r="S650">
        <v>-13.0086804346</v>
      </c>
      <c r="T650">
        <v>45.473315225</v>
      </c>
      <c r="U650">
        <v>0</v>
      </c>
      <c r="V650">
        <v>0</v>
      </c>
    </row>
    <row r="651" spans="1:22" x14ac:dyDescent="0.2">
      <c r="A651"/>
      <c r="B651">
        <v>23258</v>
      </c>
      <c r="C651" t="s">
        <v>2771</v>
      </c>
      <c r="D651" t="s">
        <v>928</v>
      </c>
      <c r="E651" t="s">
        <v>1041</v>
      </c>
      <c r="F651" t="s">
        <v>2310</v>
      </c>
      <c r="G651">
        <v>4316.7700000000004</v>
      </c>
      <c r="H651" t="s">
        <v>1270</v>
      </c>
      <c r="Q651">
        <v>4492.1889292599999</v>
      </c>
      <c r="R651">
        <v>35867.015320099999</v>
      </c>
      <c r="S651">
        <v>-13.0102564511</v>
      </c>
      <c r="T651">
        <v>45.365946492399999</v>
      </c>
      <c r="U651">
        <v>0</v>
      </c>
      <c r="V651">
        <v>0</v>
      </c>
    </row>
    <row r="652" spans="1:22" x14ac:dyDescent="0.2">
      <c r="A652"/>
      <c r="B652">
        <v>23259</v>
      </c>
      <c r="C652" t="s">
        <v>2772</v>
      </c>
      <c r="D652" t="s">
        <v>928</v>
      </c>
      <c r="E652" t="s">
        <v>1041</v>
      </c>
      <c r="F652" t="s">
        <v>2310</v>
      </c>
      <c r="G652">
        <v>4453.1499999999996</v>
      </c>
      <c r="H652" t="s">
        <v>12</v>
      </c>
      <c r="Q652">
        <v>4396.20987633</v>
      </c>
      <c r="R652">
        <v>35770.126117400003</v>
      </c>
      <c r="S652">
        <v>-12.977038630799999</v>
      </c>
      <c r="T652">
        <v>-134.658314569</v>
      </c>
      <c r="U652">
        <v>0</v>
      </c>
      <c r="V652">
        <v>0</v>
      </c>
    </row>
    <row r="653" spans="1:22" x14ac:dyDescent="0.2">
      <c r="A653"/>
      <c r="B653">
        <v>23260</v>
      </c>
      <c r="C653" t="s">
        <v>2773</v>
      </c>
      <c r="D653" t="s">
        <v>928</v>
      </c>
      <c r="E653" t="s">
        <v>1041</v>
      </c>
      <c r="F653" t="s">
        <v>2310</v>
      </c>
      <c r="G653">
        <v>4475.3500000000004</v>
      </c>
      <c r="H653" t="s">
        <v>12</v>
      </c>
      <c r="Q653">
        <v>4380.6278406199999</v>
      </c>
      <c r="R653">
        <v>35754.313471300004</v>
      </c>
      <c r="S653">
        <v>-12.984327349999999</v>
      </c>
      <c r="T653">
        <v>-134.497997145</v>
      </c>
      <c r="U653">
        <v>0</v>
      </c>
      <c r="V653">
        <v>0</v>
      </c>
    </row>
    <row r="654" spans="1:22" x14ac:dyDescent="0.2">
      <c r="A654"/>
      <c r="B654">
        <v>23261</v>
      </c>
      <c r="C654" t="s">
        <v>2774</v>
      </c>
      <c r="D654" t="s">
        <v>928</v>
      </c>
      <c r="E654" t="s">
        <v>1041</v>
      </c>
      <c r="F654" t="s">
        <v>1915</v>
      </c>
      <c r="G654">
        <v>5405.22</v>
      </c>
      <c r="H654" t="s">
        <v>1270</v>
      </c>
      <c r="Q654">
        <v>4134.8382990399996</v>
      </c>
      <c r="R654">
        <v>34957.096884400002</v>
      </c>
      <c r="S654">
        <v>-11.2421339953</v>
      </c>
      <c r="T654">
        <v>91.103279400900007</v>
      </c>
      <c r="U654">
        <v>0</v>
      </c>
      <c r="V654">
        <v>0</v>
      </c>
    </row>
    <row r="655" spans="1:22" x14ac:dyDescent="0.2">
      <c r="A655"/>
      <c r="B655">
        <v>23262</v>
      </c>
      <c r="C655" t="s">
        <v>2775</v>
      </c>
      <c r="D655" t="s">
        <v>928</v>
      </c>
      <c r="E655" t="s">
        <v>1041</v>
      </c>
      <c r="F655" t="s">
        <v>1915</v>
      </c>
      <c r="G655">
        <v>5427.42</v>
      </c>
      <c r="H655" t="s">
        <v>1270</v>
      </c>
      <c r="Q655">
        <v>4135.2729580900004</v>
      </c>
      <c r="R655">
        <v>34934.901430400001</v>
      </c>
      <c r="S655">
        <v>-11.136250281800001</v>
      </c>
      <c r="T655">
        <v>91.140281950299993</v>
      </c>
      <c r="U655">
        <v>0</v>
      </c>
      <c r="V655">
        <v>0</v>
      </c>
    </row>
    <row r="656" spans="1:22" x14ac:dyDescent="0.2">
      <c r="A656"/>
      <c r="B656">
        <v>23263</v>
      </c>
      <c r="C656" t="s">
        <v>2776</v>
      </c>
      <c r="D656" t="s">
        <v>928</v>
      </c>
      <c r="E656" t="s">
        <v>1041</v>
      </c>
      <c r="F656" t="s">
        <v>1915</v>
      </c>
      <c r="G656">
        <v>5563.75</v>
      </c>
      <c r="H656" t="s">
        <v>12</v>
      </c>
      <c r="Q656">
        <v>4141.4242941700004</v>
      </c>
      <c r="R656">
        <v>34798.752500399998</v>
      </c>
      <c r="S656">
        <v>-11.135387061199999</v>
      </c>
      <c r="T656">
        <v>-85.256242471899995</v>
      </c>
      <c r="U656">
        <v>0</v>
      </c>
      <c r="V656">
        <v>0</v>
      </c>
    </row>
    <row r="657" spans="1:22" x14ac:dyDescent="0.2">
      <c r="A657"/>
      <c r="B657">
        <v>23264</v>
      </c>
      <c r="C657" t="s">
        <v>2777</v>
      </c>
      <c r="D657" t="s">
        <v>928</v>
      </c>
      <c r="E657" t="s">
        <v>1041</v>
      </c>
      <c r="F657" t="s">
        <v>1915</v>
      </c>
      <c r="G657">
        <v>5585.95</v>
      </c>
      <c r="H657" t="s">
        <v>12</v>
      </c>
      <c r="Q657">
        <v>4143.2880908099996</v>
      </c>
      <c r="R657">
        <v>34776.630879199998</v>
      </c>
      <c r="S657">
        <v>-11.140311066900001</v>
      </c>
      <c r="T657">
        <v>-85.176832438700004</v>
      </c>
      <c r="U657">
        <v>0</v>
      </c>
      <c r="V657">
        <v>0</v>
      </c>
    </row>
    <row r="658" spans="1:22" x14ac:dyDescent="0.2">
      <c r="A658"/>
      <c r="B658">
        <v>23265</v>
      </c>
      <c r="C658" t="s">
        <v>2778</v>
      </c>
      <c r="D658" t="s">
        <v>928</v>
      </c>
      <c r="E658" t="s">
        <v>1041</v>
      </c>
      <c r="F658" t="s">
        <v>2310</v>
      </c>
      <c r="G658">
        <v>5525.83</v>
      </c>
      <c r="H658" t="s">
        <v>12</v>
      </c>
      <c r="Q658">
        <v>4138.35950727</v>
      </c>
      <c r="R658">
        <v>34776.305564299997</v>
      </c>
      <c r="S658">
        <v>-11.1583675131</v>
      </c>
      <c r="T658">
        <v>-85.215587771800003</v>
      </c>
      <c r="U658">
        <v>0</v>
      </c>
      <c r="V658">
        <v>0</v>
      </c>
    </row>
    <row r="659" spans="1:22" x14ac:dyDescent="0.2">
      <c r="A659"/>
      <c r="B659">
        <v>23266</v>
      </c>
      <c r="C659" t="s">
        <v>2779</v>
      </c>
      <c r="D659" t="s">
        <v>928</v>
      </c>
      <c r="E659" t="s">
        <v>1041</v>
      </c>
      <c r="F659" t="s">
        <v>2310</v>
      </c>
      <c r="G659">
        <v>5503.63</v>
      </c>
      <c r="H659" t="s">
        <v>12</v>
      </c>
      <c r="Q659">
        <v>4136.4927295899997</v>
      </c>
      <c r="R659">
        <v>34798.426935299998</v>
      </c>
      <c r="S659">
        <v>-11.1620701497</v>
      </c>
      <c r="T659">
        <v>-85.209844290600003</v>
      </c>
      <c r="U659">
        <v>0</v>
      </c>
      <c r="V659">
        <v>0</v>
      </c>
    </row>
    <row r="660" spans="1:22" x14ac:dyDescent="0.2">
      <c r="A660"/>
      <c r="B660">
        <v>23267</v>
      </c>
      <c r="C660" t="s">
        <v>2780</v>
      </c>
      <c r="D660" t="s">
        <v>928</v>
      </c>
      <c r="E660" t="s">
        <v>1041</v>
      </c>
      <c r="F660" t="s">
        <v>2310</v>
      </c>
      <c r="G660">
        <v>5367.22</v>
      </c>
      <c r="H660" t="s">
        <v>1270</v>
      </c>
      <c r="Q660">
        <v>4130.3323026600001</v>
      </c>
      <c r="R660">
        <v>34934.654962599998</v>
      </c>
      <c r="S660">
        <v>-11.177558592900001</v>
      </c>
      <c r="T660">
        <v>91.121535748100001</v>
      </c>
      <c r="U660">
        <v>0</v>
      </c>
      <c r="V660">
        <v>0</v>
      </c>
    </row>
    <row r="661" spans="1:22" x14ac:dyDescent="0.2">
      <c r="A661"/>
      <c r="B661">
        <v>23268</v>
      </c>
      <c r="C661" t="s">
        <v>2781</v>
      </c>
      <c r="D661" t="s">
        <v>928</v>
      </c>
      <c r="E661" t="s">
        <v>1041</v>
      </c>
      <c r="F661" t="s">
        <v>2310</v>
      </c>
      <c r="G661">
        <v>5345.02</v>
      </c>
      <c r="H661" t="s">
        <v>1270</v>
      </c>
      <c r="Q661">
        <v>4129.9017840099996</v>
      </c>
      <c r="R661">
        <v>34956.850491600002</v>
      </c>
      <c r="S661">
        <v>-11.284696092300001</v>
      </c>
      <c r="T661">
        <v>91.100596917199994</v>
      </c>
      <c r="U661">
        <v>0</v>
      </c>
      <c r="V661">
        <v>0</v>
      </c>
    </row>
    <row r="662" spans="1:22" x14ac:dyDescent="0.2">
      <c r="A662"/>
      <c r="B662">
        <v>23269</v>
      </c>
      <c r="C662" t="s">
        <v>2782</v>
      </c>
      <c r="D662" t="s">
        <v>928</v>
      </c>
      <c r="E662" t="s">
        <v>1041</v>
      </c>
      <c r="F662" t="s">
        <v>1915</v>
      </c>
      <c r="G662">
        <v>6526.58</v>
      </c>
      <c r="H662" t="s">
        <v>12</v>
      </c>
      <c r="Q662">
        <v>4094.9334856300002</v>
      </c>
      <c r="R662">
        <v>33838.204352399996</v>
      </c>
      <c r="S662">
        <v>-10.778950608900001</v>
      </c>
      <c r="T662">
        <v>-91.466462311300006</v>
      </c>
      <c r="U662">
        <v>0</v>
      </c>
      <c r="V662">
        <v>0</v>
      </c>
    </row>
    <row r="663" spans="1:22" x14ac:dyDescent="0.2">
      <c r="A663"/>
      <c r="B663">
        <v>23270</v>
      </c>
      <c r="C663" t="s">
        <v>2783</v>
      </c>
      <c r="D663" t="s">
        <v>928</v>
      </c>
      <c r="E663" t="s">
        <v>1041</v>
      </c>
      <c r="F663" t="s">
        <v>1915</v>
      </c>
      <c r="G663">
        <v>6504.38</v>
      </c>
      <c r="H663" t="s">
        <v>12</v>
      </c>
      <c r="Q663">
        <v>4095.48747714</v>
      </c>
      <c r="R663">
        <v>33860.397425299998</v>
      </c>
      <c r="S663">
        <v>-10.7802840832</v>
      </c>
      <c r="T663">
        <v>-91.393445586799999</v>
      </c>
      <c r="U663">
        <v>0</v>
      </c>
      <c r="V663">
        <v>0</v>
      </c>
    </row>
    <row r="664" spans="1:22" x14ac:dyDescent="0.2">
      <c r="A664"/>
      <c r="B664">
        <v>23271</v>
      </c>
      <c r="C664" t="s">
        <v>2784</v>
      </c>
      <c r="D664" t="s">
        <v>928</v>
      </c>
      <c r="E664" t="s">
        <v>1041</v>
      </c>
      <c r="F664" t="s">
        <v>1915</v>
      </c>
      <c r="G664">
        <v>6368.13</v>
      </c>
      <c r="H664" t="s">
        <v>1270</v>
      </c>
      <c r="Q664">
        <v>4098.5933815400003</v>
      </c>
      <c r="R664">
        <v>33996.6119941</v>
      </c>
      <c r="S664">
        <v>-10.7947893438</v>
      </c>
      <c r="T664">
        <v>88.660733971799999</v>
      </c>
      <c r="U664">
        <v>0</v>
      </c>
      <c r="V664">
        <v>0</v>
      </c>
    </row>
    <row r="665" spans="1:22" x14ac:dyDescent="0.2">
      <c r="A665"/>
      <c r="B665">
        <v>23272</v>
      </c>
      <c r="C665" t="s">
        <v>2785</v>
      </c>
      <c r="D665" t="s">
        <v>928</v>
      </c>
      <c r="E665" t="s">
        <v>1041</v>
      </c>
      <c r="F665" t="s">
        <v>1915</v>
      </c>
      <c r="G665">
        <v>6345.93</v>
      </c>
      <c r="H665" t="s">
        <v>1270</v>
      </c>
      <c r="Q665">
        <v>4099.1230377600004</v>
      </c>
      <c r="R665">
        <v>34018.805673800001</v>
      </c>
      <c r="S665">
        <v>-10.795329223</v>
      </c>
      <c r="T665">
        <v>88.601898250600001</v>
      </c>
      <c r="U665">
        <v>0</v>
      </c>
      <c r="V665">
        <v>0</v>
      </c>
    </row>
    <row r="666" spans="1:22" x14ac:dyDescent="0.2">
      <c r="A666"/>
      <c r="B666">
        <v>23273</v>
      </c>
      <c r="C666" t="s">
        <v>2786</v>
      </c>
      <c r="D666" t="s">
        <v>928</v>
      </c>
      <c r="E666" t="s">
        <v>1041</v>
      </c>
      <c r="F666" t="s">
        <v>2310</v>
      </c>
      <c r="G666">
        <v>6466.06</v>
      </c>
      <c r="H666" t="s">
        <v>12</v>
      </c>
      <c r="Q666">
        <v>4089.9946809600001</v>
      </c>
      <c r="R666">
        <v>33838.276490800003</v>
      </c>
      <c r="S666">
        <v>-10.8112997314</v>
      </c>
      <c r="T666">
        <v>-91.440347974600002</v>
      </c>
      <c r="U666">
        <v>0</v>
      </c>
      <c r="V666">
        <v>0</v>
      </c>
    </row>
    <row r="667" spans="1:22" x14ac:dyDescent="0.2">
      <c r="A667"/>
      <c r="B667">
        <v>23274</v>
      </c>
      <c r="C667" t="s">
        <v>2787</v>
      </c>
      <c r="D667" t="s">
        <v>928</v>
      </c>
      <c r="E667" t="s">
        <v>1041</v>
      </c>
      <c r="F667" t="s">
        <v>2310</v>
      </c>
      <c r="G667">
        <v>6443.86</v>
      </c>
      <c r="H667" t="s">
        <v>12</v>
      </c>
      <c r="Q667">
        <v>4090.5322006199999</v>
      </c>
      <c r="R667">
        <v>33860.469969899998</v>
      </c>
      <c r="S667">
        <v>-10.823090774200001</v>
      </c>
      <c r="T667">
        <v>-91.349358358299995</v>
      </c>
      <c r="U667">
        <v>0</v>
      </c>
      <c r="V667">
        <v>0</v>
      </c>
    </row>
    <row r="668" spans="1:22" x14ac:dyDescent="0.2">
      <c r="A668"/>
      <c r="B668">
        <v>23275</v>
      </c>
      <c r="C668" t="s">
        <v>2788</v>
      </c>
      <c r="D668" t="s">
        <v>928</v>
      </c>
      <c r="E668" t="s">
        <v>1041</v>
      </c>
      <c r="F668" t="s">
        <v>2310</v>
      </c>
      <c r="G668">
        <v>6307.56</v>
      </c>
      <c r="H668" t="s">
        <v>1270</v>
      </c>
      <c r="Q668">
        <v>4093.6735151100002</v>
      </c>
      <c r="R668">
        <v>33996.733755000001</v>
      </c>
      <c r="S668">
        <v>-10.8103438651</v>
      </c>
      <c r="T668">
        <v>88.643461458900006</v>
      </c>
      <c r="U668">
        <v>0</v>
      </c>
      <c r="V668">
        <v>0</v>
      </c>
    </row>
    <row r="669" spans="1:22" x14ac:dyDescent="0.2">
      <c r="A669"/>
      <c r="B669">
        <v>23276</v>
      </c>
      <c r="C669" t="s">
        <v>2789</v>
      </c>
      <c r="D669" t="s">
        <v>928</v>
      </c>
      <c r="E669" t="s">
        <v>1041</v>
      </c>
      <c r="F669" t="s">
        <v>2310</v>
      </c>
      <c r="G669">
        <v>6285.36</v>
      </c>
      <c r="H669" t="s">
        <v>1270</v>
      </c>
      <c r="Q669">
        <v>4094.2060843999998</v>
      </c>
      <c r="R669">
        <v>34018.9273579</v>
      </c>
      <c r="S669">
        <v>-10.8066848569</v>
      </c>
      <c r="T669">
        <v>88.605560384900002</v>
      </c>
      <c r="U669">
        <v>0</v>
      </c>
      <c r="V669">
        <v>0</v>
      </c>
    </row>
    <row r="670" spans="1:22" x14ac:dyDescent="0.2">
      <c r="A670"/>
      <c r="B670">
        <v>23277</v>
      </c>
      <c r="C670" t="s">
        <v>2790</v>
      </c>
      <c r="D670" t="s">
        <v>928</v>
      </c>
      <c r="E670" t="s">
        <v>1041</v>
      </c>
      <c r="F670" t="s">
        <v>1915</v>
      </c>
      <c r="G670">
        <v>7424.1</v>
      </c>
      <c r="H670" t="s">
        <v>1270</v>
      </c>
      <c r="Q670">
        <v>3732.85200897</v>
      </c>
      <c r="R670">
        <v>33052.216607100003</v>
      </c>
      <c r="S670">
        <v>-11.2840078875</v>
      </c>
      <c r="T670">
        <v>47.205750069600001</v>
      </c>
      <c r="U670">
        <v>0</v>
      </c>
      <c r="V670">
        <v>0</v>
      </c>
    </row>
    <row r="671" spans="1:22" x14ac:dyDescent="0.2">
      <c r="A671"/>
      <c r="B671">
        <v>23278</v>
      </c>
      <c r="C671" t="s">
        <v>2791</v>
      </c>
      <c r="D671" t="s">
        <v>928</v>
      </c>
      <c r="E671" t="s">
        <v>1041</v>
      </c>
      <c r="F671" t="s">
        <v>1915</v>
      </c>
      <c r="G671">
        <v>7446.3</v>
      </c>
      <c r="H671" t="s">
        <v>1270</v>
      </c>
      <c r="Q671">
        <v>3717.8185017400001</v>
      </c>
      <c r="R671">
        <v>33035.881616400002</v>
      </c>
      <c r="S671">
        <v>-11.277227026</v>
      </c>
      <c r="T671">
        <v>47.572383060699998</v>
      </c>
      <c r="U671">
        <v>0</v>
      </c>
      <c r="V671">
        <v>0</v>
      </c>
    </row>
    <row r="672" spans="1:22" x14ac:dyDescent="0.2">
      <c r="A672"/>
      <c r="B672">
        <v>23279</v>
      </c>
      <c r="C672" t="s">
        <v>2792</v>
      </c>
      <c r="D672" t="s">
        <v>928</v>
      </c>
      <c r="E672" t="s">
        <v>1041</v>
      </c>
      <c r="F672" t="s">
        <v>1915</v>
      </c>
      <c r="G672">
        <v>7582.71</v>
      </c>
      <c r="H672" t="s">
        <v>12</v>
      </c>
      <c r="Q672">
        <v>3631.4933799</v>
      </c>
      <c r="R672">
        <v>32930.394324200002</v>
      </c>
      <c r="S672">
        <v>-11.277969298</v>
      </c>
      <c r="T672">
        <v>-125.51326577499999</v>
      </c>
      <c r="U672">
        <v>0</v>
      </c>
      <c r="V672">
        <v>0</v>
      </c>
    </row>
    <row r="673" spans="1:22" x14ac:dyDescent="0.2">
      <c r="A673"/>
      <c r="B673">
        <v>23280</v>
      </c>
      <c r="C673" t="s">
        <v>2793</v>
      </c>
      <c r="D673" t="s">
        <v>928</v>
      </c>
      <c r="E673" t="s">
        <v>1041</v>
      </c>
      <c r="F673" t="s">
        <v>1915</v>
      </c>
      <c r="G673">
        <v>7604.91</v>
      </c>
      <c r="H673" t="s">
        <v>12</v>
      </c>
      <c r="Q673">
        <v>3618.6959440599999</v>
      </c>
      <c r="R673">
        <v>32912.254241199997</v>
      </c>
      <c r="S673">
        <v>-11.2883322969</v>
      </c>
      <c r="T673">
        <v>-125.04650064099999</v>
      </c>
      <c r="U673">
        <v>0</v>
      </c>
      <c r="V673">
        <v>0</v>
      </c>
    </row>
    <row r="674" spans="1:22" x14ac:dyDescent="0.2">
      <c r="A674"/>
      <c r="B674">
        <v>23281</v>
      </c>
      <c r="C674" t="s">
        <v>2794</v>
      </c>
      <c r="D674" t="s">
        <v>928</v>
      </c>
      <c r="E674" t="s">
        <v>1041</v>
      </c>
      <c r="F674" t="s">
        <v>2310</v>
      </c>
      <c r="G674">
        <v>7541.49</v>
      </c>
      <c r="H674" t="s">
        <v>12</v>
      </c>
      <c r="Q674">
        <v>3614.6506806900002</v>
      </c>
      <c r="R674">
        <v>32915.017892199998</v>
      </c>
      <c r="S674">
        <v>-11.305176985999999</v>
      </c>
      <c r="T674">
        <v>-125.121528036</v>
      </c>
      <c r="U674">
        <v>0</v>
      </c>
      <c r="V674">
        <v>0</v>
      </c>
    </row>
    <row r="675" spans="1:22" x14ac:dyDescent="0.2">
      <c r="A675"/>
      <c r="B675">
        <v>23282</v>
      </c>
      <c r="C675" t="s">
        <v>2795</v>
      </c>
      <c r="D675" t="s">
        <v>928</v>
      </c>
      <c r="E675" t="s">
        <v>1041</v>
      </c>
      <c r="F675" t="s">
        <v>2310</v>
      </c>
      <c r="G675">
        <v>7519.29</v>
      </c>
      <c r="H675" t="s">
        <v>12</v>
      </c>
      <c r="Q675">
        <v>3627.4730355199999</v>
      </c>
      <c r="R675">
        <v>32933.1404033</v>
      </c>
      <c r="S675">
        <v>-11.3174800409</v>
      </c>
      <c r="T675">
        <v>-125.486972135</v>
      </c>
      <c r="U675">
        <v>0</v>
      </c>
      <c r="V675">
        <v>0</v>
      </c>
    </row>
    <row r="676" spans="1:22" x14ac:dyDescent="0.2">
      <c r="A676"/>
      <c r="B676">
        <v>23283</v>
      </c>
      <c r="C676" t="s">
        <v>2796</v>
      </c>
      <c r="D676" t="s">
        <v>928</v>
      </c>
      <c r="E676" t="s">
        <v>1041</v>
      </c>
      <c r="F676" t="s">
        <v>2310</v>
      </c>
      <c r="G676">
        <v>7382.26</v>
      </c>
      <c r="H676" t="s">
        <v>1270</v>
      </c>
      <c r="Q676">
        <v>3714.1757988300001</v>
      </c>
      <c r="R676">
        <v>33039.109732800003</v>
      </c>
      <c r="S676">
        <v>-11.3094196643</v>
      </c>
      <c r="T676">
        <v>47.5157844557</v>
      </c>
      <c r="U676">
        <v>0</v>
      </c>
      <c r="V676">
        <v>0</v>
      </c>
    </row>
    <row r="677" spans="1:22" x14ac:dyDescent="0.2">
      <c r="A677"/>
      <c r="B677">
        <v>23284</v>
      </c>
      <c r="C677" t="s">
        <v>2797</v>
      </c>
      <c r="D677" t="s">
        <v>928</v>
      </c>
      <c r="E677" t="s">
        <v>1041</v>
      </c>
      <c r="F677" t="s">
        <v>2310</v>
      </c>
      <c r="G677">
        <v>7360.06</v>
      </c>
      <c r="H677" t="s">
        <v>1270</v>
      </c>
      <c r="Q677">
        <v>3729.2045385199999</v>
      </c>
      <c r="R677">
        <v>33055.449146600004</v>
      </c>
      <c r="S677">
        <v>-11.3136023264</v>
      </c>
      <c r="T677">
        <v>47.293123474200002</v>
      </c>
      <c r="U677">
        <v>0</v>
      </c>
      <c r="V677">
        <v>0</v>
      </c>
    </row>
    <row r="678" spans="1:22" x14ac:dyDescent="0.2">
      <c r="A678"/>
      <c r="B678">
        <v>23285</v>
      </c>
      <c r="C678" t="s">
        <v>2798</v>
      </c>
      <c r="D678" t="s">
        <v>928</v>
      </c>
      <c r="E678" t="s">
        <v>1041</v>
      </c>
      <c r="F678" t="s">
        <v>2316</v>
      </c>
      <c r="G678">
        <v>392.54</v>
      </c>
      <c r="H678" t="s">
        <v>12</v>
      </c>
      <c r="Q678">
        <v>3352.5094038799998</v>
      </c>
      <c r="R678">
        <v>32080.729362599999</v>
      </c>
      <c r="S678">
        <v>-10.7736171285</v>
      </c>
      <c r="T678">
        <v>-104.616855594</v>
      </c>
      <c r="U678">
        <v>0</v>
      </c>
      <c r="V678">
        <v>0</v>
      </c>
    </row>
    <row r="679" spans="1:22" x14ac:dyDescent="0.2">
      <c r="A679"/>
      <c r="B679">
        <v>23286</v>
      </c>
      <c r="C679" t="s">
        <v>2799</v>
      </c>
      <c r="D679" t="s">
        <v>928</v>
      </c>
      <c r="E679" t="s">
        <v>1041</v>
      </c>
      <c r="F679" t="s">
        <v>2316</v>
      </c>
      <c r="G679">
        <v>370.34</v>
      </c>
      <c r="H679" t="s">
        <v>12</v>
      </c>
      <c r="Q679">
        <v>3358.0888640899998</v>
      </c>
      <c r="R679">
        <v>32102.216786100002</v>
      </c>
      <c r="S679">
        <v>-10.7701582132</v>
      </c>
      <c r="T679">
        <v>-104.477638085</v>
      </c>
      <c r="U679">
        <v>0</v>
      </c>
      <c r="V679">
        <v>0</v>
      </c>
    </row>
    <row r="680" spans="1:22" x14ac:dyDescent="0.2">
      <c r="A680"/>
      <c r="B680">
        <v>23287</v>
      </c>
      <c r="C680" t="s">
        <v>2800</v>
      </c>
      <c r="D680" t="s">
        <v>928</v>
      </c>
      <c r="E680" t="s">
        <v>1041</v>
      </c>
      <c r="F680" t="s">
        <v>2316</v>
      </c>
      <c r="G680">
        <v>233.74</v>
      </c>
      <c r="H680" t="s">
        <v>1270</v>
      </c>
      <c r="Q680">
        <v>3387.6893129199998</v>
      </c>
      <c r="R680">
        <v>32235.510678300001</v>
      </c>
      <c r="S680">
        <v>-10.7735866648</v>
      </c>
      <c r="T680">
        <v>80.036112628500007</v>
      </c>
      <c r="U680">
        <v>0</v>
      </c>
      <c r="V680">
        <v>0</v>
      </c>
    </row>
    <row r="681" spans="1:22" x14ac:dyDescent="0.2">
      <c r="A681"/>
      <c r="B681">
        <v>23288</v>
      </c>
      <c r="C681" t="s">
        <v>2801</v>
      </c>
      <c r="D681" t="s">
        <v>928</v>
      </c>
      <c r="E681" t="s">
        <v>1041</v>
      </c>
      <c r="F681" t="s">
        <v>2316</v>
      </c>
      <c r="G681">
        <v>211.54</v>
      </c>
      <c r="H681" t="s">
        <v>1270</v>
      </c>
      <c r="Q681">
        <v>3391.5150008800001</v>
      </c>
      <c r="R681">
        <v>32257.3785546</v>
      </c>
      <c r="S681">
        <v>-10.7776920811</v>
      </c>
      <c r="T681">
        <v>80.1156057245</v>
      </c>
      <c r="U681">
        <v>0</v>
      </c>
      <c r="V681">
        <v>0</v>
      </c>
    </row>
    <row r="682" spans="1:22" x14ac:dyDescent="0.2">
      <c r="A682"/>
      <c r="B682">
        <v>23289</v>
      </c>
      <c r="C682" t="s">
        <v>2802</v>
      </c>
      <c r="D682" t="s">
        <v>928</v>
      </c>
      <c r="E682" t="s">
        <v>1041</v>
      </c>
      <c r="F682" t="s">
        <v>2325</v>
      </c>
      <c r="G682">
        <v>307.85000000000002</v>
      </c>
      <c r="H682" t="s">
        <v>12</v>
      </c>
      <c r="Q682">
        <v>3347.5761664800002</v>
      </c>
      <c r="R682">
        <v>32081.630835399999</v>
      </c>
      <c r="S682">
        <v>-10.798164525100001</v>
      </c>
      <c r="T682">
        <v>-104.726174133</v>
      </c>
      <c r="U682">
        <v>0</v>
      </c>
      <c r="V682">
        <v>0</v>
      </c>
    </row>
    <row r="683" spans="1:22" x14ac:dyDescent="0.2">
      <c r="A683"/>
      <c r="B683">
        <v>23290</v>
      </c>
      <c r="C683" t="s">
        <v>2803</v>
      </c>
      <c r="D683" t="s">
        <v>928</v>
      </c>
      <c r="E683" t="s">
        <v>1041</v>
      </c>
      <c r="F683" t="s">
        <v>2325</v>
      </c>
      <c r="G683">
        <v>285.64999999999998</v>
      </c>
      <c r="H683" t="s">
        <v>12</v>
      </c>
      <c r="Q683">
        <v>3353.2074665499999</v>
      </c>
      <c r="R683">
        <v>32103.104734100001</v>
      </c>
      <c r="S683">
        <v>-10.7968356722</v>
      </c>
      <c r="T683">
        <v>-104.626197559</v>
      </c>
      <c r="U683">
        <v>0</v>
      </c>
      <c r="V683">
        <v>0</v>
      </c>
    </row>
    <row r="684" spans="1:22" x14ac:dyDescent="0.2">
      <c r="A684"/>
      <c r="B684">
        <v>23291</v>
      </c>
      <c r="C684" t="s">
        <v>2804</v>
      </c>
      <c r="D684" t="s">
        <v>928</v>
      </c>
      <c r="E684" t="s">
        <v>1041</v>
      </c>
      <c r="F684" t="s">
        <v>2325</v>
      </c>
      <c r="G684">
        <v>148.88999999999999</v>
      </c>
      <c r="H684" t="s">
        <v>1270</v>
      </c>
      <c r="Q684">
        <v>3382.88487214</v>
      </c>
      <c r="R684">
        <v>32236.548959100001</v>
      </c>
      <c r="S684">
        <v>-10.8007564545</v>
      </c>
      <c r="T684">
        <v>79.922755007700005</v>
      </c>
      <c r="U684">
        <v>0</v>
      </c>
      <c r="V684">
        <v>0</v>
      </c>
    </row>
    <row r="685" spans="1:22" x14ac:dyDescent="0.2">
      <c r="A685"/>
      <c r="B685">
        <v>23292</v>
      </c>
      <c r="C685" t="s">
        <v>2805</v>
      </c>
      <c r="D685" t="s">
        <v>928</v>
      </c>
      <c r="E685" t="s">
        <v>1041</v>
      </c>
      <c r="F685" t="s">
        <v>2325</v>
      </c>
      <c r="G685">
        <v>126.69</v>
      </c>
      <c r="H685" t="s">
        <v>1270</v>
      </c>
      <c r="Q685">
        <v>3386.73721763</v>
      </c>
      <c r="R685">
        <v>32258.412148899999</v>
      </c>
      <c r="S685">
        <v>-10.803507740600001</v>
      </c>
      <c r="T685">
        <v>80.091485542800001</v>
      </c>
      <c r="U685">
        <v>0</v>
      </c>
      <c r="V685">
        <v>0</v>
      </c>
    </row>
    <row r="686" spans="1:22" x14ac:dyDescent="0.2">
      <c r="A686"/>
      <c r="B686">
        <v>23293</v>
      </c>
      <c r="C686" t="s">
        <v>2806</v>
      </c>
      <c r="D686" t="s">
        <v>928</v>
      </c>
      <c r="E686" t="s">
        <v>1041</v>
      </c>
      <c r="F686" t="s">
        <v>2320</v>
      </c>
      <c r="G686">
        <v>967.78</v>
      </c>
      <c r="H686" t="s">
        <v>12</v>
      </c>
      <c r="Q686">
        <v>3208.3908277400001</v>
      </c>
      <c r="R686">
        <v>31053.192077200001</v>
      </c>
      <c r="S686">
        <v>-13.406875964199999</v>
      </c>
      <c r="T686">
        <v>-96.223400986100003</v>
      </c>
      <c r="U686">
        <v>0</v>
      </c>
      <c r="V686">
        <v>0</v>
      </c>
    </row>
    <row r="687" spans="1:22" x14ac:dyDescent="0.2">
      <c r="A687"/>
      <c r="B687">
        <v>23294</v>
      </c>
      <c r="C687" t="s">
        <v>2807</v>
      </c>
      <c r="D687" t="s">
        <v>928</v>
      </c>
      <c r="E687" t="s">
        <v>1041</v>
      </c>
      <c r="F687" t="s">
        <v>2320</v>
      </c>
      <c r="G687">
        <v>945.58</v>
      </c>
      <c r="H687" t="s">
        <v>12</v>
      </c>
      <c r="Q687">
        <v>3210.8150007999998</v>
      </c>
      <c r="R687">
        <v>31075.2593203</v>
      </c>
      <c r="S687">
        <v>-13.4085393723</v>
      </c>
      <c r="T687">
        <v>-96.327156873000007</v>
      </c>
      <c r="U687">
        <v>0</v>
      </c>
      <c r="V687">
        <v>0</v>
      </c>
    </row>
    <row r="688" spans="1:22" x14ac:dyDescent="0.2">
      <c r="A688"/>
      <c r="B688">
        <v>23295</v>
      </c>
      <c r="C688" t="s">
        <v>2808</v>
      </c>
      <c r="D688" t="s">
        <v>928</v>
      </c>
      <c r="E688" t="s">
        <v>1041</v>
      </c>
      <c r="F688" t="s">
        <v>2320</v>
      </c>
      <c r="G688">
        <v>809.3</v>
      </c>
      <c r="H688" t="s">
        <v>1270</v>
      </c>
      <c r="Q688">
        <v>3226.2790551799999</v>
      </c>
      <c r="R688">
        <v>31210.658995999998</v>
      </c>
      <c r="S688">
        <v>-13.407493275</v>
      </c>
      <c r="T688">
        <v>83.457285126900004</v>
      </c>
      <c r="U688">
        <v>0</v>
      </c>
      <c r="V688">
        <v>0</v>
      </c>
    </row>
    <row r="689" spans="1:22" x14ac:dyDescent="0.2">
      <c r="A689"/>
      <c r="B689">
        <v>23296</v>
      </c>
      <c r="C689" t="s">
        <v>2809</v>
      </c>
      <c r="D689" t="s">
        <v>928</v>
      </c>
      <c r="E689" t="s">
        <v>1041</v>
      </c>
      <c r="F689" t="s">
        <v>2320</v>
      </c>
      <c r="G689">
        <v>787.1</v>
      </c>
      <c r="H689" t="s">
        <v>1270</v>
      </c>
      <c r="Q689">
        <v>3228.7986145700002</v>
      </c>
      <c r="R689">
        <v>31232.7155446</v>
      </c>
      <c r="S689">
        <v>-13.394825625399999</v>
      </c>
      <c r="T689">
        <v>83.512737366099998</v>
      </c>
      <c r="U689">
        <v>0</v>
      </c>
      <c r="V689">
        <v>0</v>
      </c>
    </row>
    <row r="690" spans="1:22" x14ac:dyDescent="0.2">
      <c r="A690"/>
      <c r="B690">
        <v>23297</v>
      </c>
      <c r="C690" t="s">
        <v>2810</v>
      </c>
      <c r="D690" t="s">
        <v>928</v>
      </c>
      <c r="E690" t="s">
        <v>1041</v>
      </c>
      <c r="F690" t="s">
        <v>2335</v>
      </c>
      <c r="G690">
        <v>632.79</v>
      </c>
      <c r="H690" t="s">
        <v>12</v>
      </c>
      <c r="Q690">
        <v>3203.44648676</v>
      </c>
      <c r="R690">
        <v>31053.676130799999</v>
      </c>
      <c r="S690">
        <v>-13.430939406</v>
      </c>
      <c r="T690">
        <v>-96.2361972944</v>
      </c>
      <c r="U690">
        <v>0</v>
      </c>
      <c r="V690">
        <v>0</v>
      </c>
    </row>
    <row r="691" spans="1:22" x14ac:dyDescent="0.2">
      <c r="A691"/>
      <c r="B691">
        <v>23298</v>
      </c>
      <c r="C691" t="s">
        <v>2811</v>
      </c>
      <c r="D691" t="s">
        <v>928</v>
      </c>
      <c r="E691" t="s">
        <v>1041</v>
      </c>
      <c r="F691" t="s">
        <v>2335</v>
      </c>
      <c r="G691">
        <v>610.59</v>
      </c>
      <c r="H691" t="s">
        <v>12</v>
      </c>
      <c r="Q691">
        <v>3205.87193428</v>
      </c>
      <c r="R691">
        <v>31075.743235999998</v>
      </c>
      <c r="S691">
        <v>-13.431084691900001</v>
      </c>
      <c r="T691">
        <v>-96.311217214199999</v>
      </c>
      <c r="U691">
        <v>0</v>
      </c>
      <c r="V691">
        <v>0</v>
      </c>
    </row>
    <row r="692" spans="1:22" x14ac:dyDescent="0.2">
      <c r="A692"/>
      <c r="B692">
        <v>23299</v>
      </c>
      <c r="C692" t="s">
        <v>2812</v>
      </c>
      <c r="D692" t="s">
        <v>928</v>
      </c>
      <c r="E692" t="s">
        <v>1041</v>
      </c>
      <c r="F692" t="s">
        <v>2335</v>
      </c>
      <c r="G692">
        <v>474.27</v>
      </c>
      <c r="H692" t="s">
        <v>1270</v>
      </c>
      <c r="Q692">
        <v>3221.3600866199999</v>
      </c>
      <c r="R692">
        <v>31211.180355299999</v>
      </c>
      <c r="S692">
        <v>-13.4424971169</v>
      </c>
      <c r="T692">
        <v>83.430580481899995</v>
      </c>
      <c r="U692">
        <v>0</v>
      </c>
      <c r="V692">
        <v>0</v>
      </c>
    </row>
    <row r="693" spans="1:22" x14ac:dyDescent="0.2">
      <c r="A693"/>
      <c r="B693">
        <v>23300</v>
      </c>
      <c r="C693" t="s">
        <v>2813</v>
      </c>
      <c r="D693" t="s">
        <v>928</v>
      </c>
      <c r="E693" t="s">
        <v>1041</v>
      </c>
      <c r="F693" t="s">
        <v>2335</v>
      </c>
      <c r="G693">
        <v>452.07</v>
      </c>
      <c r="H693" t="s">
        <v>1270</v>
      </c>
      <c r="Q693">
        <v>3223.8923768499999</v>
      </c>
      <c r="R693">
        <v>31233.235444000002</v>
      </c>
      <c r="S693">
        <v>-13.429140138799999</v>
      </c>
      <c r="T693">
        <v>83.474569580999997</v>
      </c>
      <c r="U693">
        <v>0</v>
      </c>
      <c r="V693">
        <v>0</v>
      </c>
    </row>
    <row r="694" spans="1:22" x14ac:dyDescent="0.2">
      <c r="A694"/>
      <c r="B694">
        <v>23301</v>
      </c>
      <c r="C694" t="s">
        <v>2814</v>
      </c>
      <c r="D694" t="s">
        <v>928</v>
      </c>
      <c r="E694" t="s">
        <v>1041</v>
      </c>
      <c r="F694" t="s">
        <v>2320</v>
      </c>
      <c r="G694">
        <v>2258.88</v>
      </c>
      <c r="H694" t="s">
        <v>12</v>
      </c>
      <c r="Q694">
        <v>3360.4845199900001</v>
      </c>
      <c r="R694">
        <v>29781.752946299999</v>
      </c>
      <c r="S694">
        <v>-14.6540640915</v>
      </c>
      <c r="T694">
        <v>-91.779909261499995</v>
      </c>
      <c r="U694">
        <v>0</v>
      </c>
      <c r="V694">
        <v>0</v>
      </c>
    </row>
    <row r="695" spans="1:22" x14ac:dyDescent="0.2">
      <c r="A695"/>
      <c r="B695">
        <v>23302</v>
      </c>
      <c r="C695" t="s">
        <v>2815</v>
      </c>
      <c r="D695" t="s">
        <v>928</v>
      </c>
      <c r="E695" t="s">
        <v>1041</v>
      </c>
      <c r="F695" t="s">
        <v>2320</v>
      </c>
      <c r="G695">
        <v>2236.6799999999998</v>
      </c>
      <c r="H695" t="s">
        <v>12</v>
      </c>
      <c r="Q695">
        <v>3361.1791886400001</v>
      </c>
      <c r="R695">
        <v>29803.9420685</v>
      </c>
      <c r="S695">
        <v>-14.6466697622</v>
      </c>
      <c r="T695">
        <v>-91.805082192699999</v>
      </c>
      <c r="U695">
        <v>0</v>
      </c>
      <c r="V695">
        <v>0</v>
      </c>
    </row>
    <row r="696" spans="1:22" x14ac:dyDescent="0.2">
      <c r="A696"/>
      <c r="B696">
        <v>23303</v>
      </c>
      <c r="C696" t="s">
        <v>2816</v>
      </c>
      <c r="D696" t="s">
        <v>928</v>
      </c>
      <c r="E696" t="s">
        <v>1041</v>
      </c>
      <c r="F696" t="s">
        <v>2320</v>
      </c>
      <c r="G696">
        <v>2100.4</v>
      </c>
      <c r="H696" t="s">
        <v>1270</v>
      </c>
      <c r="Q696">
        <v>3365.53333269</v>
      </c>
      <c r="R696">
        <v>29940.152491199999</v>
      </c>
      <c r="S696">
        <v>-14.6510680855</v>
      </c>
      <c r="T696">
        <v>88.183771292100005</v>
      </c>
      <c r="U696">
        <v>0</v>
      </c>
      <c r="V696">
        <v>0</v>
      </c>
    </row>
    <row r="697" spans="1:22" x14ac:dyDescent="0.2">
      <c r="A697"/>
      <c r="B697">
        <v>23304</v>
      </c>
      <c r="C697" t="s">
        <v>2817</v>
      </c>
      <c r="D697" t="s">
        <v>928</v>
      </c>
      <c r="E697" t="s">
        <v>1041</v>
      </c>
      <c r="F697" t="s">
        <v>2320</v>
      </c>
      <c r="G697">
        <v>2078.1999999999998</v>
      </c>
      <c r="H697" t="s">
        <v>1270</v>
      </c>
      <c r="Q697">
        <v>3366.2329846900002</v>
      </c>
      <c r="R697">
        <v>29962.341433099999</v>
      </c>
      <c r="S697">
        <v>-14.675115104</v>
      </c>
      <c r="T697">
        <v>88.205658441799997</v>
      </c>
      <c r="U697">
        <v>0</v>
      </c>
      <c r="V697">
        <v>0</v>
      </c>
    </row>
    <row r="698" spans="1:22" x14ac:dyDescent="0.2">
      <c r="A698"/>
      <c r="B698">
        <v>23305</v>
      </c>
      <c r="C698" t="s">
        <v>2818</v>
      </c>
      <c r="D698" t="s">
        <v>928</v>
      </c>
      <c r="E698" t="s">
        <v>1041</v>
      </c>
      <c r="F698" t="s">
        <v>2335</v>
      </c>
      <c r="G698">
        <v>1924.25</v>
      </c>
      <c r="H698" t="s">
        <v>12</v>
      </c>
      <c r="Q698">
        <v>3355.54253707</v>
      </c>
      <c r="R698">
        <v>29781.8797486</v>
      </c>
      <c r="S698">
        <v>-14.6780704711</v>
      </c>
      <c r="T698">
        <v>-91.778718411100002</v>
      </c>
      <c r="U698">
        <v>0</v>
      </c>
      <c r="V698">
        <v>0</v>
      </c>
    </row>
    <row r="699" spans="1:22" x14ac:dyDescent="0.2">
      <c r="A699"/>
      <c r="B699">
        <v>23306</v>
      </c>
      <c r="C699" t="s">
        <v>2819</v>
      </c>
      <c r="D699" t="s">
        <v>928</v>
      </c>
      <c r="E699" t="s">
        <v>1041</v>
      </c>
      <c r="F699" t="s">
        <v>2335</v>
      </c>
      <c r="G699">
        <v>1902.05</v>
      </c>
      <c r="H699" t="s">
        <v>12</v>
      </c>
      <c r="Q699">
        <v>3356.2361399900001</v>
      </c>
      <c r="R699">
        <v>29804.068902700001</v>
      </c>
      <c r="S699">
        <v>-14.665553110399999</v>
      </c>
      <c r="T699">
        <v>-91.800671795200003</v>
      </c>
      <c r="U699">
        <v>0</v>
      </c>
      <c r="V699">
        <v>0</v>
      </c>
    </row>
    <row r="700" spans="1:22" x14ac:dyDescent="0.2">
      <c r="A700"/>
      <c r="B700">
        <v>23307</v>
      </c>
      <c r="C700" t="s">
        <v>2820</v>
      </c>
      <c r="D700" t="s">
        <v>928</v>
      </c>
      <c r="E700" t="s">
        <v>1041</v>
      </c>
      <c r="F700" t="s">
        <v>2335</v>
      </c>
      <c r="G700">
        <v>1765.75</v>
      </c>
      <c r="H700" t="s">
        <v>1270</v>
      </c>
      <c r="Q700">
        <v>3360.5819556000001</v>
      </c>
      <c r="R700">
        <v>29940.2996011</v>
      </c>
      <c r="S700">
        <v>-14.6522509835</v>
      </c>
      <c r="T700">
        <v>88.1773382019</v>
      </c>
      <c r="U700">
        <v>0</v>
      </c>
      <c r="V700">
        <v>0</v>
      </c>
    </row>
    <row r="701" spans="1:22" x14ac:dyDescent="0.2">
      <c r="A701"/>
      <c r="B701">
        <v>23308</v>
      </c>
      <c r="C701" t="s">
        <v>2821</v>
      </c>
      <c r="D701" t="s">
        <v>928</v>
      </c>
      <c r="E701" t="s">
        <v>1041</v>
      </c>
      <c r="F701" t="s">
        <v>2335</v>
      </c>
      <c r="G701">
        <v>1743.55</v>
      </c>
      <c r="H701" t="s">
        <v>1270</v>
      </c>
      <c r="Q701">
        <v>3361.2851044200002</v>
      </c>
      <c r="R701">
        <v>29962.4883935</v>
      </c>
      <c r="S701">
        <v>-14.6960199029</v>
      </c>
      <c r="T701">
        <v>88.194968458100007</v>
      </c>
      <c r="U701">
        <v>0</v>
      </c>
      <c r="V701">
        <v>0</v>
      </c>
    </row>
    <row r="702" spans="1:22" x14ac:dyDescent="0.2">
      <c r="A702"/>
      <c r="B702">
        <v>23309</v>
      </c>
      <c r="C702" t="s">
        <v>2822</v>
      </c>
      <c r="D702" t="s">
        <v>928</v>
      </c>
      <c r="E702" t="s">
        <v>1041</v>
      </c>
      <c r="F702" t="s">
        <v>2320</v>
      </c>
      <c r="G702">
        <v>3621.53</v>
      </c>
      <c r="H702" t="s">
        <v>12</v>
      </c>
      <c r="Q702">
        <v>3318.8469926299999</v>
      </c>
      <c r="R702">
        <v>28452.6730284</v>
      </c>
      <c r="S702">
        <v>-14.538954867399999</v>
      </c>
      <c r="T702">
        <v>-113.150110412</v>
      </c>
      <c r="U702">
        <v>0</v>
      </c>
      <c r="V702">
        <v>0</v>
      </c>
    </row>
    <row r="703" spans="1:22" x14ac:dyDescent="0.2">
      <c r="A703"/>
      <c r="B703">
        <v>23310</v>
      </c>
      <c r="C703" t="s">
        <v>2823</v>
      </c>
      <c r="D703" t="s">
        <v>928</v>
      </c>
      <c r="E703" t="s">
        <v>1041</v>
      </c>
      <c r="F703" t="s">
        <v>2320</v>
      </c>
      <c r="G703">
        <v>3599.33</v>
      </c>
      <c r="H703" t="s">
        <v>12</v>
      </c>
      <c r="Q703">
        <v>3327.5847798200002</v>
      </c>
      <c r="R703">
        <v>28473.0810733</v>
      </c>
      <c r="S703">
        <v>-14.506039687099999</v>
      </c>
      <c r="T703">
        <v>-113.20554943800001</v>
      </c>
      <c r="U703">
        <v>0</v>
      </c>
      <c r="V703">
        <v>0</v>
      </c>
    </row>
    <row r="704" spans="1:22" x14ac:dyDescent="0.2">
      <c r="A704"/>
      <c r="B704">
        <v>23311</v>
      </c>
      <c r="C704" t="s">
        <v>2824</v>
      </c>
      <c r="D704" t="s">
        <v>928</v>
      </c>
      <c r="E704" t="s">
        <v>1041</v>
      </c>
      <c r="F704" t="s">
        <v>2320</v>
      </c>
      <c r="G704">
        <v>3463.1</v>
      </c>
      <c r="H704" t="s">
        <v>1270</v>
      </c>
      <c r="Q704">
        <v>3381.38600395</v>
      </c>
      <c r="R704">
        <v>28598.237110900001</v>
      </c>
      <c r="S704">
        <v>-14.5004086188</v>
      </c>
      <c r="T704">
        <v>66.784060309699996</v>
      </c>
      <c r="U704">
        <v>0</v>
      </c>
      <c r="V704">
        <v>0</v>
      </c>
    </row>
    <row r="705" spans="1:22" x14ac:dyDescent="0.2">
      <c r="A705"/>
      <c r="B705">
        <v>23312</v>
      </c>
      <c r="C705" t="s">
        <v>2825</v>
      </c>
      <c r="D705" t="s">
        <v>928</v>
      </c>
      <c r="E705" t="s">
        <v>1041</v>
      </c>
      <c r="F705" t="s">
        <v>2320</v>
      </c>
      <c r="G705">
        <v>3440.9</v>
      </c>
      <c r="H705" t="s">
        <v>1270</v>
      </c>
      <c r="Q705">
        <v>3390.1271189200002</v>
      </c>
      <c r="R705">
        <v>28618.643763399999</v>
      </c>
      <c r="S705">
        <v>-14.5360982056</v>
      </c>
      <c r="T705">
        <v>66.843562947199999</v>
      </c>
      <c r="U705">
        <v>0</v>
      </c>
      <c r="V705">
        <v>0</v>
      </c>
    </row>
    <row r="706" spans="1:22" x14ac:dyDescent="0.2">
      <c r="A706"/>
      <c r="B706">
        <v>23313</v>
      </c>
      <c r="C706" t="s">
        <v>2826</v>
      </c>
      <c r="D706" t="s">
        <v>928</v>
      </c>
      <c r="E706" t="s">
        <v>1041</v>
      </c>
      <c r="F706" t="s">
        <v>2335</v>
      </c>
      <c r="G706">
        <v>3285.08</v>
      </c>
      <c r="H706" t="s">
        <v>12</v>
      </c>
      <c r="Q706">
        <v>3314.2729470700001</v>
      </c>
      <c r="R706">
        <v>28454.571526399999</v>
      </c>
      <c r="S706">
        <v>-14.5563491588</v>
      </c>
      <c r="T706">
        <v>-113.102282206</v>
      </c>
      <c r="U706">
        <v>0</v>
      </c>
      <c r="V706">
        <v>0</v>
      </c>
    </row>
    <row r="707" spans="1:22" x14ac:dyDescent="0.2">
      <c r="A707"/>
      <c r="B707">
        <v>23314</v>
      </c>
      <c r="C707" t="s">
        <v>2827</v>
      </c>
      <c r="D707" t="s">
        <v>928</v>
      </c>
      <c r="E707" t="s">
        <v>1041</v>
      </c>
      <c r="F707" t="s">
        <v>2335</v>
      </c>
      <c r="G707">
        <v>3262.88</v>
      </c>
      <c r="H707" t="s">
        <v>12</v>
      </c>
      <c r="Q707">
        <v>3322.9988280500002</v>
      </c>
      <c r="R707">
        <v>28474.984681999998</v>
      </c>
      <c r="S707">
        <v>-14.5236900178</v>
      </c>
      <c r="T707">
        <v>-113.18694221</v>
      </c>
      <c r="U707">
        <v>0</v>
      </c>
      <c r="V707">
        <v>0</v>
      </c>
    </row>
    <row r="708" spans="1:22" x14ac:dyDescent="0.2">
      <c r="A708"/>
      <c r="B708">
        <v>23315</v>
      </c>
      <c r="C708" t="s">
        <v>2828</v>
      </c>
      <c r="D708" t="s">
        <v>928</v>
      </c>
      <c r="E708" t="s">
        <v>1041</v>
      </c>
      <c r="F708" t="s">
        <v>2335</v>
      </c>
      <c r="G708">
        <v>3126.63</v>
      </c>
      <c r="H708" t="s">
        <v>1270</v>
      </c>
      <c r="Q708">
        <v>3376.8609487799999</v>
      </c>
      <c r="R708">
        <v>28600.136297000001</v>
      </c>
      <c r="S708">
        <v>-14.532149949600001</v>
      </c>
      <c r="T708">
        <v>66.757287580600007</v>
      </c>
      <c r="U708">
        <v>0</v>
      </c>
      <c r="V708">
        <v>0</v>
      </c>
    </row>
    <row r="709" spans="1:22" x14ac:dyDescent="0.2">
      <c r="A709"/>
      <c r="B709">
        <v>23316</v>
      </c>
      <c r="C709" t="s">
        <v>2829</v>
      </c>
      <c r="D709" t="s">
        <v>928</v>
      </c>
      <c r="E709" t="s">
        <v>1041</v>
      </c>
      <c r="F709" t="s">
        <v>2335</v>
      </c>
      <c r="G709">
        <v>3104.43</v>
      </c>
      <c r="H709" t="s">
        <v>1270</v>
      </c>
      <c r="Q709">
        <v>3385.6096979099998</v>
      </c>
      <c r="R709">
        <v>28620.5396593</v>
      </c>
      <c r="S709">
        <v>-14.568707381599999</v>
      </c>
      <c r="T709">
        <v>66.827277640800006</v>
      </c>
      <c r="U709">
        <v>0</v>
      </c>
      <c r="V709">
        <v>0</v>
      </c>
    </row>
    <row r="710" spans="1:22" x14ac:dyDescent="0.2">
      <c r="A710"/>
      <c r="B710">
        <v>23317</v>
      </c>
      <c r="C710" t="s">
        <v>2830</v>
      </c>
      <c r="D710" t="s">
        <v>928</v>
      </c>
      <c r="E710" t="s">
        <v>1041</v>
      </c>
      <c r="F710" t="s">
        <v>2320</v>
      </c>
      <c r="G710">
        <v>4798.79</v>
      </c>
      <c r="H710" t="s">
        <v>12</v>
      </c>
      <c r="Q710">
        <v>3129.8558298299999</v>
      </c>
      <c r="R710">
        <v>27296.909172799998</v>
      </c>
      <c r="S710">
        <v>-14.431045064799999</v>
      </c>
      <c r="T710">
        <v>-91.812745883800005</v>
      </c>
      <c r="U710">
        <v>0</v>
      </c>
      <c r="V710">
        <v>0</v>
      </c>
    </row>
    <row r="711" spans="1:22" x14ac:dyDescent="0.2">
      <c r="A711"/>
      <c r="B711">
        <v>23318</v>
      </c>
      <c r="C711" t="s">
        <v>2831</v>
      </c>
      <c r="D711" t="s">
        <v>928</v>
      </c>
      <c r="E711" t="s">
        <v>1041</v>
      </c>
      <c r="F711" t="s">
        <v>2320</v>
      </c>
      <c r="G711">
        <v>4776.59</v>
      </c>
      <c r="H711" t="s">
        <v>12</v>
      </c>
      <c r="Q711">
        <v>3130.5859310199999</v>
      </c>
      <c r="R711">
        <v>27319.097159500001</v>
      </c>
      <c r="S711">
        <v>-14.4249686738</v>
      </c>
      <c r="T711">
        <v>-91.922603272200007</v>
      </c>
      <c r="U711">
        <v>0</v>
      </c>
      <c r="V711">
        <v>0</v>
      </c>
    </row>
    <row r="712" spans="1:22" x14ac:dyDescent="0.2">
      <c r="A712"/>
      <c r="B712">
        <v>23319</v>
      </c>
      <c r="C712" t="s">
        <v>2832</v>
      </c>
      <c r="D712" t="s">
        <v>928</v>
      </c>
      <c r="E712" t="s">
        <v>1041</v>
      </c>
      <c r="F712" t="s">
        <v>2320</v>
      </c>
      <c r="G712">
        <v>4640.22</v>
      </c>
      <c r="H712" t="s">
        <v>1270</v>
      </c>
      <c r="Q712">
        <v>3137.9945980000002</v>
      </c>
      <c r="R712">
        <v>27455.228821699999</v>
      </c>
      <c r="S712">
        <v>-14.4310844109</v>
      </c>
      <c r="T712">
        <v>83.681101898799994</v>
      </c>
      <c r="U712">
        <v>0</v>
      </c>
      <c r="V712">
        <v>0</v>
      </c>
    </row>
    <row r="713" spans="1:22" x14ac:dyDescent="0.2">
      <c r="A713"/>
      <c r="B713">
        <v>23320</v>
      </c>
      <c r="C713" t="s">
        <v>2833</v>
      </c>
      <c r="D713" t="s">
        <v>928</v>
      </c>
      <c r="E713" t="s">
        <v>1041</v>
      </c>
      <c r="F713" t="s">
        <v>2320</v>
      </c>
      <c r="G713">
        <v>4618.0200000000004</v>
      </c>
      <c r="H713" t="s">
        <v>1270</v>
      </c>
      <c r="Q713">
        <v>3140.65309093</v>
      </c>
      <c r="R713">
        <v>27477.2688801</v>
      </c>
      <c r="S713">
        <v>-14.4221025016</v>
      </c>
      <c r="T713">
        <v>82.972265533799998</v>
      </c>
      <c r="U713">
        <v>0</v>
      </c>
      <c r="V713">
        <v>0</v>
      </c>
    </row>
    <row r="714" spans="1:22" x14ac:dyDescent="0.2">
      <c r="A714"/>
      <c r="B714">
        <v>23321</v>
      </c>
      <c r="C714" t="s">
        <v>2834</v>
      </c>
      <c r="D714" t="s">
        <v>928</v>
      </c>
      <c r="E714" t="s">
        <v>1041</v>
      </c>
      <c r="F714" t="s">
        <v>2335</v>
      </c>
      <c r="G714">
        <v>4464</v>
      </c>
      <c r="H714" t="s">
        <v>12</v>
      </c>
      <c r="Q714">
        <v>3124.8958164599999</v>
      </c>
      <c r="R714">
        <v>27297.196971699999</v>
      </c>
      <c r="S714">
        <v>-14.443625533000001</v>
      </c>
      <c r="T714">
        <v>-91.797489553600002</v>
      </c>
      <c r="U714">
        <v>0</v>
      </c>
      <c r="V714">
        <v>0</v>
      </c>
    </row>
    <row r="715" spans="1:22" x14ac:dyDescent="0.2">
      <c r="A715"/>
      <c r="B715">
        <v>23322</v>
      </c>
      <c r="C715" t="s">
        <v>2835</v>
      </c>
      <c r="D715" t="s">
        <v>928</v>
      </c>
      <c r="E715" t="s">
        <v>1041</v>
      </c>
      <c r="F715" t="s">
        <v>2335</v>
      </c>
      <c r="G715">
        <v>4441.8</v>
      </c>
      <c r="H715" t="s">
        <v>12</v>
      </c>
      <c r="Q715">
        <v>3125.62563886</v>
      </c>
      <c r="R715">
        <v>27319.384965599998</v>
      </c>
      <c r="S715">
        <v>-14.4514232094</v>
      </c>
      <c r="T715">
        <v>-91.908495600400002</v>
      </c>
      <c r="U715">
        <v>0</v>
      </c>
      <c r="V715">
        <v>0</v>
      </c>
    </row>
    <row r="716" spans="1:22" x14ac:dyDescent="0.2">
      <c r="A716"/>
      <c r="B716">
        <v>23323</v>
      </c>
      <c r="C716" t="s">
        <v>2836</v>
      </c>
      <c r="D716" t="s">
        <v>928</v>
      </c>
      <c r="E716" t="s">
        <v>1041</v>
      </c>
      <c r="F716" t="s">
        <v>2335</v>
      </c>
      <c r="G716">
        <v>4305.54</v>
      </c>
      <c r="H716" t="s">
        <v>1270</v>
      </c>
      <c r="Q716">
        <v>3133.0387957500002</v>
      </c>
      <c r="R716">
        <v>27455.405915200001</v>
      </c>
      <c r="S716">
        <v>-14.4612559528</v>
      </c>
      <c r="T716">
        <v>83.5996840703</v>
      </c>
      <c r="U716">
        <v>0</v>
      </c>
      <c r="V716">
        <v>0</v>
      </c>
    </row>
    <row r="717" spans="1:22" x14ac:dyDescent="0.2">
      <c r="A717"/>
      <c r="B717">
        <v>23324</v>
      </c>
      <c r="C717" t="s">
        <v>2837</v>
      </c>
      <c r="D717" t="s">
        <v>928</v>
      </c>
      <c r="E717" t="s">
        <v>1041</v>
      </c>
      <c r="F717" t="s">
        <v>2335</v>
      </c>
      <c r="G717">
        <v>4283.34</v>
      </c>
      <c r="H717" t="s">
        <v>1270</v>
      </c>
      <c r="Q717">
        <v>3135.6976875199998</v>
      </c>
      <c r="R717">
        <v>27477.445976999999</v>
      </c>
      <c r="S717">
        <v>-14.4436987619</v>
      </c>
      <c r="T717">
        <v>82.952786370400005</v>
      </c>
      <c r="U717">
        <v>0</v>
      </c>
      <c r="V717">
        <v>0</v>
      </c>
    </row>
    <row r="718" spans="1:22" x14ac:dyDescent="0.2">
      <c r="A718"/>
      <c r="B718">
        <v>23325</v>
      </c>
      <c r="C718" t="s">
        <v>2838</v>
      </c>
      <c r="D718" t="s">
        <v>928</v>
      </c>
      <c r="E718" t="s">
        <v>1041</v>
      </c>
      <c r="F718" t="s">
        <v>2320</v>
      </c>
      <c r="G718">
        <v>5807.84</v>
      </c>
      <c r="H718" t="s">
        <v>12</v>
      </c>
      <c r="Q718">
        <v>3175.9744441399998</v>
      </c>
      <c r="R718">
        <v>26293.301095399998</v>
      </c>
      <c r="S718">
        <v>-13.6132240836</v>
      </c>
      <c r="T718">
        <v>-84.6814603694</v>
      </c>
      <c r="U718">
        <v>0</v>
      </c>
      <c r="V718">
        <v>0</v>
      </c>
    </row>
    <row r="719" spans="1:22" x14ac:dyDescent="0.2">
      <c r="A719"/>
      <c r="B719">
        <v>23326</v>
      </c>
      <c r="C719" t="s">
        <v>2839</v>
      </c>
      <c r="D719" t="s">
        <v>928</v>
      </c>
      <c r="E719" t="s">
        <v>1041</v>
      </c>
      <c r="F719" t="s">
        <v>2320</v>
      </c>
      <c r="G719">
        <v>5785.64</v>
      </c>
      <c r="H719" t="s">
        <v>12</v>
      </c>
      <c r="Q719">
        <v>3173.91595198</v>
      </c>
      <c r="R719">
        <v>26315.405452499999</v>
      </c>
      <c r="S719">
        <v>-13.6162500533</v>
      </c>
      <c r="T719">
        <v>-84.678499684000002</v>
      </c>
      <c r="U719">
        <v>0</v>
      </c>
      <c r="V719">
        <v>0</v>
      </c>
    </row>
    <row r="720" spans="1:22" x14ac:dyDescent="0.2">
      <c r="A720"/>
      <c r="B720">
        <v>23327</v>
      </c>
      <c r="C720" t="s">
        <v>2840</v>
      </c>
      <c r="D720" t="s">
        <v>928</v>
      </c>
      <c r="E720" t="s">
        <v>1041</v>
      </c>
      <c r="F720" t="s">
        <v>2320</v>
      </c>
      <c r="G720">
        <v>5649.26</v>
      </c>
      <c r="H720" t="s">
        <v>1270</v>
      </c>
      <c r="Q720">
        <v>3161.3150967000001</v>
      </c>
      <c r="R720">
        <v>26451.202066000002</v>
      </c>
      <c r="S720">
        <v>-13.5993177417</v>
      </c>
      <c r="T720">
        <v>95.276660340500001</v>
      </c>
      <c r="U720">
        <v>0</v>
      </c>
      <c r="V720">
        <v>0</v>
      </c>
    </row>
    <row r="721" spans="1:22" x14ac:dyDescent="0.2">
      <c r="A721"/>
      <c r="B721">
        <v>23328</v>
      </c>
      <c r="C721" t="s">
        <v>2841</v>
      </c>
      <c r="D721" t="s">
        <v>928</v>
      </c>
      <c r="E721" t="s">
        <v>1041</v>
      </c>
      <c r="F721" t="s">
        <v>2320</v>
      </c>
      <c r="G721">
        <v>5627.06</v>
      </c>
      <c r="H721" t="s">
        <v>1270</v>
      </c>
      <c r="Q721">
        <v>3159.27433922</v>
      </c>
      <c r="R721">
        <v>26473.3079937</v>
      </c>
      <c r="S721">
        <v>-13.6437747867</v>
      </c>
      <c r="T721">
        <v>95.271379058999997</v>
      </c>
      <c r="U721">
        <v>0</v>
      </c>
      <c r="V721">
        <v>0</v>
      </c>
    </row>
    <row r="722" spans="1:22" x14ac:dyDescent="0.2">
      <c r="A722"/>
      <c r="B722">
        <v>23329</v>
      </c>
      <c r="C722" t="s">
        <v>2842</v>
      </c>
      <c r="D722" t="s">
        <v>928</v>
      </c>
      <c r="E722" t="s">
        <v>1041</v>
      </c>
      <c r="F722" t="s">
        <v>2335</v>
      </c>
      <c r="G722">
        <v>5473.81</v>
      </c>
      <c r="H722" t="s">
        <v>12</v>
      </c>
      <c r="Q722">
        <v>3171.0005141400002</v>
      </c>
      <c r="R722">
        <v>26292.827489899999</v>
      </c>
      <c r="S722">
        <v>-13.637663023</v>
      </c>
      <c r="T722">
        <v>-84.704217623900007</v>
      </c>
      <c r="U722">
        <v>0</v>
      </c>
      <c r="V722">
        <v>0</v>
      </c>
    </row>
    <row r="723" spans="1:22" x14ac:dyDescent="0.2">
      <c r="A723"/>
      <c r="B723">
        <v>23330</v>
      </c>
      <c r="C723" t="s">
        <v>2843</v>
      </c>
      <c r="D723" t="s">
        <v>928</v>
      </c>
      <c r="E723" t="s">
        <v>1041</v>
      </c>
      <c r="F723" t="s">
        <v>2335</v>
      </c>
      <c r="G723">
        <v>5451.61</v>
      </c>
      <c r="H723" t="s">
        <v>12</v>
      </c>
      <c r="Q723">
        <v>3168.9529746200001</v>
      </c>
      <c r="R723">
        <v>26314.9328637</v>
      </c>
      <c r="S723">
        <v>-13.642817518399999</v>
      </c>
      <c r="T723">
        <v>-84.711708435899993</v>
      </c>
      <c r="U723">
        <v>0</v>
      </c>
      <c r="V723">
        <v>0</v>
      </c>
    </row>
    <row r="724" spans="1:22" x14ac:dyDescent="0.2">
      <c r="A724"/>
      <c r="B724">
        <v>23331</v>
      </c>
      <c r="C724" t="s">
        <v>2844</v>
      </c>
      <c r="D724" t="s">
        <v>928</v>
      </c>
      <c r="E724" t="s">
        <v>1041</v>
      </c>
      <c r="F724" t="s">
        <v>2335</v>
      </c>
      <c r="G724">
        <v>5315.24</v>
      </c>
      <c r="H724" t="s">
        <v>1270</v>
      </c>
      <c r="Q724">
        <v>3156.4298729400002</v>
      </c>
      <c r="R724">
        <v>26450.726631199999</v>
      </c>
      <c r="S724">
        <v>-13.6248621491</v>
      </c>
      <c r="T724">
        <v>95.252688409200005</v>
      </c>
      <c r="U724">
        <v>0</v>
      </c>
      <c r="V724">
        <v>0</v>
      </c>
    </row>
    <row r="725" spans="1:22" x14ac:dyDescent="0.2">
      <c r="A725"/>
      <c r="B725">
        <v>23332</v>
      </c>
      <c r="C725" t="s">
        <v>2845</v>
      </c>
      <c r="D725" t="s">
        <v>928</v>
      </c>
      <c r="E725" t="s">
        <v>1041</v>
      </c>
      <c r="F725" t="s">
        <v>2335</v>
      </c>
      <c r="G725">
        <v>5293.04</v>
      </c>
      <c r="H725" t="s">
        <v>1270</v>
      </c>
      <c r="Q725">
        <v>3154.3983711300002</v>
      </c>
      <c r="R725">
        <v>26472.833388999999</v>
      </c>
      <c r="S725">
        <v>-13.679808274599999</v>
      </c>
      <c r="T725">
        <v>95.248162371899994</v>
      </c>
      <c r="U725">
        <v>0</v>
      </c>
      <c r="V725">
        <v>0</v>
      </c>
    </row>
    <row r="726" spans="1:22" x14ac:dyDescent="0.2">
      <c r="A726"/>
      <c r="B726">
        <v>23333</v>
      </c>
      <c r="C726" t="s">
        <v>2846</v>
      </c>
      <c r="D726" t="s">
        <v>928</v>
      </c>
      <c r="E726" t="s">
        <v>1041</v>
      </c>
      <c r="F726" t="s">
        <v>2412</v>
      </c>
      <c r="G726">
        <v>516.75</v>
      </c>
      <c r="H726" t="s">
        <v>12</v>
      </c>
      <c r="Q726">
        <v>2825.6434830799999</v>
      </c>
      <c r="R726">
        <v>25610.672715000001</v>
      </c>
      <c r="S726">
        <v>-11.4775065166</v>
      </c>
      <c r="T726">
        <v>-179.26746652</v>
      </c>
      <c r="U726">
        <v>0</v>
      </c>
      <c r="V726">
        <v>0</v>
      </c>
    </row>
    <row r="727" spans="1:22" x14ac:dyDescent="0.2">
      <c r="A727"/>
      <c r="B727">
        <v>23334</v>
      </c>
      <c r="C727" t="s">
        <v>2847</v>
      </c>
      <c r="D727" t="s">
        <v>928</v>
      </c>
      <c r="E727" t="s">
        <v>1041</v>
      </c>
      <c r="F727" t="s">
        <v>2412</v>
      </c>
      <c r="G727">
        <v>494.55</v>
      </c>
      <c r="H727" t="s">
        <v>12</v>
      </c>
      <c r="Q727">
        <v>2847.8405240400002</v>
      </c>
      <c r="R727">
        <v>25610.936378400002</v>
      </c>
      <c r="S727">
        <v>-11.233837640400001</v>
      </c>
      <c r="T727">
        <v>-179.34523800700001</v>
      </c>
      <c r="U727">
        <v>0</v>
      </c>
      <c r="V727">
        <v>0</v>
      </c>
    </row>
    <row r="728" spans="1:22" x14ac:dyDescent="0.2">
      <c r="A728"/>
      <c r="B728">
        <v>23335</v>
      </c>
      <c r="C728" t="s">
        <v>2848</v>
      </c>
      <c r="D728" t="s">
        <v>928</v>
      </c>
      <c r="E728" t="s">
        <v>1041</v>
      </c>
      <c r="F728" t="s">
        <v>2412</v>
      </c>
      <c r="G728">
        <v>358.14</v>
      </c>
      <c r="H728" t="s">
        <v>1270</v>
      </c>
      <c r="Q728">
        <v>2984.2330100999998</v>
      </c>
      <c r="R728">
        <v>25612.792005899999</v>
      </c>
      <c r="S728">
        <v>-11.122243256699999</v>
      </c>
      <c r="T728">
        <v>2.0824914583199998</v>
      </c>
      <c r="U728">
        <v>0</v>
      </c>
      <c r="V728">
        <v>0</v>
      </c>
    </row>
    <row r="729" spans="1:22" x14ac:dyDescent="0.2">
      <c r="A729"/>
      <c r="B729">
        <v>23336</v>
      </c>
      <c r="C729" t="s">
        <v>2849</v>
      </c>
      <c r="D729" t="s">
        <v>928</v>
      </c>
      <c r="E729" t="s">
        <v>1041</v>
      </c>
      <c r="F729" t="s">
        <v>2412</v>
      </c>
      <c r="G729">
        <v>335.94</v>
      </c>
      <c r="H729" t="s">
        <v>1270</v>
      </c>
      <c r="Q729">
        <v>3006.4132117600002</v>
      </c>
      <c r="R729">
        <v>25613.726038100001</v>
      </c>
      <c r="S729">
        <v>-11.1518572009</v>
      </c>
      <c r="T729">
        <v>2.7116281721200002</v>
      </c>
      <c r="U729">
        <v>0</v>
      </c>
      <c r="V729">
        <v>0</v>
      </c>
    </row>
    <row r="730" spans="1:22" x14ac:dyDescent="0.2">
      <c r="A730"/>
      <c r="B730">
        <v>23337</v>
      </c>
      <c r="C730" t="s">
        <v>2850</v>
      </c>
      <c r="D730" t="s">
        <v>928</v>
      </c>
      <c r="E730" t="s">
        <v>1041</v>
      </c>
      <c r="F730" t="s">
        <v>2472</v>
      </c>
      <c r="G730">
        <v>508.29</v>
      </c>
      <c r="H730" t="s">
        <v>12</v>
      </c>
      <c r="Q730">
        <v>2825.7257968200001</v>
      </c>
      <c r="R730">
        <v>25615.632057700001</v>
      </c>
      <c r="S730">
        <v>-11.4389522915</v>
      </c>
      <c r="T730">
        <v>-179.247201418</v>
      </c>
      <c r="U730">
        <v>0</v>
      </c>
      <c r="V730">
        <v>0</v>
      </c>
    </row>
    <row r="731" spans="1:22" x14ac:dyDescent="0.2">
      <c r="A731"/>
      <c r="B731">
        <v>23338</v>
      </c>
      <c r="C731" t="s">
        <v>2851</v>
      </c>
      <c r="D731" t="s">
        <v>928</v>
      </c>
      <c r="E731" t="s">
        <v>1041</v>
      </c>
      <c r="F731" t="s">
        <v>2472</v>
      </c>
      <c r="G731">
        <v>486.09</v>
      </c>
      <c r="H731" t="s">
        <v>12</v>
      </c>
      <c r="Q731">
        <v>2847.9231674299999</v>
      </c>
      <c r="R731">
        <v>25615.881020100001</v>
      </c>
      <c r="S731">
        <v>-11.2118002572</v>
      </c>
      <c r="T731">
        <v>-179.45247198600001</v>
      </c>
      <c r="U731">
        <v>0</v>
      </c>
      <c r="V731">
        <v>0</v>
      </c>
    </row>
    <row r="732" spans="1:22" x14ac:dyDescent="0.2">
      <c r="A732"/>
      <c r="B732">
        <v>23339</v>
      </c>
      <c r="C732" t="s">
        <v>2852</v>
      </c>
      <c r="D732" t="s">
        <v>928</v>
      </c>
      <c r="E732" t="s">
        <v>1041</v>
      </c>
      <c r="F732" t="s">
        <v>2472</v>
      </c>
      <c r="G732">
        <v>349.71</v>
      </c>
      <c r="H732" t="s">
        <v>1270</v>
      </c>
      <c r="Q732">
        <v>2984.2855418899999</v>
      </c>
      <c r="R732">
        <v>25617.745155000001</v>
      </c>
      <c r="S732">
        <v>-11.152851778100001</v>
      </c>
      <c r="T732">
        <v>2.0563328761599999</v>
      </c>
      <c r="U732">
        <v>0</v>
      </c>
      <c r="V732">
        <v>0</v>
      </c>
    </row>
    <row r="733" spans="1:22" x14ac:dyDescent="0.2">
      <c r="A733"/>
      <c r="B733">
        <v>23340</v>
      </c>
      <c r="C733" t="s">
        <v>2853</v>
      </c>
      <c r="D733" t="s">
        <v>928</v>
      </c>
      <c r="E733" t="s">
        <v>1041</v>
      </c>
      <c r="F733" t="s">
        <v>2472</v>
      </c>
      <c r="G733">
        <v>327.51</v>
      </c>
      <c r="H733" t="s">
        <v>1270</v>
      </c>
      <c r="Q733">
        <v>3006.4661828399999</v>
      </c>
      <c r="R733">
        <v>25618.669142399998</v>
      </c>
      <c r="S733">
        <v>-11.1484348173</v>
      </c>
      <c r="T733">
        <v>2.7126135500999999</v>
      </c>
      <c r="U733">
        <v>0</v>
      </c>
      <c r="V733">
        <v>0</v>
      </c>
    </row>
    <row r="734" spans="1:22" x14ac:dyDescent="0.2">
      <c r="A734"/>
      <c r="B734">
        <v>23341</v>
      </c>
      <c r="C734" t="s">
        <v>2854</v>
      </c>
      <c r="D734" t="s">
        <v>928</v>
      </c>
      <c r="E734" t="s">
        <v>1041</v>
      </c>
      <c r="F734" t="s">
        <v>2337</v>
      </c>
      <c r="G734">
        <v>500.82</v>
      </c>
      <c r="H734" t="s">
        <v>12</v>
      </c>
      <c r="Q734">
        <v>2690.9714305100001</v>
      </c>
      <c r="R734">
        <v>24953.605169900002</v>
      </c>
      <c r="S734">
        <v>-14.134282409300001</v>
      </c>
      <c r="T734">
        <v>-88.028101242299996</v>
      </c>
      <c r="U734">
        <v>0</v>
      </c>
      <c r="V734">
        <v>0</v>
      </c>
    </row>
    <row r="735" spans="1:22" x14ac:dyDescent="0.2">
      <c r="A735"/>
      <c r="B735">
        <v>23342</v>
      </c>
      <c r="C735" t="s">
        <v>2855</v>
      </c>
      <c r="D735" t="s">
        <v>928</v>
      </c>
      <c r="E735" t="s">
        <v>1041</v>
      </c>
      <c r="F735" t="s">
        <v>2337</v>
      </c>
      <c r="G735">
        <v>478.62</v>
      </c>
      <c r="H735" t="s">
        <v>12</v>
      </c>
      <c r="Q735">
        <v>2690.2067798500002</v>
      </c>
      <c r="R735">
        <v>24975.791990500002</v>
      </c>
      <c r="S735">
        <v>-14.1286474591</v>
      </c>
      <c r="T735">
        <v>-88.022989616700002</v>
      </c>
      <c r="U735">
        <v>0</v>
      </c>
      <c r="V735">
        <v>0</v>
      </c>
    </row>
    <row r="736" spans="1:22" x14ac:dyDescent="0.2">
      <c r="A736"/>
      <c r="B736">
        <v>23343</v>
      </c>
      <c r="C736" t="s">
        <v>2856</v>
      </c>
      <c r="D736" t="s">
        <v>928</v>
      </c>
      <c r="E736" t="s">
        <v>1041</v>
      </c>
      <c r="F736" t="s">
        <v>2337</v>
      </c>
      <c r="G736">
        <v>342.36</v>
      </c>
      <c r="H736" t="s">
        <v>1270</v>
      </c>
      <c r="Q736">
        <v>2685.4699565400001</v>
      </c>
      <c r="R736">
        <v>25111.9696291</v>
      </c>
      <c r="S736">
        <v>-14.1463901498</v>
      </c>
      <c r="T736">
        <v>92.001983105099995</v>
      </c>
      <c r="U736">
        <v>0</v>
      </c>
      <c r="V736">
        <v>0</v>
      </c>
    </row>
    <row r="737" spans="1:22" x14ac:dyDescent="0.2">
      <c r="A737"/>
      <c r="B737">
        <v>23344</v>
      </c>
      <c r="C737" t="s">
        <v>2857</v>
      </c>
      <c r="D737" t="s">
        <v>928</v>
      </c>
      <c r="E737" t="s">
        <v>1041</v>
      </c>
      <c r="F737" t="s">
        <v>2337</v>
      </c>
      <c r="G737">
        <v>320.16000000000003</v>
      </c>
      <c r="H737" t="s">
        <v>1270</v>
      </c>
      <c r="Q737">
        <v>2684.69419543</v>
      </c>
      <c r="R737">
        <v>25134.156070699999</v>
      </c>
      <c r="S737">
        <v>-14.144373893399999</v>
      </c>
      <c r="T737">
        <v>92.002999437900002</v>
      </c>
      <c r="U737">
        <v>0</v>
      </c>
      <c r="V737">
        <v>0</v>
      </c>
    </row>
    <row r="738" spans="1:22" x14ac:dyDescent="0.2">
      <c r="A738"/>
      <c r="B738">
        <v>23345</v>
      </c>
      <c r="C738" t="s">
        <v>2858</v>
      </c>
      <c r="D738" t="s">
        <v>928</v>
      </c>
      <c r="E738" t="s">
        <v>1041</v>
      </c>
      <c r="F738" t="s">
        <v>2343</v>
      </c>
      <c r="G738">
        <v>500.78</v>
      </c>
      <c r="H738" t="s">
        <v>12</v>
      </c>
      <c r="Q738">
        <v>2686.0190045899999</v>
      </c>
      <c r="R738">
        <v>24953.414280000001</v>
      </c>
      <c r="S738">
        <v>-14.1581793528</v>
      </c>
      <c r="T738">
        <v>-88.023225257799993</v>
      </c>
      <c r="U738">
        <v>0</v>
      </c>
      <c r="V738">
        <v>0</v>
      </c>
    </row>
    <row r="739" spans="1:22" x14ac:dyDescent="0.2">
      <c r="A739"/>
      <c r="B739">
        <v>23346</v>
      </c>
      <c r="C739" t="s">
        <v>2859</v>
      </c>
      <c r="D739" t="s">
        <v>928</v>
      </c>
      <c r="E739" t="s">
        <v>1041</v>
      </c>
      <c r="F739" t="s">
        <v>2343</v>
      </c>
      <c r="G739">
        <v>478.58</v>
      </c>
      <c r="H739" t="s">
        <v>12</v>
      </c>
      <c r="Q739">
        <v>2685.2522553399999</v>
      </c>
      <c r="R739">
        <v>24975.601029199999</v>
      </c>
      <c r="S739">
        <v>-14.1619099336</v>
      </c>
      <c r="T739">
        <v>-88.017766900599995</v>
      </c>
      <c r="U739">
        <v>0</v>
      </c>
      <c r="V739">
        <v>0</v>
      </c>
    </row>
    <row r="740" spans="1:22" x14ac:dyDescent="0.2">
      <c r="A740"/>
      <c r="B740">
        <v>23347</v>
      </c>
      <c r="C740" t="s">
        <v>2860</v>
      </c>
      <c r="D740" t="s">
        <v>928</v>
      </c>
      <c r="E740" t="s">
        <v>1041</v>
      </c>
      <c r="F740" t="s">
        <v>2343</v>
      </c>
      <c r="G740">
        <v>342.32</v>
      </c>
      <c r="H740" t="s">
        <v>1270</v>
      </c>
      <c r="Q740">
        <v>2680.5172904900001</v>
      </c>
      <c r="R740">
        <v>25111.778729099999</v>
      </c>
      <c r="S740">
        <v>-14.1514365339</v>
      </c>
      <c r="T740">
        <v>91.996497616699997</v>
      </c>
      <c r="U740">
        <v>0</v>
      </c>
      <c r="V740">
        <v>0</v>
      </c>
    </row>
    <row r="741" spans="1:22" x14ac:dyDescent="0.2">
      <c r="A741"/>
      <c r="B741">
        <v>23348</v>
      </c>
      <c r="C741" t="s">
        <v>2861</v>
      </c>
      <c r="D741" t="s">
        <v>928</v>
      </c>
      <c r="E741" t="s">
        <v>1041</v>
      </c>
      <c r="F741" t="s">
        <v>2343</v>
      </c>
      <c r="G741">
        <v>320.12</v>
      </c>
      <c r="H741" t="s">
        <v>1270</v>
      </c>
      <c r="Q741">
        <v>2679.7434472700002</v>
      </c>
      <c r="R741">
        <v>25133.965237699998</v>
      </c>
      <c r="S741">
        <v>-14.1498881247</v>
      </c>
      <c r="T741">
        <v>91.998810160700003</v>
      </c>
      <c r="U741">
        <v>0</v>
      </c>
      <c r="V741">
        <v>0</v>
      </c>
    </row>
    <row r="742" spans="1:22" x14ac:dyDescent="0.2">
      <c r="A742"/>
      <c r="B742">
        <v>23349</v>
      </c>
      <c r="C742" t="s">
        <v>2862</v>
      </c>
      <c r="D742" t="s">
        <v>928</v>
      </c>
      <c r="E742" t="s">
        <v>1041</v>
      </c>
      <c r="F742" t="s">
        <v>2340</v>
      </c>
      <c r="G742">
        <v>544.91</v>
      </c>
      <c r="H742" t="s">
        <v>12</v>
      </c>
      <c r="Q742">
        <v>2570.5308265899998</v>
      </c>
      <c r="R742">
        <v>23710.3637418</v>
      </c>
      <c r="S742">
        <v>-6.59832638444</v>
      </c>
      <c r="T742">
        <v>-105.24314739499999</v>
      </c>
      <c r="U742">
        <v>0</v>
      </c>
      <c r="V742">
        <v>0</v>
      </c>
    </row>
    <row r="743" spans="1:22" x14ac:dyDescent="0.2">
      <c r="A743"/>
      <c r="B743">
        <v>23350</v>
      </c>
      <c r="C743" t="s">
        <v>2863</v>
      </c>
      <c r="D743" t="s">
        <v>928</v>
      </c>
      <c r="E743" t="s">
        <v>1041</v>
      </c>
      <c r="F743" t="s">
        <v>2340</v>
      </c>
      <c r="G743">
        <v>522.71</v>
      </c>
      <c r="H743" t="s">
        <v>12</v>
      </c>
      <c r="Q743">
        <v>2576.3827122399998</v>
      </c>
      <c r="R743">
        <v>23731.7785812</v>
      </c>
      <c r="S743">
        <v>-6.5949620838499996</v>
      </c>
      <c r="T743">
        <v>-105.321215259</v>
      </c>
      <c r="U743">
        <v>0</v>
      </c>
      <c r="V743">
        <v>0</v>
      </c>
    </row>
    <row r="744" spans="1:22" x14ac:dyDescent="0.2">
      <c r="A744"/>
      <c r="B744">
        <v>23351</v>
      </c>
      <c r="C744" t="s">
        <v>2864</v>
      </c>
      <c r="D744" t="s">
        <v>928</v>
      </c>
      <c r="E744" t="s">
        <v>1041</v>
      </c>
      <c r="F744" t="s">
        <v>2340</v>
      </c>
      <c r="G744">
        <v>386.23</v>
      </c>
      <c r="H744" t="s">
        <v>1270</v>
      </c>
      <c r="Q744">
        <v>2612.4670897699998</v>
      </c>
      <c r="R744">
        <v>23863.401815599998</v>
      </c>
      <c r="S744">
        <v>-6.5895173563</v>
      </c>
      <c r="T744">
        <v>74.865809176499994</v>
      </c>
      <c r="U744">
        <v>0</v>
      </c>
      <c r="V744">
        <v>0</v>
      </c>
    </row>
    <row r="745" spans="1:22" x14ac:dyDescent="0.2">
      <c r="A745"/>
      <c r="B745">
        <v>23352</v>
      </c>
      <c r="C745" t="s">
        <v>2865</v>
      </c>
      <c r="D745" t="s">
        <v>928</v>
      </c>
      <c r="E745" t="s">
        <v>1041</v>
      </c>
      <c r="F745" t="s">
        <v>2340</v>
      </c>
      <c r="G745">
        <v>364.03</v>
      </c>
      <c r="H745" t="s">
        <v>1270</v>
      </c>
      <c r="Q745">
        <v>2618.2387336299998</v>
      </c>
      <c r="R745">
        <v>23884.838416099999</v>
      </c>
      <c r="S745">
        <v>-6.5972989075999999</v>
      </c>
      <c r="T745">
        <v>75.000402054700004</v>
      </c>
      <c r="U745">
        <v>0</v>
      </c>
      <c r="V745">
        <v>0</v>
      </c>
    </row>
    <row r="746" spans="1:22" x14ac:dyDescent="0.2">
      <c r="A746"/>
      <c r="B746">
        <v>23353</v>
      </c>
      <c r="C746" t="s">
        <v>2866</v>
      </c>
      <c r="D746" t="s">
        <v>928</v>
      </c>
      <c r="E746" t="s">
        <v>1041</v>
      </c>
      <c r="F746" t="s">
        <v>2345</v>
      </c>
      <c r="G746">
        <v>466.11</v>
      </c>
      <c r="H746" t="s">
        <v>12</v>
      </c>
      <c r="Q746">
        <v>2565.8407805500001</v>
      </c>
      <c r="R746">
        <v>23711.631578199998</v>
      </c>
      <c r="S746">
        <v>-6.6052485327400001</v>
      </c>
      <c r="T746">
        <v>-105.23009520799999</v>
      </c>
      <c r="U746">
        <v>0</v>
      </c>
      <c r="V746">
        <v>0</v>
      </c>
    </row>
    <row r="747" spans="1:22" x14ac:dyDescent="0.2">
      <c r="A747"/>
      <c r="B747">
        <v>23354</v>
      </c>
      <c r="C747" t="s">
        <v>2867</v>
      </c>
      <c r="D747" t="s">
        <v>928</v>
      </c>
      <c r="E747" t="s">
        <v>1041</v>
      </c>
      <c r="F747" t="s">
        <v>2345</v>
      </c>
      <c r="G747">
        <v>443.91</v>
      </c>
      <c r="H747" t="s">
        <v>12</v>
      </c>
      <c r="Q747">
        <v>2571.6754498099999</v>
      </c>
      <c r="R747">
        <v>23733.051116800001</v>
      </c>
      <c r="S747">
        <v>-6.6057996670800003</v>
      </c>
      <c r="T747">
        <v>-105.244720418</v>
      </c>
      <c r="U747">
        <v>0</v>
      </c>
      <c r="V747">
        <v>0</v>
      </c>
    </row>
    <row r="748" spans="1:22" x14ac:dyDescent="0.2">
      <c r="A748"/>
      <c r="B748">
        <v>23355</v>
      </c>
      <c r="C748" t="s">
        <v>2868</v>
      </c>
      <c r="D748" t="s">
        <v>928</v>
      </c>
      <c r="E748" t="s">
        <v>1041</v>
      </c>
      <c r="F748" t="s">
        <v>2345</v>
      </c>
      <c r="G748">
        <v>307.66000000000003</v>
      </c>
      <c r="H748" t="s">
        <v>1270</v>
      </c>
      <c r="Q748">
        <v>2607.5561716299999</v>
      </c>
      <c r="R748">
        <v>23864.4917336</v>
      </c>
      <c r="S748">
        <v>-6.6092406134299999</v>
      </c>
      <c r="T748">
        <v>74.724338184600001</v>
      </c>
      <c r="U748">
        <v>0</v>
      </c>
      <c r="V748">
        <v>0</v>
      </c>
    </row>
    <row r="749" spans="1:22" x14ac:dyDescent="0.2">
      <c r="A749"/>
      <c r="B749">
        <v>23356</v>
      </c>
      <c r="C749" t="s">
        <v>2869</v>
      </c>
      <c r="D749" t="s">
        <v>928</v>
      </c>
      <c r="E749" t="s">
        <v>1041</v>
      </c>
      <c r="F749" t="s">
        <v>2345</v>
      </c>
      <c r="G749">
        <v>285.45999999999998</v>
      </c>
      <c r="H749" t="s">
        <v>1270</v>
      </c>
      <c r="Q749">
        <v>2613.4042916399999</v>
      </c>
      <c r="R749">
        <v>23885.907603700001</v>
      </c>
      <c r="S749">
        <v>-6.6098107914600002</v>
      </c>
      <c r="T749">
        <v>74.7288804728</v>
      </c>
      <c r="U749">
        <v>0</v>
      </c>
      <c r="V749">
        <v>0</v>
      </c>
    </row>
    <row r="750" spans="1:22" x14ac:dyDescent="0.2">
      <c r="A750"/>
      <c r="B750">
        <v>23357</v>
      </c>
      <c r="C750" t="s">
        <v>2870</v>
      </c>
      <c r="D750" t="s">
        <v>1042</v>
      </c>
      <c r="E750" t="s">
        <v>1273</v>
      </c>
      <c r="F750" t="s">
        <v>2302</v>
      </c>
      <c r="G750">
        <v>136.74412535499999</v>
      </c>
      <c r="H750" t="s">
        <v>248</v>
      </c>
      <c r="Q750">
        <v>6955.4774647100003</v>
      </c>
      <c r="R750">
        <v>36889.978547600003</v>
      </c>
      <c r="S750">
        <v>-9.1450955274499997</v>
      </c>
      <c r="T750">
        <v>53.181161491600001</v>
      </c>
      <c r="U750">
        <v>0</v>
      </c>
      <c r="V750">
        <v>0</v>
      </c>
    </row>
    <row r="751" spans="1:22" x14ac:dyDescent="0.2">
      <c r="A751"/>
      <c r="B751">
        <v>23358</v>
      </c>
      <c r="C751" t="s">
        <v>2871</v>
      </c>
      <c r="D751" t="s">
        <v>1042</v>
      </c>
      <c r="E751" t="s">
        <v>1273</v>
      </c>
      <c r="F751" t="s">
        <v>1920</v>
      </c>
      <c r="G751">
        <v>204.65710431700001</v>
      </c>
      <c r="H751" t="s">
        <v>248</v>
      </c>
      <c r="Q751">
        <v>6956.6748131699997</v>
      </c>
      <c r="R751">
        <v>36876.664978399996</v>
      </c>
      <c r="S751">
        <v>-9.1507328307400009</v>
      </c>
      <c r="T751">
        <v>53.161906884899999</v>
      </c>
      <c r="U751">
        <v>0</v>
      </c>
      <c r="V751">
        <v>0</v>
      </c>
    </row>
    <row r="752" spans="1:22" x14ac:dyDescent="0.2">
      <c r="A752"/>
      <c r="B752">
        <v>23359</v>
      </c>
      <c r="C752" t="s">
        <v>2872</v>
      </c>
      <c r="D752" t="s">
        <v>1042</v>
      </c>
      <c r="E752" t="s">
        <v>1273</v>
      </c>
      <c r="F752" t="s">
        <v>1915</v>
      </c>
      <c r="G752">
        <v>806.58984121799995</v>
      </c>
      <c r="H752" t="s">
        <v>248</v>
      </c>
      <c r="Q752">
        <v>6844.2562313999997</v>
      </c>
      <c r="R752">
        <v>37546.909326300003</v>
      </c>
      <c r="S752">
        <v>-14.1537061545</v>
      </c>
      <c r="T752">
        <v>161.313711732</v>
      </c>
      <c r="U752">
        <v>0</v>
      </c>
      <c r="V752">
        <v>0</v>
      </c>
    </row>
    <row r="753" spans="1:22" x14ac:dyDescent="0.2">
      <c r="A753"/>
      <c r="B753">
        <v>23360</v>
      </c>
      <c r="C753" t="s">
        <v>2873</v>
      </c>
      <c r="D753" t="s">
        <v>1042</v>
      </c>
      <c r="E753" t="s">
        <v>1273</v>
      </c>
      <c r="F753" t="s">
        <v>2310</v>
      </c>
      <c r="G753">
        <v>720.021808867</v>
      </c>
      <c r="H753" t="s">
        <v>248</v>
      </c>
      <c r="Q753">
        <v>6862.9818612600002</v>
      </c>
      <c r="R753">
        <v>37549.824935700002</v>
      </c>
      <c r="S753">
        <v>-14.195854472300001</v>
      </c>
      <c r="T753">
        <v>160.34412171299999</v>
      </c>
      <c r="U753">
        <v>0</v>
      </c>
      <c r="V753">
        <v>0</v>
      </c>
    </row>
    <row r="754" spans="1:22" x14ac:dyDescent="0.2">
      <c r="A754"/>
      <c r="B754">
        <v>23361</v>
      </c>
      <c r="C754" t="s">
        <v>2874</v>
      </c>
      <c r="D754" t="s">
        <v>1042</v>
      </c>
      <c r="E754" t="s">
        <v>1273</v>
      </c>
      <c r="F754" t="s">
        <v>1915</v>
      </c>
      <c r="G754">
        <v>2458.5803114599998</v>
      </c>
      <c r="H754" t="s">
        <v>248</v>
      </c>
      <c r="Q754">
        <v>5269.1099620599998</v>
      </c>
      <c r="R754">
        <v>37537.125376000004</v>
      </c>
      <c r="S754">
        <v>-10.078876682600001</v>
      </c>
      <c r="T754">
        <v>-143.54729682300001</v>
      </c>
      <c r="U754">
        <v>0</v>
      </c>
      <c r="V754">
        <v>0</v>
      </c>
    </row>
    <row r="755" spans="1:22" x14ac:dyDescent="0.2">
      <c r="A755"/>
      <c r="B755">
        <v>23362</v>
      </c>
      <c r="C755" t="s">
        <v>2875</v>
      </c>
      <c r="D755" t="s">
        <v>1042</v>
      </c>
      <c r="E755" t="s">
        <v>1273</v>
      </c>
      <c r="F755" t="s">
        <v>2310</v>
      </c>
      <c r="G755">
        <v>2381.7727629199999</v>
      </c>
      <c r="H755" t="s">
        <v>248</v>
      </c>
      <c r="Q755">
        <v>5273.3155744699998</v>
      </c>
      <c r="R755">
        <v>37551.241225700003</v>
      </c>
      <c r="S755">
        <v>-10.1136489912</v>
      </c>
      <c r="T755">
        <v>-144.250521867</v>
      </c>
      <c r="U755">
        <v>0</v>
      </c>
      <c r="V755">
        <v>0</v>
      </c>
    </row>
    <row r="756" spans="1:22" x14ac:dyDescent="0.2">
      <c r="A756"/>
      <c r="B756">
        <v>23363</v>
      </c>
      <c r="C756" t="s">
        <v>2876</v>
      </c>
      <c r="D756" t="s">
        <v>1042</v>
      </c>
      <c r="E756" t="s">
        <v>1273</v>
      </c>
      <c r="F756" t="s">
        <v>1915</v>
      </c>
      <c r="G756">
        <v>3400.3333648299999</v>
      </c>
      <c r="H756" t="s">
        <v>248</v>
      </c>
      <c r="Q756">
        <v>4737.10150221</v>
      </c>
      <c r="R756">
        <v>36785.052881299998</v>
      </c>
      <c r="S756">
        <v>-13.5722368798</v>
      </c>
      <c r="T756">
        <v>-104.881959983</v>
      </c>
      <c r="U756">
        <v>0</v>
      </c>
      <c r="V756">
        <v>0</v>
      </c>
    </row>
    <row r="757" spans="1:22" x14ac:dyDescent="0.2">
      <c r="A757"/>
      <c r="B757">
        <v>23364</v>
      </c>
      <c r="C757" t="s">
        <v>2877</v>
      </c>
      <c r="D757" t="s">
        <v>1042</v>
      </c>
      <c r="E757" t="s">
        <v>1273</v>
      </c>
      <c r="F757" t="s">
        <v>2310</v>
      </c>
      <c r="G757">
        <v>3329.7086545500001</v>
      </c>
      <c r="H757" t="s">
        <v>248</v>
      </c>
      <c r="Q757">
        <v>4730.7895838000004</v>
      </c>
      <c r="R757">
        <v>36795.9534423</v>
      </c>
      <c r="S757">
        <v>-13.608055458799999</v>
      </c>
      <c r="T757">
        <v>-105.29952176099999</v>
      </c>
      <c r="U757">
        <v>0</v>
      </c>
      <c r="V757">
        <v>0</v>
      </c>
    </row>
    <row r="758" spans="1:22" x14ac:dyDescent="0.2">
      <c r="A758"/>
      <c r="B758">
        <v>23365</v>
      </c>
      <c r="C758" t="s">
        <v>2878</v>
      </c>
      <c r="D758" t="s">
        <v>1042</v>
      </c>
      <c r="E758" t="s">
        <v>1273</v>
      </c>
      <c r="F758" t="s">
        <v>1915</v>
      </c>
      <c r="G758">
        <v>4451.5191533899997</v>
      </c>
      <c r="H758" t="s">
        <v>248</v>
      </c>
      <c r="Q758">
        <v>4447.5616054599996</v>
      </c>
      <c r="R758">
        <v>35812.089118700002</v>
      </c>
      <c r="S758">
        <v>-12.9527338716</v>
      </c>
      <c r="T758">
        <v>-134.79792711900001</v>
      </c>
      <c r="U758">
        <v>0</v>
      </c>
      <c r="V758">
        <v>0</v>
      </c>
    </row>
    <row r="759" spans="1:22" x14ac:dyDescent="0.2">
      <c r="A759"/>
      <c r="B759">
        <v>23366</v>
      </c>
      <c r="C759" t="s">
        <v>2879</v>
      </c>
      <c r="D759" t="s">
        <v>1042</v>
      </c>
      <c r="E759" t="s">
        <v>1273</v>
      </c>
      <c r="F759" t="s">
        <v>2310</v>
      </c>
      <c r="G759">
        <v>4381.5315581699997</v>
      </c>
      <c r="H759" t="s">
        <v>248</v>
      </c>
      <c r="Q759">
        <v>4445.20211784</v>
      </c>
      <c r="R759">
        <v>35822.404852</v>
      </c>
      <c r="S759">
        <v>-13.0003865289</v>
      </c>
      <c r="T759">
        <v>-134.762150453</v>
      </c>
      <c r="U759">
        <v>0</v>
      </c>
      <c r="V759">
        <v>0</v>
      </c>
    </row>
    <row r="760" spans="1:22" x14ac:dyDescent="0.2">
      <c r="A760"/>
      <c r="B760">
        <v>23367</v>
      </c>
      <c r="C760" t="s">
        <v>2880</v>
      </c>
      <c r="D760" t="s">
        <v>1042</v>
      </c>
      <c r="E760" t="s">
        <v>1273</v>
      </c>
      <c r="F760" t="s">
        <v>1915</v>
      </c>
      <c r="G760">
        <v>5504.8263376499999</v>
      </c>
      <c r="H760" t="s">
        <v>248</v>
      </c>
      <c r="Q760">
        <v>4139.1856108299999</v>
      </c>
      <c r="R760">
        <v>34857.629551999999</v>
      </c>
      <c r="S760">
        <v>-11.1287745624</v>
      </c>
      <c r="T760">
        <v>-86.915594090599996</v>
      </c>
      <c r="U760">
        <v>0</v>
      </c>
      <c r="V760">
        <v>0</v>
      </c>
    </row>
    <row r="761" spans="1:22" x14ac:dyDescent="0.2">
      <c r="A761"/>
      <c r="B761">
        <v>23368</v>
      </c>
      <c r="C761" t="s">
        <v>2881</v>
      </c>
      <c r="D761" t="s">
        <v>1042</v>
      </c>
      <c r="E761" t="s">
        <v>1273</v>
      </c>
      <c r="F761" t="s">
        <v>2310</v>
      </c>
      <c r="G761">
        <v>5442.0713616200001</v>
      </c>
      <c r="H761" t="s">
        <v>248</v>
      </c>
      <c r="Q761">
        <v>4130.1190892499999</v>
      </c>
      <c r="R761">
        <v>34859.726918499997</v>
      </c>
      <c r="S761">
        <v>-11.1723966705</v>
      </c>
      <c r="T761">
        <v>-87.1254652378</v>
      </c>
      <c r="U761">
        <v>0</v>
      </c>
      <c r="V761">
        <v>0</v>
      </c>
    </row>
    <row r="762" spans="1:22" x14ac:dyDescent="0.2">
      <c r="A762"/>
      <c r="B762">
        <v>23369</v>
      </c>
      <c r="C762" t="s">
        <v>2882</v>
      </c>
      <c r="D762" t="s">
        <v>1042</v>
      </c>
      <c r="E762" t="s">
        <v>1273</v>
      </c>
      <c r="F762" t="s">
        <v>1915</v>
      </c>
      <c r="G762">
        <v>6424.6224566600004</v>
      </c>
      <c r="H762" t="s">
        <v>248</v>
      </c>
      <c r="Q762">
        <v>4099.3144687900003</v>
      </c>
      <c r="R762">
        <v>33940.089524000003</v>
      </c>
      <c r="S762">
        <v>-10.7973607632</v>
      </c>
      <c r="T762">
        <v>-91.274472099600004</v>
      </c>
      <c r="U762">
        <v>0</v>
      </c>
      <c r="V762">
        <v>0</v>
      </c>
    </row>
    <row r="763" spans="1:22" x14ac:dyDescent="0.2">
      <c r="A763"/>
      <c r="B763">
        <v>23370</v>
      </c>
      <c r="C763" t="s">
        <v>2883</v>
      </c>
      <c r="D763" t="s">
        <v>1042</v>
      </c>
      <c r="E763" t="s">
        <v>1273</v>
      </c>
      <c r="F763" t="s">
        <v>2310</v>
      </c>
      <c r="G763">
        <v>6364.2683758100002</v>
      </c>
      <c r="H763" t="s">
        <v>248</v>
      </c>
      <c r="Q763">
        <v>4090.3618628099998</v>
      </c>
      <c r="R763">
        <v>33940.0861678</v>
      </c>
      <c r="S763">
        <v>-10.8327594568</v>
      </c>
      <c r="T763">
        <v>-91.306420096599993</v>
      </c>
      <c r="U763">
        <v>0</v>
      </c>
      <c r="V763">
        <v>0</v>
      </c>
    </row>
    <row r="764" spans="1:22" x14ac:dyDescent="0.2">
      <c r="A764"/>
      <c r="B764">
        <v>23371</v>
      </c>
      <c r="C764" t="s">
        <v>2884</v>
      </c>
      <c r="D764" t="s">
        <v>1042</v>
      </c>
      <c r="E764" t="s">
        <v>1273</v>
      </c>
      <c r="F764" t="s">
        <v>1915</v>
      </c>
      <c r="G764">
        <v>7499.5932947700003</v>
      </c>
      <c r="H764" t="s">
        <v>248</v>
      </c>
      <c r="Q764">
        <v>3683.90716699</v>
      </c>
      <c r="R764">
        <v>32994.784721199998</v>
      </c>
      <c r="S764">
        <v>-11.285426235199999</v>
      </c>
      <c r="T764">
        <v>-130.348397597</v>
      </c>
      <c r="U764">
        <v>0</v>
      </c>
      <c r="V764">
        <v>0</v>
      </c>
    </row>
    <row r="765" spans="1:22" x14ac:dyDescent="0.2">
      <c r="A765"/>
      <c r="B765">
        <v>23372</v>
      </c>
      <c r="C765" t="s">
        <v>2885</v>
      </c>
      <c r="D765" t="s">
        <v>1042</v>
      </c>
      <c r="E765" t="s">
        <v>1273</v>
      </c>
      <c r="F765" t="s">
        <v>2310</v>
      </c>
      <c r="G765">
        <v>7439.1631189099999</v>
      </c>
      <c r="H765" t="s">
        <v>248</v>
      </c>
      <c r="Q765">
        <v>3674.8931225299998</v>
      </c>
      <c r="R765">
        <v>32997.8388557</v>
      </c>
      <c r="S765">
        <v>-11.313308666399999</v>
      </c>
      <c r="T765">
        <v>-130.35709221600001</v>
      </c>
      <c r="U765">
        <v>0</v>
      </c>
      <c r="V765">
        <v>0</v>
      </c>
    </row>
    <row r="766" spans="1:22" x14ac:dyDescent="0.2">
      <c r="A766"/>
      <c r="B766">
        <v>23373</v>
      </c>
      <c r="C766" t="s">
        <v>2886</v>
      </c>
      <c r="D766" t="s">
        <v>1042</v>
      </c>
      <c r="E766" t="s">
        <v>1273</v>
      </c>
      <c r="F766" t="s">
        <v>2316</v>
      </c>
      <c r="G766">
        <v>322.001546265</v>
      </c>
      <c r="H766" t="s">
        <v>248</v>
      </c>
      <c r="Q766">
        <v>3371.8677388199999</v>
      </c>
      <c r="R766">
        <v>32148.607004599999</v>
      </c>
      <c r="S766">
        <v>-10.776220866899999</v>
      </c>
      <c r="T766">
        <v>-103.77899165700001</v>
      </c>
      <c r="U766">
        <v>0</v>
      </c>
      <c r="V766">
        <v>0</v>
      </c>
    </row>
    <row r="767" spans="1:22" x14ac:dyDescent="0.2">
      <c r="A767"/>
      <c r="B767">
        <v>23374</v>
      </c>
      <c r="C767" t="s">
        <v>2887</v>
      </c>
      <c r="D767" t="s">
        <v>1042</v>
      </c>
      <c r="E767" t="s">
        <v>1273</v>
      </c>
      <c r="F767" t="s">
        <v>2325</v>
      </c>
      <c r="G767">
        <v>234.77281837999999</v>
      </c>
      <c r="H767" t="s">
        <v>248</v>
      </c>
      <c r="Q767">
        <v>3363.7405613300002</v>
      </c>
      <c r="R767">
        <v>32152.8969626</v>
      </c>
      <c r="S767">
        <v>-10.794316011399999</v>
      </c>
      <c r="T767">
        <v>-103.576476164</v>
      </c>
      <c r="U767">
        <v>0</v>
      </c>
      <c r="V767">
        <v>0</v>
      </c>
    </row>
    <row r="768" spans="1:22" x14ac:dyDescent="0.2">
      <c r="A768"/>
      <c r="B768">
        <v>23375</v>
      </c>
      <c r="C768" t="s">
        <v>2888</v>
      </c>
      <c r="D768" t="s">
        <v>1042</v>
      </c>
      <c r="E768" t="s">
        <v>1273</v>
      </c>
      <c r="F768" t="s">
        <v>2320</v>
      </c>
      <c r="G768">
        <v>865.19528784600004</v>
      </c>
      <c r="H768" t="s">
        <v>248</v>
      </c>
      <c r="Q768">
        <v>3221.8699889999998</v>
      </c>
      <c r="R768">
        <v>31154.901968499998</v>
      </c>
      <c r="S768">
        <v>-13.408991196500001</v>
      </c>
      <c r="T768">
        <v>-96.571310679000007</v>
      </c>
      <c r="U768">
        <v>0</v>
      </c>
      <c r="V768">
        <v>0</v>
      </c>
    </row>
    <row r="769" spans="1:22" x14ac:dyDescent="0.2">
      <c r="A769"/>
      <c r="B769">
        <v>23376</v>
      </c>
      <c r="C769" t="s">
        <v>2889</v>
      </c>
      <c r="D769" t="s">
        <v>1042</v>
      </c>
      <c r="E769" t="s">
        <v>1273</v>
      </c>
      <c r="F769" t="s">
        <v>2335</v>
      </c>
      <c r="G769">
        <v>518.09279302100003</v>
      </c>
      <c r="H769" t="s">
        <v>248</v>
      </c>
      <c r="Q769">
        <v>3214.3447827800001</v>
      </c>
      <c r="R769">
        <v>31167.876778499998</v>
      </c>
      <c r="S769">
        <v>-13.4423175081</v>
      </c>
      <c r="T769">
        <v>-96.596529450199995</v>
      </c>
      <c r="U769">
        <v>0</v>
      </c>
      <c r="V769">
        <v>0</v>
      </c>
    </row>
    <row r="770" spans="1:22" x14ac:dyDescent="0.2">
      <c r="A770"/>
      <c r="B770">
        <v>23377</v>
      </c>
      <c r="C770" t="s">
        <v>2890</v>
      </c>
      <c r="D770" t="s">
        <v>1042</v>
      </c>
      <c r="E770" t="s">
        <v>1273</v>
      </c>
      <c r="F770" t="s">
        <v>2320</v>
      </c>
      <c r="G770">
        <v>2158.2874089000002</v>
      </c>
      <c r="H770" t="s">
        <v>248</v>
      </c>
      <c r="Q770">
        <v>3365.6813312099998</v>
      </c>
      <c r="R770">
        <v>29882.230424500001</v>
      </c>
      <c r="S770">
        <v>-14.651348710000001</v>
      </c>
      <c r="T770">
        <v>-91.841189417099997</v>
      </c>
      <c r="U770">
        <v>0</v>
      </c>
      <c r="V770">
        <v>0</v>
      </c>
    </row>
    <row r="771" spans="1:22" x14ac:dyDescent="0.2">
      <c r="A771"/>
      <c r="B771">
        <v>23378</v>
      </c>
      <c r="C771" t="s">
        <v>2891</v>
      </c>
      <c r="D771" t="s">
        <v>1042</v>
      </c>
      <c r="E771" t="s">
        <v>1273</v>
      </c>
      <c r="F771" t="s">
        <v>2335</v>
      </c>
      <c r="G771">
        <v>1814.4297876200001</v>
      </c>
      <c r="H771" t="s">
        <v>248</v>
      </c>
      <c r="Q771">
        <v>3357.0272776400002</v>
      </c>
      <c r="R771">
        <v>29891.7087603</v>
      </c>
      <c r="S771">
        <v>-14.6544704735</v>
      </c>
      <c r="T771">
        <v>-91.836122618100006</v>
      </c>
      <c r="U771">
        <v>0</v>
      </c>
      <c r="V771">
        <v>0</v>
      </c>
    </row>
    <row r="772" spans="1:22" x14ac:dyDescent="0.2">
      <c r="A772"/>
      <c r="B772">
        <v>23379</v>
      </c>
      <c r="C772" t="s">
        <v>2892</v>
      </c>
      <c r="D772" t="s">
        <v>1042</v>
      </c>
      <c r="E772" t="s">
        <v>1273</v>
      </c>
      <c r="F772" t="s">
        <v>2320</v>
      </c>
      <c r="G772">
        <v>3530.89460465</v>
      </c>
      <c r="H772" t="s">
        <v>248</v>
      </c>
      <c r="Q772">
        <v>3356.4459211100002</v>
      </c>
      <c r="R772">
        <v>28535.164103399999</v>
      </c>
      <c r="S772">
        <v>-14.525786808599999</v>
      </c>
      <c r="T772">
        <v>-113.28672524300001</v>
      </c>
      <c r="U772">
        <v>0</v>
      </c>
      <c r="V772">
        <v>0</v>
      </c>
    </row>
    <row r="773" spans="1:22" x14ac:dyDescent="0.2">
      <c r="A773"/>
      <c r="B773">
        <v>23380</v>
      </c>
      <c r="C773" t="s">
        <v>2893</v>
      </c>
      <c r="D773" t="s">
        <v>1042</v>
      </c>
      <c r="E773" t="s">
        <v>1273</v>
      </c>
      <c r="F773" t="s">
        <v>2335</v>
      </c>
      <c r="G773">
        <v>3188.16695669</v>
      </c>
      <c r="H773" t="s">
        <v>248</v>
      </c>
      <c r="Q773">
        <v>3350.6863159200002</v>
      </c>
      <c r="R773">
        <v>28544.408615699998</v>
      </c>
      <c r="S773">
        <v>-14.518924307400001</v>
      </c>
      <c r="T773">
        <v>-113.323036862</v>
      </c>
      <c r="U773">
        <v>0</v>
      </c>
      <c r="V773">
        <v>0</v>
      </c>
    </row>
    <row r="774" spans="1:22" x14ac:dyDescent="0.2">
      <c r="A774"/>
      <c r="B774">
        <v>23381</v>
      </c>
      <c r="C774" t="s">
        <v>2894</v>
      </c>
      <c r="D774" t="s">
        <v>1042</v>
      </c>
      <c r="E774" t="s">
        <v>1273</v>
      </c>
      <c r="F774" t="s">
        <v>2320</v>
      </c>
      <c r="G774">
        <v>4708.4403060200002</v>
      </c>
      <c r="H774" t="s">
        <v>248</v>
      </c>
      <c r="Q774">
        <v>3135.0150159099999</v>
      </c>
      <c r="R774">
        <v>27387.113843499999</v>
      </c>
      <c r="S774">
        <v>-14.427041818499999</v>
      </c>
      <c r="T774">
        <v>-92.558463106399998</v>
      </c>
      <c r="U774">
        <v>0</v>
      </c>
      <c r="V774">
        <v>0</v>
      </c>
    </row>
    <row r="775" spans="1:22" x14ac:dyDescent="0.2">
      <c r="A775"/>
      <c r="B775">
        <v>23382</v>
      </c>
      <c r="C775" t="s">
        <v>2895</v>
      </c>
      <c r="D775" t="s">
        <v>1042</v>
      </c>
      <c r="E775" t="s">
        <v>1273</v>
      </c>
      <c r="F775" t="s">
        <v>2335</v>
      </c>
      <c r="G775">
        <v>4370.1056054800001</v>
      </c>
      <c r="H775" t="s">
        <v>248</v>
      </c>
      <c r="Q775">
        <v>3126.24286433</v>
      </c>
      <c r="R775">
        <v>27391.122739099999</v>
      </c>
      <c r="S775">
        <v>-14.453525795999999</v>
      </c>
      <c r="T775">
        <v>-92.622618093300005</v>
      </c>
      <c r="U775">
        <v>0</v>
      </c>
      <c r="V775">
        <v>0</v>
      </c>
    </row>
    <row r="776" spans="1:22" x14ac:dyDescent="0.2">
      <c r="A776"/>
      <c r="B776">
        <v>23383</v>
      </c>
      <c r="C776" t="s">
        <v>2896</v>
      </c>
      <c r="D776" t="s">
        <v>1042</v>
      </c>
      <c r="E776" t="s">
        <v>1273</v>
      </c>
      <c r="F776" t="s">
        <v>2320</v>
      </c>
      <c r="G776">
        <v>5713.9609466900001</v>
      </c>
      <c r="H776" t="s">
        <v>248</v>
      </c>
      <c r="Q776">
        <v>3169.2675696900001</v>
      </c>
      <c r="R776">
        <v>26386.961086800002</v>
      </c>
      <c r="S776">
        <v>-13.6196460473</v>
      </c>
      <c r="T776">
        <v>-84.698971621499993</v>
      </c>
      <c r="U776">
        <v>0</v>
      </c>
      <c r="V776">
        <v>0</v>
      </c>
    </row>
    <row r="777" spans="1:22" x14ac:dyDescent="0.2">
      <c r="A777"/>
      <c r="B777">
        <v>23384</v>
      </c>
      <c r="C777" t="s">
        <v>2897</v>
      </c>
      <c r="D777" t="s">
        <v>1042</v>
      </c>
      <c r="E777" t="s">
        <v>1273</v>
      </c>
      <c r="F777" t="s">
        <v>2335</v>
      </c>
      <c r="G777">
        <v>5378.4882990300002</v>
      </c>
      <c r="H777" t="s">
        <v>248</v>
      </c>
      <c r="Q777">
        <v>3160.2360934200001</v>
      </c>
      <c r="R777">
        <v>26387.561034900002</v>
      </c>
      <c r="S777">
        <v>-13.6437837154</v>
      </c>
      <c r="T777">
        <v>-84.733025460099995</v>
      </c>
      <c r="U777">
        <v>0</v>
      </c>
      <c r="V777">
        <v>0</v>
      </c>
    </row>
    <row r="778" spans="1:22" x14ac:dyDescent="0.2">
      <c r="A778"/>
      <c r="B778">
        <v>23385</v>
      </c>
      <c r="C778" t="s">
        <v>2898</v>
      </c>
      <c r="D778" t="s">
        <v>1042</v>
      </c>
      <c r="E778" t="s">
        <v>1273</v>
      </c>
      <c r="F778" t="s">
        <v>2412</v>
      </c>
      <c r="G778">
        <v>399.36280476399997</v>
      </c>
      <c r="H778" t="s">
        <v>248</v>
      </c>
      <c r="Q778">
        <v>2943.05141521</v>
      </c>
      <c r="R778">
        <v>25609.785776000001</v>
      </c>
      <c r="S778">
        <v>-11.1453693395</v>
      </c>
      <c r="T778">
        <v>-179.19934656500001</v>
      </c>
      <c r="U778">
        <v>0</v>
      </c>
      <c r="V778">
        <v>0</v>
      </c>
    </row>
    <row r="779" spans="1:22" x14ac:dyDescent="0.2">
      <c r="A779"/>
      <c r="B779">
        <v>23386</v>
      </c>
      <c r="C779" t="s">
        <v>2899</v>
      </c>
      <c r="D779" t="s">
        <v>1042</v>
      </c>
      <c r="E779" t="s">
        <v>1273</v>
      </c>
      <c r="F779" t="s">
        <v>2472</v>
      </c>
      <c r="G779">
        <v>391.13288607099997</v>
      </c>
      <c r="H779" t="s">
        <v>248</v>
      </c>
      <c r="Q779">
        <v>2942.8480601199999</v>
      </c>
      <c r="R779">
        <v>25618.708254199999</v>
      </c>
      <c r="S779">
        <v>-11.1552639746</v>
      </c>
      <c r="T779">
        <v>-179.186659099</v>
      </c>
      <c r="U779">
        <v>0</v>
      </c>
      <c r="V779">
        <v>0</v>
      </c>
    </row>
    <row r="780" spans="1:22" x14ac:dyDescent="0.2">
      <c r="A780"/>
      <c r="B780">
        <v>23387</v>
      </c>
      <c r="C780" t="s">
        <v>2900</v>
      </c>
      <c r="D780" t="s">
        <v>1042</v>
      </c>
      <c r="E780" t="s">
        <v>1273</v>
      </c>
      <c r="F780" t="s">
        <v>2337</v>
      </c>
      <c r="G780">
        <v>409.83424509899999</v>
      </c>
      <c r="H780" t="s">
        <v>248</v>
      </c>
      <c r="Q780">
        <v>2689.8217647199999</v>
      </c>
      <c r="R780">
        <v>25044.606002199998</v>
      </c>
      <c r="S780">
        <v>-14.1440782516</v>
      </c>
      <c r="T780">
        <v>-88.006355961300002</v>
      </c>
      <c r="U780">
        <v>0</v>
      </c>
      <c r="V780">
        <v>0</v>
      </c>
    </row>
    <row r="781" spans="1:22" x14ac:dyDescent="0.2">
      <c r="A781"/>
      <c r="B781">
        <v>23388</v>
      </c>
      <c r="C781" t="s">
        <v>2901</v>
      </c>
      <c r="D781" t="s">
        <v>1042</v>
      </c>
      <c r="E781" t="s">
        <v>1273</v>
      </c>
      <c r="F781" t="s">
        <v>2343</v>
      </c>
      <c r="G781">
        <v>410.13924153099998</v>
      </c>
      <c r="H781" t="s">
        <v>248</v>
      </c>
      <c r="Q781">
        <v>2680.8784881199999</v>
      </c>
      <c r="R781">
        <v>25043.9310229</v>
      </c>
      <c r="S781">
        <v>-14.1709648828</v>
      </c>
      <c r="T781">
        <v>-88.007370493400003</v>
      </c>
      <c r="U781">
        <v>0</v>
      </c>
      <c r="V781">
        <v>0</v>
      </c>
    </row>
    <row r="782" spans="1:22" x14ac:dyDescent="0.2">
      <c r="A782"/>
      <c r="B782">
        <v>23389</v>
      </c>
      <c r="C782" t="s">
        <v>2902</v>
      </c>
      <c r="D782" t="s">
        <v>1042</v>
      </c>
      <c r="E782" t="s">
        <v>1273</v>
      </c>
      <c r="F782" t="s">
        <v>2340</v>
      </c>
      <c r="G782">
        <v>465.95751624799999</v>
      </c>
      <c r="H782" t="s">
        <v>248</v>
      </c>
      <c r="Q782">
        <v>2593.3645218199999</v>
      </c>
      <c r="R782">
        <v>23785.967123499999</v>
      </c>
      <c r="S782">
        <v>-6.58658552134</v>
      </c>
      <c r="T782">
        <v>-105.397886586</v>
      </c>
      <c r="U782">
        <v>0</v>
      </c>
      <c r="V782">
        <v>0</v>
      </c>
    </row>
    <row r="783" spans="1:22" x14ac:dyDescent="0.2">
      <c r="A783"/>
      <c r="B783">
        <v>23390</v>
      </c>
      <c r="C783" t="s">
        <v>2903</v>
      </c>
      <c r="D783" t="s">
        <v>1042</v>
      </c>
      <c r="E783" t="s">
        <v>1273</v>
      </c>
      <c r="F783" t="s">
        <v>2345</v>
      </c>
      <c r="G783">
        <v>387.59095482999999</v>
      </c>
      <c r="H783" t="s">
        <v>248</v>
      </c>
      <c r="Q783">
        <v>2584.56796252</v>
      </c>
      <c r="R783">
        <v>23787.911498699999</v>
      </c>
      <c r="S783">
        <v>-6.6072097937700001</v>
      </c>
      <c r="T783">
        <v>-105.26977487000001</v>
      </c>
      <c r="U783">
        <v>0</v>
      </c>
      <c r="V783">
        <v>0</v>
      </c>
    </row>
    <row r="784" spans="1:22" x14ac:dyDescent="0.2">
      <c r="A784"/>
      <c r="B784">
        <v>23391</v>
      </c>
      <c r="C784" t="s">
        <v>2904</v>
      </c>
      <c r="D784" t="s">
        <v>65</v>
      </c>
      <c r="F784" t="s">
        <v>1921</v>
      </c>
      <c r="G784">
        <v>95.5</v>
      </c>
      <c r="H784" t="s">
        <v>248</v>
      </c>
      <c r="Q784">
        <v>3360.0477502099998</v>
      </c>
      <c r="R784">
        <v>32172.350474999999</v>
      </c>
      <c r="S784">
        <v>-10.792658091</v>
      </c>
      <c r="T784">
        <v>-102.902805337</v>
      </c>
      <c r="U784">
        <v>0</v>
      </c>
      <c r="V784">
        <v>0</v>
      </c>
    </row>
    <row r="785" spans="1:22" x14ac:dyDescent="0.2">
      <c r="A785"/>
      <c r="B785">
        <v>23392</v>
      </c>
      <c r="C785" t="s">
        <v>2905</v>
      </c>
      <c r="D785" t="s">
        <v>59</v>
      </c>
      <c r="E785" t="s">
        <v>1091</v>
      </c>
      <c r="F785" t="s">
        <v>1921</v>
      </c>
      <c r="G785">
        <v>95.5</v>
      </c>
      <c r="H785" t="s">
        <v>248</v>
      </c>
      <c r="Q785">
        <v>3357.6108745500001</v>
      </c>
      <c r="R785">
        <v>32172.9087196</v>
      </c>
      <c r="S785">
        <v>-10.792658091</v>
      </c>
      <c r="T785">
        <v>-12.9028053368</v>
      </c>
      <c r="U785">
        <v>0</v>
      </c>
      <c r="V785">
        <v>0</v>
      </c>
    </row>
    <row r="786" spans="1:22" x14ac:dyDescent="0.2">
      <c r="A786"/>
      <c r="B786">
        <v>23393</v>
      </c>
      <c r="C786" t="s">
        <v>2906</v>
      </c>
      <c r="D786" t="s">
        <v>57</v>
      </c>
      <c r="E786" t="s">
        <v>1091</v>
      </c>
      <c r="F786" t="s">
        <v>1921</v>
      </c>
      <c r="G786">
        <v>95.5</v>
      </c>
      <c r="H786" t="s">
        <v>248</v>
      </c>
      <c r="Q786">
        <v>3357.6108745500001</v>
      </c>
      <c r="R786">
        <v>32172.9087196</v>
      </c>
      <c r="S786">
        <v>-10.792658091</v>
      </c>
      <c r="T786">
        <v>-12.9028053368</v>
      </c>
      <c r="U786">
        <v>0</v>
      </c>
      <c r="V786">
        <v>0</v>
      </c>
    </row>
    <row r="787" spans="1:22" x14ac:dyDescent="0.2">
      <c r="A787"/>
      <c r="B787">
        <v>23394</v>
      </c>
      <c r="C787" t="s">
        <v>2907</v>
      </c>
      <c r="D787" t="s">
        <v>55</v>
      </c>
      <c r="E787" t="s">
        <v>52</v>
      </c>
      <c r="F787" t="s">
        <v>1921</v>
      </c>
      <c r="G787">
        <v>95.5</v>
      </c>
      <c r="H787" t="s">
        <v>248</v>
      </c>
      <c r="Q787">
        <v>3357.6108745500001</v>
      </c>
      <c r="R787">
        <v>32172.9087196</v>
      </c>
      <c r="S787">
        <v>-10.792658091</v>
      </c>
      <c r="T787">
        <v>-12.9028053368</v>
      </c>
      <c r="U787">
        <v>0</v>
      </c>
      <c r="V787">
        <v>0</v>
      </c>
    </row>
    <row r="788" spans="1:22" x14ac:dyDescent="0.2">
      <c r="A788"/>
      <c r="B788">
        <v>23395</v>
      </c>
      <c r="C788" t="s">
        <v>2908</v>
      </c>
      <c r="D788" t="s">
        <v>54</v>
      </c>
      <c r="E788" t="s">
        <v>52</v>
      </c>
      <c r="F788" t="s">
        <v>1921</v>
      </c>
      <c r="G788">
        <v>95.5</v>
      </c>
      <c r="H788" t="s">
        <v>248</v>
      </c>
      <c r="Q788">
        <v>3357.6108745500001</v>
      </c>
      <c r="R788">
        <v>32172.9087196</v>
      </c>
      <c r="S788">
        <v>-10.792658091</v>
      </c>
      <c r="T788">
        <v>-12.9028053368</v>
      </c>
      <c r="U788">
        <v>0</v>
      </c>
      <c r="V788">
        <v>0</v>
      </c>
    </row>
    <row r="789" spans="1:22" x14ac:dyDescent="0.2">
      <c r="A789"/>
      <c r="B789">
        <v>23396</v>
      </c>
      <c r="C789" t="s">
        <v>2909</v>
      </c>
      <c r="D789" t="s">
        <v>53</v>
      </c>
      <c r="E789" t="s">
        <v>52</v>
      </c>
      <c r="F789" t="s">
        <v>1921</v>
      </c>
      <c r="G789">
        <v>95.5</v>
      </c>
      <c r="H789" t="s">
        <v>248</v>
      </c>
      <c r="Q789">
        <v>3357.6108745500001</v>
      </c>
      <c r="R789">
        <v>32172.9087196</v>
      </c>
      <c r="S789">
        <v>-10.792658091</v>
      </c>
      <c r="T789">
        <v>-12.9028053368</v>
      </c>
      <c r="U789">
        <v>0</v>
      </c>
      <c r="V789">
        <v>0</v>
      </c>
    </row>
    <row r="790" spans="1:22" x14ac:dyDescent="0.2">
      <c r="A790"/>
      <c r="B790">
        <v>23397</v>
      </c>
      <c r="C790" t="s">
        <v>2910</v>
      </c>
      <c r="D790" t="s">
        <v>1042</v>
      </c>
      <c r="E790" t="s">
        <v>1273</v>
      </c>
      <c r="F790" t="s">
        <v>1921</v>
      </c>
      <c r="G790">
        <v>95.5</v>
      </c>
      <c r="H790" t="s">
        <v>12</v>
      </c>
      <c r="Q790">
        <v>3358.0982496800002</v>
      </c>
      <c r="R790">
        <v>32172.797070699999</v>
      </c>
      <c r="S790">
        <v>-10.792658091</v>
      </c>
      <c r="T790">
        <v>-102.902805337</v>
      </c>
      <c r="U790">
        <v>0</v>
      </c>
      <c r="V790">
        <v>0</v>
      </c>
    </row>
    <row r="791" spans="1:22" x14ac:dyDescent="0.2">
      <c r="A791"/>
      <c r="B791">
        <v>23398</v>
      </c>
      <c r="C791" t="s">
        <v>2911</v>
      </c>
      <c r="D791" t="s">
        <v>928</v>
      </c>
      <c r="E791" t="s">
        <v>1041</v>
      </c>
      <c r="F791" t="s">
        <v>1921</v>
      </c>
      <c r="G791">
        <v>6.39</v>
      </c>
      <c r="H791" t="s">
        <v>1270</v>
      </c>
      <c r="Q791">
        <v>3373.6318723300001</v>
      </c>
      <c r="R791">
        <v>32260.638104400001</v>
      </c>
      <c r="S791">
        <v>-10.791317422700001</v>
      </c>
      <c r="T791">
        <v>78.954169465899994</v>
      </c>
      <c r="U791">
        <v>0</v>
      </c>
      <c r="V791">
        <v>0</v>
      </c>
    </row>
    <row r="792" spans="1:22" x14ac:dyDescent="0.2">
      <c r="A792"/>
      <c r="B792">
        <v>23399</v>
      </c>
      <c r="C792" t="s">
        <v>2912</v>
      </c>
      <c r="D792" t="s">
        <v>928</v>
      </c>
      <c r="E792" t="s">
        <v>1041</v>
      </c>
      <c r="F792" t="s">
        <v>1921</v>
      </c>
      <c r="G792">
        <v>29.31</v>
      </c>
      <c r="H792" t="s">
        <v>1270</v>
      </c>
      <c r="Q792">
        <v>3369.2162107700001</v>
      </c>
      <c r="R792">
        <v>32238.147489899999</v>
      </c>
      <c r="S792">
        <v>-10.791369208900001</v>
      </c>
      <c r="T792">
        <v>78.736859379899997</v>
      </c>
      <c r="U792">
        <v>0</v>
      </c>
      <c r="V792">
        <v>0</v>
      </c>
    </row>
    <row r="793" spans="1:22" x14ac:dyDescent="0.2">
      <c r="A793"/>
      <c r="B793">
        <v>23400</v>
      </c>
      <c r="C793" t="s">
        <v>2913</v>
      </c>
      <c r="D793" t="s">
        <v>928</v>
      </c>
      <c r="E793" t="s">
        <v>1041</v>
      </c>
      <c r="F793" t="s">
        <v>1921</v>
      </c>
      <c r="G793">
        <v>166.68</v>
      </c>
      <c r="H793" t="s">
        <v>12</v>
      </c>
      <c r="Q793">
        <v>3339.0395454300001</v>
      </c>
      <c r="R793">
        <v>32104.139827300001</v>
      </c>
      <c r="S793">
        <v>-10.7919037564</v>
      </c>
      <c r="T793">
        <v>-103.298047569</v>
      </c>
      <c r="U793">
        <v>0</v>
      </c>
      <c r="V793">
        <v>0</v>
      </c>
    </row>
    <row r="794" spans="1:22" x14ac:dyDescent="0.2">
      <c r="A794"/>
      <c r="B794">
        <v>23401</v>
      </c>
      <c r="C794" t="s">
        <v>2914</v>
      </c>
      <c r="D794" t="s">
        <v>928</v>
      </c>
      <c r="E794" t="s">
        <v>1041</v>
      </c>
      <c r="F794" t="s">
        <v>1921</v>
      </c>
      <c r="G794">
        <v>189.6</v>
      </c>
      <c r="H794" t="s">
        <v>12</v>
      </c>
      <c r="Q794">
        <v>3333.7428077599998</v>
      </c>
      <c r="R794">
        <v>32081.840258799999</v>
      </c>
      <c r="S794">
        <v>-10.791827279</v>
      </c>
      <c r="T794">
        <v>-103.425316041</v>
      </c>
      <c r="U794">
        <v>0</v>
      </c>
      <c r="V794">
        <v>0</v>
      </c>
    </row>
    <row r="795" spans="1:22" x14ac:dyDescent="0.2">
      <c r="A795"/>
      <c r="B795">
        <v>23402</v>
      </c>
      <c r="C795" t="s">
        <v>2915</v>
      </c>
      <c r="D795" t="s">
        <v>1195</v>
      </c>
      <c r="E795" t="s">
        <v>1198</v>
      </c>
      <c r="F795" t="s">
        <v>2302</v>
      </c>
      <c r="G795">
        <v>17.5</v>
      </c>
      <c r="H795" t="s">
        <v>1270</v>
      </c>
      <c r="Q795">
        <v>6886.9298279000004</v>
      </c>
      <c r="R795">
        <v>36792.339592600001</v>
      </c>
      <c r="S795">
        <v>-9.1499558699300003</v>
      </c>
      <c r="T795">
        <v>-126.780152672</v>
      </c>
      <c r="U795">
        <v>0</v>
      </c>
      <c r="V795">
        <v>0</v>
      </c>
    </row>
    <row r="796" spans="1:22" x14ac:dyDescent="0.2">
      <c r="A796"/>
      <c r="B796">
        <v>23403</v>
      </c>
      <c r="C796" t="s">
        <v>2916</v>
      </c>
      <c r="D796" t="s">
        <v>1195</v>
      </c>
      <c r="E796" t="s">
        <v>1274</v>
      </c>
      <c r="F796" t="s">
        <v>2302</v>
      </c>
      <c r="G796">
        <v>39.700000000000003</v>
      </c>
      <c r="H796" t="s">
        <v>1270</v>
      </c>
      <c r="Q796">
        <v>6900.2230726899998</v>
      </c>
      <c r="R796">
        <v>36810.119357299998</v>
      </c>
      <c r="S796">
        <v>-9.1488556613200007</v>
      </c>
      <c r="T796">
        <v>-126.78790293900001</v>
      </c>
      <c r="U796">
        <v>0</v>
      </c>
      <c r="V796">
        <v>0</v>
      </c>
    </row>
    <row r="797" spans="1:22" x14ac:dyDescent="0.2">
      <c r="A797"/>
      <c r="B797">
        <v>23404</v>
      </c>
      <c r="C797" t="s">
        <v>2917</v>
      </c>
      <c r="D797" t="s">
        <v>1195</v>
      </c>
      <c r="E797" t="s">
        <v>1274</v>
      </c>
      <c r="F797" t="s">
        <v>2302</v>
      </c>
      <c r="G797">
        <v>176.21</v>
      </c>
      <c r="H797" t="s">
        <v>12</v>
      </c>
      <c r="Q797">
        <v>6979.4523725199997</v>
      </c>
      <c r="R797">
        <v>36921.330531300002</v>
      </c>
      <c r="S797">
        <v>-9.1440548610800008</v>
      </c>
      <c r="T797">
        <v>53.169951065299998</v>
      </c>
      <c r="U797">
        <v>0</v>
      </c>
      <c r="V797">
        <v>0</v>
      </c>
    </row>
    <row r="798" spans="1:22" x14ac:dyDescent="0.2">
      <c r="A798"/>
      <c r="B798">
        <v>23405</v>
      </c>
      <c r="C798" t="s">
        <v>2918</v>
      </c>
      <c r="D798" t="s">
        <v>1195</v>
      </c>
      <c r="E798" t="s">
        <v>1198</v>
      </c>
      <c r="F798" t="s">
        <v>2302</v>
      </c>
      <c r="G798">
        <v>198.41</v>
      </c>
      <c r="H798" t="s">
        <v>12</v>
      </c>
      <c r="Q798">
        <v>6992.7610474100002</v>
      </c>
      <c r="R798">
        <v>36939.099227400002</v>
      </c>
      <c r="S798">
        <v>-9.1435936058799996</v>
      </c>
      <c r="T798">
        <v>53.163993308899997</v>
      </c>
      <c r="U798">
        <v>0</v>
      </c>
      <c r="V798">
        <v>0</v>
      </c>
    </row>
    <row r="799" spans="1:22" x14ac:dyDescent="0.2">
      <c r="A799"/>
      <c r="B799">
        <v>23406</v>
      </c>
      <c r="C799" t="s">
        <v>2919</v>
      </c>
      <c r="D799" t="s">
        <v>1195</v>
      </c>
      <c r="E799" t="s">
        <v>1198</v>
      </c>
      <c r="F799" t="s">
        <v>1920</v>
      </c>
      <c r="G799">
        <v>95.32</v>
      </c>
      <c r="H799" t="s">
        <v>1270</v>
      </c>
      <c r="Q799">
        <v>6890.8100518399997</v>
      </c>
      <c r="R799">
        <v>36789.392829700002</v>
      </c>
      <c r="S799">
        <v>-9.1648483003999992</v>
      </c>
      <c r="T799">
        <v>-126.812121683</v>
      </c>
      <c r="U799">
        <v>0</v>
      </c>
      <c r="V799">
        <v>0</v>
      </c>
    </row>
    <row r="800" spans="1:22" x14ac:dyDescent="0.2">
      <c r="A800"/>
      <c r="B800">
        <v>23407</v>
      </c>
      <c r="C800" t="s">
        <v>2920</v>
      </c>
      <c r="D800" t="s">
        <v>1195</v>
      </c>
      <c r="E800" t="s">
        <v>1274</v>
      </c>
      <c r="F800" t="s">
        <v>1920</v>
      </c>
      <c r="G800">
        <v>117.52</v>
      </c>
      <c r="H800" t="s">
        <v>1270</v>
      </c>
      <c r="Q800">
        <v>6904.1141749799999</v>
      </c>
      <c r="R800">
        <v>36807.164246200002</v>
      </c>
      <c r="S800">
        <v>-9.1641115137700009</v>
      </c>
      <c r="T800">
        <v>-126.825881424</v>
      </c>
      <c r="U800">
        <v>0</v>
      </c>
      <c r="V800">
        <v>0</v>
      </c>
    </row>
    <row r="801" spans="1:22" x14ac:dyDescent="0.2">
      <c r="A801"/>
      <c r="B801">
        <v>23408</v>
      </c>
      <c r="C801" t="s">
        <v>2921</v>
      </c>
      <c r="D801" t="s">
        <v>1195</v>
      </c>
      <c r="E801" t="s">
        <v>1274</v>
      </c>
      <c r="F801" t="s">
        <v>1920</v>
      </c>
      <c r="G801">
        <v>254.15</v>
      </c>
      <c r="H801" t="s">
        <v>12</v>
      </c>
      <c r="Q801">
        <v>6983.4669371999998</v>
      </c>
      <c r="R801">
        <v>36918.434443600003</v>
      </c>
      <c r="S801">
        <v>-9.14502540276</v>
      </c>
      <c r="T801">
        <v>53.163427893200002</v>
      </c>
      <c r="U801">
        <v>0</v>
      </c>
      <c r="V801">
        <v>0</v>
      </c>
    </row>
    <row r="802" spans="1:22" x14ac:dyDescent="0.2">
      <c r="A802"/>
      <c r="B802">
        <v>23409</v>
      </c>
      <c r="C802" t="s">
        <v>2922</v>
      </c>
      <c r="D802" t="s">
        <v>1195</v>
      </c>
      <c r="E802" t="s">
        <v>1198</v>
      </c>
      <c r="F802" t="s">
        <v>1920</v>
      </c>
      <c r="G802">
        <v>276.35000000000002</v>
      </c>
      <c r="H802" t="s">
        <v>12</v>
      </c>
      <c r="Q802">
        <v>6996.7763825700004</v>
      </c>
      <c r="R802">
        <v>36936.202307200001</v>
      </c>
      <c r="S802">
        <v>-9.14348941121</v>
      </c>
      <c r="T802">
        <v>53.164785402900002</v>
      </c>
      <c r="U802">
        <v>0</v>
      </c>
      <c r="V802">
        <v>0</v>
      </c>
    </row>
    <row r="803" spans="1:22" x14ac:dyDescent="0.2">
      <c r="A803"/>
      <c r="B803">
        <v>23410</v>
      </c>
      <c r="C803" t="s">
        <v>2923</v>
      </c>
      <c r="D803" t="s">
        <v>1195</v>
      </c>
      <c r="E803" t="s">
        <v>1198</v>
      </c>
      <c r="F803" t="s">
        <v>1915</v>
      </c>
      <c r="G803">
        <v>688.26</v>
      </c>
      <c r="H803" t="s">
        <v>1270</v>
      </c>
      <c r="Q803">
        <v>6955.1717945399996</v>
      </c>
      <c r="R803">
        <v>37505.7923066</v>
      </c>
      <c r="S803">
        <v>-14.153737283</v>
      </c>
      <c r="T803">
        <v>-25.466043081700001</v>
      </c>
      <c r="U803">
        <v>0</v>
      </c>
      <c r="V803">
        <v>0</v>
      </c>
    </row>
    <row r="804" spans="1:22" x14ac:dyDescent="0.2">
      <c r="A804"/>
      <c r="B804">
        <v>23411</v>
      </c>
      <c r="C804" t="s">
        <v>2924</v>
      </c>
      <c r="D804" t="s">
        <v>1195</v>
      </c>
      <c r="E804" t="s">
        <v>1274</v>
      </c>
      <c r="F804" t="s">
        <v>1915</v>
      </c>
      <c r="G804">
        <v>710.46</v>
      </c>
      <c r="H804" t="s">
        <v>1270</v>
      </c>
      <c r="Q804">
        <v>6934.9926924399997</v>
      </c>
      <c r="R804">
        <v>37515.130217999998</v>
      </c>
      <c r="S804">
        <v>-14.1536508898</v>
      </c>
      <c r="T804">
        <v>-24.1984509993</v>
      </c>
      <c r="U804">
        <v>0</v>
      </c>
      <c r="V804">
        <v>0</v>
      </c>
    </row>
    <row r="805" spans="1:22" x14ac:dyDescent="0.2">
      <c r="A805"/>
      <c r="B805">
        <v>23412</v>
      </c>
      <c r="C805" t="s">
        <v>2925</v>
      </c>
      <c r="D805" t="s">
        <v>1195</v>
      </c>
      <c r="E805" t="s">
        <v>1274</v>
      </c>
      <c r="F805" t="s">
        <v>1915</v>
      </c>
      <c r="G805">
        <v>847.11</v>
      </c>
      <c r="H805" t="s">
        <v>12</v>
      </c>
      <c r="Q805">
        <v>6805.8071566899998</v>
      </c>
      <c r="R805">
        <v>37559.4736921</v>
      </c>
      <c r="S805">
        <v>-14.154747330099999</v>
      </c>
      <c r="T805">
        <v>163.515625253</v>
      </c>
      <c r="U805">
        <v>0</v>
      </c>
      <c r="V805">
        <v>0</v>
      </c>
    </row>
    <row r="806" spans="1:22" x14ac:dyDescent="0.2">
      <c r="A806"/>
      <c r="B806">
        <v>23413</v>
      </c>
      <c r="C806" t="s">
        <v>2926</v>
      </c>
      <c r="D806" t="s">
        <v>1195</v>
      </c>
      <c r="E806" t="s">
        <v>1198</v>
      </c>
      <c r="F806" t="s">
        <v>1915</v>
      </c>
      <c r="G806">
        <v>869.31</v>
      </c>
      <c r="H806" t="s">
        <v>12</v>
      </c>
      <c r="Q806">
        <v>6784.5078682900003</v>
      </c>
      <c r="R806">
        <v>37565.703482299999</v>
      </c>
      <c r="S806">
        <v>-14.1546474019</v>
      </c>
      <c r="T806">
        <v>163.813316155</v>
      </c>
      <c r="U806">
        <v>0</v>
      </c>
      <c r="V806">
        <v>0</v>
      </c>
    </row>
    <row r="807" spans="1:22" x14ac:dyDescent="0.2">
      <c r="A807"/>
      <c r="B807">
        <v>23414</v>
      </c>
      <c r="C807" t="s">
        <v>2927</v>
      </c>
      <c r="D807" t="s">
        <v>1195</v>
      </c>
      <c r="E807" t="s">
        <v>1198</v>
      </c>
      <c r="F807" t="s">
        <v>2310</v>
      </c>
      <c r="G807">
        <v>618.11</v>
      </c>
      <c r="H807" t="s">
        <v>1270</v>
      </c>
      <c r="Q807">
        <v>6957.0869398599998</v>
      </c>
      <c r="R807">
        <v>37510.3463892</v>
      </c>
      <c r="S807">
        <v>-14.2035480432</v>
      </c>
      <c r="T807">
        <v>-25.418365488199999</v>
      </c>
      <c r="U807">
        <v>0</v>
      </c>
      <c r="V807">
        <v>0</v>
      </c>
    </row>
    <row r="808" spans="1:22" x14ac:dyDescent="0.2">
      <c r="A808"/>
      <c r="B808">
        <v>23415</v>
      </c>
      <c r="C808" t="s">
        <v>2928</v>
      </c>
      <c r="D808" t="s">
        <v>1195</v>
      </c>
      <c r="E808" t="s">
        <v>1274</v>
      </c>
      <c r="F808" t="s">
        <v>2310</v>
      </c>
      <c r="G808">
        <v>640.30999999999995</v>
      </c>
      <c r="H808" t="s">
        <v>1270</v>
      </c>
      <c r="Q808">
        <v>6936.90105012</v>
      </c>
      <c r="R808">
        <v>37519.668992500003</v>
      </c>
      <c r="S808">
        <v>-14.2029844653</v>
      </c>
      <c r="T808">
        <v>-24.160421014600001</v>
      </c>
      <c r="U808">
        <v>0</v>
      </c>
      <c r="V808">
        <v>0</v>
      </c>
    </row>
    <row r="809" spans="1:22" x14ac:dyDescent="0.2">
      <c r="A809"/>
      <c r="B809">
        <v>23416</v>
      </c>
      <c r="C809" t="s">
        <v>2929</v>
      </c>
      <c r="D809" t="s">
        <v>1195</v>
      </c>
      <c r="E809" t="s">
        <v>1274</v>
      </c>
      <c r="F809" t="s">
        <v>2310</v>
      </c>
      <c r="G809">
        <v>777.65</v>
      </c>
      <c r="H809" t="s">
        <v>12</v>
      </c>
      <c r="Q809">
        <v>6807.0666668699996</v>
      </c>
      <c r="R809">
        <v>37564.2452558</v>
      </c>
      <c r="S809">
        <v>-14.193032453200001</v>
      </c>
      <c r="T809">
        <v>163.56416793700001</v>
      </c>
      <c r="U809">
        <v>0</v>
      </c>
      <c r="V809">
        <v>0</v>
      </c>
    </row>
    <row r="810" spans="1:22" x14ac:dyDescent="0.2">
      <c r="A810"/>
      <c r="B810">
        <v>23417</v>
      </c>
      <c r="C810" t="s">
        <v>2930</v>
      </c>
      <c r="D810" t="s">
        <v>1195</v>
      </c>
      <c r="E810" t="s">
        <v>1198</v>
      </c>
      <c r="F810" t="s">
        <v>2310</v>
      </c>
      <c r="G810">
        <v>799.85</v>
      </c>
      <c r="H810" t="s">
        <v>12</v>
      </c>
      <c r="Q810">
        <v>6785.7566460799999</v>
      </c>
      <c r="R810">
        <v>37570.446945600001</v>
      </c>
      <c r="S810">
        <v>-14.183795615999999</v>
      </c>
      <c r="T810">
        <v>163.774773966</v>
      </c>
      <c r="U810">
        <v>0</v>
      </c>
      <c r="V810">
        <v>0</v>
      </c>
    </row>
    <row r="811" spans="1:22" x14ac:dyDescent="0.2">
      <c r="A811"/>
      <c r="B811">
        <v>23418</v>
      </c>
      <c r="C811" t="s">
        <v>2931</v>
      </c>
      <c r="D811" t="s">
        <v>1195</v>
      </c>
      <c r="E811" t="s">
        <v>1198</v>
      </c>
      <c r="F811" t="s">
        <v>1915</v>
      </c>
      <c r="G811">
        <v>2527.1799999999998</v>
      </c>
      <c r="H811" t="s">
        <v>12</v>
      </c>
      <c r="Q811">
        <v>5214.8069914999996</v>
      </c>
      <c r="R811">
        <v>37495.318712300003</v>
      </c>
      <c r="S811">
        <v>-10.115473636200001</v>
      </c>
      <c r="T811">
        <v>-141.592036979</v>
      </c>
      <c r="U811">
        <v>0</v>
      </c>
      <c r="V811">
        <v>0</v>
      </c>
    </row>
    <row r="812" spans="1:22" x14ac:dyDescent="0.2">
      <c r="A812"/>
      <c r="B812">
        <v>23419</v>
      </c>
      <c r="C812" t="s">
        <v>2932</v>
      </c>
      <c r="D812" t="s">
        <v>1195</v>
      </c>
      <c r="E812" t="s">
        <v>1274</v>
      </c>
      <c r="F812" t="s">
        <v>1915</v>
      </c>
      <c r="G812">
        <v>2504.98</v>
      </c>
      <c r="H812" t="s">
        <v>12</v>
      </c>
      <c r="Q812">
        <v>5232.2059537799996</v>
      </c>
      <c r="R812">
        <v>37509.106198000001</v>
      </c>
      <c r="S812">
        <v>-10.0745269992</v>
      </c>
      <c r="T812">
        <v>-141.606531988</v>
      </c>
      <c r="U812">
        <v>0</v>
      </c>
      <c r="V812">
        <v>0</v>
      </c>
    </row>
    <row r="813" spans="1:22" x14ac:dyDescent="0.2">
      <c r="A813"/>
      <c r="B813">
        <v>23420</v>
      </c>
      <c r="C813" t="s">
        <v>2933</v>
      </c>
      <c r="D813" t="s">
        <v>1195</v>
      </c>
      <c r="E813" t="s">
        <v>1274</v>
      </c>
      <c r="F813" t="s">
        <v>1915</v>
      </c>
      <c r="G813">
        <v>2368.6</v>
      </c>
      <c r="H813" t="s">
        <v>1270</v>
      </c>
      <c r="Q813">
        <v>5341.37416046</v>
      </c>
      <c r="R813">
        <v>37590.778381299999</v>
      </c>
      <c r="S813">
        <v>-10.075217562100001</v>
      </c>
      <c r="T813">
        <v>32.769154629200003</v>
      </c>
      <c r="U813">
        <v>0</v>
      </c>
      <c r="V813">
        <v>0</v>
      </c>
    </row>
    <row r="814" spans="1:22" x14ac:dyDescent="0.2">
      <c r="A814"/>
      <c r="B814">
        <v>23421</v>
      </c>
      <c r="C814" t="s">
        <v>2934</v>
      </c>
      <c r="D814" t="s">
        <v>1195</v>
      </c>
      <c r="E814" t="s">
        <v>1198</v>
      </c>
      <c r="F814" t="s">
        <v>1915</v>
      </c>
      <c r="G814">
        <v>2346.4</v>
      </c>
      <c r="H814" t="s">
        <v>1270</v>
      </c>
      <c r="Q814">
        <v>5360.0843585800003</v>
      </c>
      <c r="R814">
        <v>37602.741852400002</v>
      </c>
      <c r="S814">
        <v>-10.068048317600001</v>
      </c>
      <c r="T814">
        <v>32.481013098600002</v>
      </c>
      <c r="U814">
        <v>0</v>
      </c>
      <c r="V814">
        <v>0</v>
      </c>
    </row>
    <row r="815" spans="1:22" x14ac:dyDescent="0.2">
      <c r="A815"/>
      <c r="B815">
        <v>23422</v>
      </c>
      <c r="C815" t="s">
        <v>2935</v>
      </c>
      <c r="D815" t="s">
        <v>1195</v>
      </c>
      <c r="E815" t="s">
        <v>1198</v>
      </c>
      <c r="F815" t="s">
        <v>2310</v>
      </c>
      <c r="G815">
        <v>2462.15</v>
      </c>
      <c r="H815" t="s">
        <v>12</v>
      </c>
      <c r="Q815">
        <v>5211.8438429500002</v>
      </c>
      <c r="R815">
        <v>37499.276833600001</v>
      </c>
      <c r="S815">
        <v>-10.1401876122</v>
      </c>
      <c r="T815">
        <v>-141.59728399900001</v>
      </c>
      <c r="U815">
        <v>0</v>
      </c>
      <c r="V815">
        <v>0</v>
      </c>
    </row>
    <row r="816" spans="1:22" x14ac:dyDescent="0.2">
      <c r="A816"/>
      <c r="B816">
        <v>23423</v>
      </c>
      <c r="C816" t="s">
        <v>2936</v>
      </c>
      <c r="D816" t="s">
        <v>1195</v>
      </c>
      <c r="E816" t="s">
        <v>1274</v>
      </c>
      <c r="F816" t="s">
        <v>2310</v>
      </c>
      <c r="G816">
        <v>2439.9499999999998</v>
      </c>
      <c r="H816" t="s">
        <v>12</v>
      </c>
      <c r="Q816">
        <v>5229.1726995400004</v>
      </c>
      <c r="R816">
        <v>37513.156228699998</v>
      </c>
      <c r="S816">
        <v>-10.0980327139</v>
      </c>
      <c r="T816">
        <v>-141.53006870300001</v>
      </c>
      <c r="U816">
        <v>0</v>
      </c>
      <c r="V816">
        <v>0</v>
      </c>
    </row>
    <row r="817" spans="1:22" x14ac:dyDescent="0.2">
      <c r="A817"/>
      <c r="B817">
        <v>23424</v>
      </c>
      <c r="C817" t="s">
        <v>2937</v>
      </c>
      <c r="D817" t="s">
        <v>1195</v>
      </c>
      <c r="E817" t="s">
        <v>1274</v>
      </c>
      <c r="F817" t="s">
        <v>2310</v>
      </c>
      <c r="G817">
        <v>2303.25</v>
      </c>
      <c r="H817" t="s">
        <v>1270</v>
      </c>
      <c r="Q817">
        <v>5338.6420013200004</v>
      </c>
      <c r="R817">
        <v>37594.963426499999</v>
      </c>
      <c r="S817">
        <v>-10.105693393699999</v>
      </c>
      <c r="T817">
        <v>32.855312198599997</v>
      </c>
      <c r="U817">
        <v>0</v>
      </c>
      <c r="V817">
        <v>0</v>
      </c>
    </row>
    <row r="818" spans="1:22" x14ac:dyDescent="0.2">
      <c r="A818"/>
      <c r="B818">
        <v>23425</v>
      </c>
      <c r="C818" t="s">
        <v>2938</v>
      </c>
      <c r="D818" t="s">
        <v>1195</v>
      </c>
      <c r="E818" t="s">
        <v>1198</v>
      </c>
      <c r="F818" t="s">
        <v>2310</v>
      </c>
      <c r="G818">
        <v>2281.0500000000002</v>
      </c>
      <c r="H818" t="s">
        <v>1270</v>
      </c>
      <c r="Q818">
        <v>5357.3383862299997</v>
      </c>
      <c r="R818">
        <v>37606.951195200003</v>
      </c>
      <c r="S818">
        <v>-10.101690359899999</v>
      </c>
      <c r="T818">
        <v>32.514314577699999</v>
      </c>
      <c r="U818">
        <v>0</v>
      </c>
      <c r="V818">
        <v>0</v>
      </c>
    </row>
    <row r="819" spans="1:22" x14ac:dyDescent="0.2">
      <c r="A819"/>
      <c r="B819">
        <v>23426</v>
      </c>
      <c r="C819" t="s">
        <v>2939</v>
      </c>
      <c r="D819" t="s">
        <v>1195</v>
      </c>
      <c r="E819" t="s">
        <v>1198</v>
      </c>
      <c r="F819" t="s">
        <v>1915</v>
      </c>
      <c r="G819">
        <v>3285.16</v>
      </c>
      <c r="H819" t="s">
        <v>1270</v>
      </c>
      <c r="Q819">
        <v>4768.2391747700003</v>
      </c>
      <c r="R819">
        <v>36895.928017600003</v>
      </c>
      <c r="S819">
        <v>-13.5738913468</v>
      </c>
      <c r="T819">
        <v>70.382261656300003</v>
      </c>
      <c r="U819">
        <v>0</v>
      </c>
      <c r="V819">
        <v>0</v>
      </c>
    </row>
    <row r="820" spans="1:22" x14ac:dyDescent="0.2">
      <c r="A820"/>
      <c r="B820">
        <v>23427</v>
      </c>
      <c r="C820" t="s">
        <v>2940</v>
      </c>
      <c r="D820" t="s">
        <v>1195</v>
      </c>
      <c r="E820" t="s">
        <v>1274</v>
      </c>
      <c r="F820" t="s">
        <v>1915</v>
      </c>
      <c r="G820">
        <v>3307.36</v>
      </c>
      <c r="H820" t="s">
        <v>1270</v>
      </c>
      <c r="Q820">
        <v>4760.8810682699996</v>
      </c>
      <c r="R820">
        <v>36874.963698</v>
      </c>
      <c r="S820">
        <v>-13.580449290900001</v>
      </c>
      <c r="T820">
        <v>71.035610664700002</v>
      </c>
      <c r="U820">
        <v>0</v>
      </c>
      <c r="V820">
        <v>0</v>
      </c>
    </row>
    <row r="821" spans="1:22" x14ac:dyDescent="0.2">
      <c r="A821"/>
      <c r="B821">
        <v>23428</v>
      </c>
      <c r="C821" t="s">
        <v>2941</v>
      </c>
      <c r="D821" t="s">
        <v>1195</v>
      </c>
      <c r="E821" t="s">
        <v>1274</v>
      </c>
      <c r="F821" t="s">
        <v>1915</v>
      </c>
      <c r="G821">
        <v>3443.74</v>
      </c>
      <c r="H821" t="s">
        <v>12</v>
      </c>
      <c r="Q821">
        <v>4726.4448662799996</v>
      </c>
      <c r="R821">
        <v>36743.053557200001</v>
      </c>
      <c r="S821">
        <v>-13.5755735366</v>
      </c>
      <c r="T821">
        <v>-102.486213522</v>
      </c>
      <c r="U821">
        <v>0</v>
      </c>
      <c r="V821">
        <v>0</v>
      </c>
    </row>
    <row r="822" spans="1:22" x14ac:dyDescent="0.2">
      <c r="A822"/>
      <c r="B822">
        <v>23429</v>
      </c>
      <c r="C822" t="s">
        <v>2942</v>
      </c>
      <c r="D822" t="s">
        <v>1195</v>
      </c>
      <c r="E822" t="s">
        <v>1198</v>
      </c>
      <c r="F822" t="s">
        <v>1915</v>
      </c>
      <c r="G822">
        <v>3465.94</v>
      </c>
      <c r="H822" t="s">
        <v>12</v>
      </c>
      <c r="Q822">
        <v>4721.8940458899997</v>
      </c>
      <c r="R822">
        <v>36721.361734500002</v>
      </c>
      <c r="S822">
        <v>-13.5873700694</v>
      </c>
      <c r="T822">
        <v>-101.21536064999999</v>
      </c>
      <c r="U822">
        <v>0</v>
      </c>
      <c r="V822">
        <v>0</v>
      </c>
    </row>
    <row r="823" spans="1:22" x14ac:dyDescent="0.2">
      <c r="A823"/>
      <c r="B823">
        <v>23430</v>
      </c>
      <c r="C823" t="s">
        <v>2943</v>
      </c>
      <c r="D823" t="s">
        <v>1195</v>
      </c>
      <c r="E823" t="s">
        <v>1198</v>
      </c>
      <c r="F823" t="s">
        <v>2310</v>
      </c>
      <c r="G823">
        <v>3404.44</v>
      </c>
      <c r="H823" t="s">
        <v>12</v>
      </c>
      <c r="Q823">
        <v>4717.0351384100004</v>
      </c>
      <c r="R823">
        <v>36722.415765600002</v>
      </c>
      <c r="S823">
        <v>-13.617237143900001</v>
      </c>
      <c r="T823">
        <v>-101.28436440999999</v>
      </c>
      <c r="U823">
        <v>0</v>
      </c>
      <c r="V823">
        <v>0</v>
      </c>
    </row>
    <row r="824" spans="1:22" x14ac:dyDescent="0.2">
      <c r="A824"/>
      <c r="B824">
        <v>23431</v>
      </c>
      <c r="C824" t="s">
        <v>2944</v>
      </c>
      <c r="D824" t="s">
        <v>1195</v>
      </c>
      <c r="E824" t="s">
        <v>1274</v>
      </c>
      <c r="F824" t="s">
        <v>2310</v>
      </c>
      <c r="G824">
        <v>3382.24</v>
      </c>
      <c r="H824" t="s">
        <v>12</v>
      </c>
      <c r="Q824">
        <v>4721.6139751399996</v>
      </c>
      <c r="R824">
        <v>36744.101837100003</v>
      </c>
      <c r="S824">
        <v>-13.614138549</v>
      </c>
      <c r="T824">
        <v>-102.550456371</v>
      </c>
      <c r="U824">
        <v>0</v>
      </c>
      <c r="V824">
        <v>0</v>
      </c>
    </row>
    <row r="825" spans="1:22" x14ac:dyDescent="0.2">
      <c r="A825"/>
      <c r="B825">
        <v>23432</v>
      </c>
      <c r="C825" t="s">
        <v>2945</v>
      </c>
      <c r="D825" t="s">
        <v>1195</v>
      </c>
      <c r="E825" t="s">
        <v>1274</v>
      </c>
      <c r="F825" t="s">
        <v>2310</v>
      </c>
      <c r="G825">
        <v>3245.3</v>
      </c>
      <c r="H825" t="s">
        <v>1270</v>
      </c>
      <c r="Q825">
        <v>4756.1853469500002</v>
      </c>
      <c r="R825">
        <v>36876.558727399999</v>
      </c>
      <c r="S825">
        <v>-13.621066519399999</v>
      </c>
      <c r="T825">
        <v>71.016656484400002</v>
      </c>
      <c r="U825">
        <v>0</v>
      </c>
      <c r="V825">
        <v>0</v>
      </c>
    </row>
    <row r="826" spans="1:22" x14ac:dyDescent="0.2">
      <c r="A826"/>
      <c r="B826">
        <v>23433</v>
      </c>
      <c r="C826" t="s">
        <v>2946</v>
      </c>
      <c r="D826" t="s">
        <v>1195</v>
      </c>
      <c r="E826" t="s">
        <v>1198</v>
      </c>
      <c r="F826" t="s">
        <v>2310</v>
      </c>
      <c r="G826">
        <v>3223.1</v>
      </c>
      <c r="H826" t="s">
        <v>1270</v>
      </c>
      <c r="Q826">
        <v>4763.5507303200002</v>
      </c>
      <c r="R826">
        <v>36897.520562999998</v>
      </c>
      <c r="S826">
        <v>-13.620026447200001</v>
      </c>
      <c r="T826">
        <v>70.361095186399993</v>
      </c>
      <c r="U826">
        <v>0</v>
      </c>
      <c r="V826">
        <v>0</v>
      </c>
    </row>
    <row r="827" spans="1:22" x14ac:dyDescent="0.2">
      <c r="A827"/>
      <c r="B827">
        <v>23434</v>
      </c>
      <c r="C827" t="s">
        <v>2947</v>
      </c>
      <c r="D827" t="s">
        <v>1195</v>
      </c>
      <c r="E827" t="s">
        <v>1198</v>
      </c>
      <c r="F827" t="s">
        <v>1915</v>
      </c>
      <c r="G827">
        <v>4358.8900000000003</v>
      </c>
      <c r="H827" t="s">
        <v>1270</v>
      </c>
      <c r="Q827">
        <v>4510.1470578500002</v>
      </c>
      <c r="R827">
        <v>35880.470208799998</v>
      </c>
      <c r="S827">
        <v>-12.9680283871</v>
      </c>
      <c r="T827">
        <v>45.477528738399997</v>
      </c>
      <c r="U827">
        <v>0</v>
      </c>
      <c r="V827">
        <v>0</v>
      </c>
    </row>
    <row r="828" spans="1:22" x14ac:dyDescent="0.2">
      <c r="A828"/>
      <c r="B828">
        <v>23435</v>
      </c>
      <c r="C828" t="s">
        <v>2948</v>
      </c>
      <c r="D828" t="s">
        <v>1195</v>
      </c>
      <c r="E828" t="s">
        <v>1274</v>
      </c>
      <c r="F828" t="s">
        <v>1915</v>
      </c>
      <c r="G828">
        <v>4381.09</v>
      </c>
      <c r="H828" t="s">
        <v>1270</v>
      </c>
      <c r="Q828">
        <v>4494.5682451700004</v>
      </c>
      <c r="R828">
        <v>35864.658323000003</v>
      </c>
      <c r="S828">
        <v>-12.9693570315</v>
      </c>
      <c r="T828">
        <v>45.376922565999998</v>
      </c>
      <c r="U828">
        <v>0</v>
      </c>
      <c r="V828">
        <v>0</v>
      </c>
    </row>
    <row r="829" spans="1:22" x14ac:dyDescent="0.2">
      <c r="A829"/>
      <c r="B829">
        <v>23436</v>
      </c>
      <c r="C829" t="s">
        <v>2949</v>
      </c>
      <c r="D829" t="s">
        <v>1195</v>
      </c>
      <c r="E829" t="s">
        <v>1274</v>
      </c>
      <c r="F829" t="s">
        <v>1915</v>
      </c>
      <c r="G829">
        <v>4517.3599999999997</v>
      </c>
      <c r="H829" t="s">
        <v>12</v>
      </c>
      <c r="Q829">
        <v>4400.9374084499996</v>
      </c>
      <c r="R829">
        <v>35765.606804199997</v>
      </c>
      <c r="S829">
        <v>-12.955766737799999</v>
      </c>
      <c r="T829">
        <v>-134.60848796900001</v>
      </c>
      <c r="U829">
        <v>0</v>
      </c>
      <c r="V829">
        <v>0</v>
      </c>
    </row>
    <row r="830" spans="1:22" x14ac:dyDescent="0.2">
      <c r="A830"/>
      <c r="B830">
        <v>23437</v>
      </c>
      <c r="C830" t="s">
        <v>2950</v>
      </c>
      <c r="D830" t="s">
        <v>1195</v>
      </c>
      <c r="E830" t="s">
        <v>1198</v>
      </c>
      <c r="F830" t="s">
        <v>1915</v>
      </c>
      <c r="G830">
        <v>4539.5600000000004</v>
      </c>
      <c r="H830" t="s">
        <v>12</v>
      </c>
      <c r="Q830">
        <v>4385.36516708</v>
      </c>
      <c r="R830">
        <v>35749.788996099996</v>
      </c>
      <c r="S830">
        <v>-12.9579295187</v>
      </c>
      <c r="T830">
        <v>-134.49389087</v>
      </c>
      <c r="U830">
        <v>0</v>
      </c>
      <c r="V830">
        <v>0</v>
      </c>
    </row>
    <row r="831" spans="1:22" x14ac:dyDescent="0.2">
      <c r="A831"/>
      <c r="B831">
        <v>23438</v>
      </c>
      <c r="C831" t="s">
        <v>2951</v>
      </c>
      <c r="D831" t="s">
        <v>1195</v>
      </c>
      <c r="E831" t="s">
        <v>1198</v>
      </c>
      <c r="F831" t="s">
        <v>2310</v>
      </c>
      <c r="G831">
        <v>4294.57</v>
      </c>
      <c r="H831" t="s">
        <v>1270</v>
      </c>
      <c r="Q831">
        <v>4506.6314549799999</v>
      </c>
      <c r="R831">
        <v>35883.948808599998</v>
      </c>
      <c r="S831">
        <v>-13.0086804346</v>
      </c>
      <c r="T831">
        <v>45.473315225</v>
      </c>
      <c r="U831">
        <v>0</v>
      </c>
      <c r="V831">
        <v>0</v>
      </c>
    </row>
    <row r="832" spans="1:22" x14ac:dyDescent="0.2">
      <c r="A832"/>
      <c r="B832">
        <v>23439</v>
      </c>
      <c r="C832" t="s">
        <v>2952</v>
      </c>
      <c r="D832" t="s">
        <v>1195</v>
      </c>
      <c r="E832" t="s">
        <v>1274</v>
      </c>
      <c r="F832" t="s">
        <v>2310</v>
      </c>
      <c r="G832">
        <v>4316.7700000000004</v>
      </c>
      <c r="H832" t="s">
        <v>1270</v>
      </c>
      <c r="Q832">
        <v>4491.0503554999996</v>
      </c>
      <c r="R832">
        <v>35868.139441899999</v>
      </c>
      <c r="S832">
        <v>-13.0102564511</v>
      </c>
      <c r="T832">
        <v>45.365946492399999</v>
      </c>
      <c r="U832">
        <v>0</v>
      </c>
      <c r="V832">
        <v>0</v>
      </c>
    </row>
    <row r="833" spans="1:22" x14ac:dyDescent="0.2">
      <c r="A833"/>
      <c r="B833">
        <v>23440</v>
      </c>
      <c r="C833" t="s">
        <v>2953</v>
      </c>
      <c r="D833" t="s">
        <v>1195</v>
      </c>
      <c r="E833" t="s">
        <v>1274</v>
      </c>
      <c r="F833" t="s">
        <v>2310</v>
      </c>
      <c r="G833">
        <v>4453.1499999999996</v>
      </c>
      <c r="H833" t="s">
        <v>12</v>
      </c>
      <c r="Q833">
        <v>4397.3479740000002</v>
      </c>
      <c r="R833">
        <v>35769.0015136</v>
      </c>
      <c r="S833">
        <v>-12.977038630799999</v>
      </c>
      <c r="T833">
        <v>-134.658314569</v>
      </c>
      <c r="U833">
        <v>0</v>
      </c>
      <c r="V833">
        <v>0</v>
      </c>
    </row>
    <row r="834" spans="1:22" x14ac:dyDescent="0.2">
      <c r="A834"/>
      <c r="B834">
        <v>23441</v>
      </c>
      <c r="C834" t="s">
        <v>2954</v>
      </c>
      <c r="D834" t="s">
        <v>1195</v>
      </c>
      <c r="E834" t="s">
        <v>1198</v>
      </c>
      <c r="F834" t="s">
        <v>2310</v>
      </c>
      <c r="G834">
        <v>4475.3500000000004</v>
      </c>
      <c r="H834" t="s">
        <v>12</v>
      </c>
      <c r="Q834">
        <v>4381.7690805399998</v>
      </c>
      <c r="R834">
        <v>35753.192056300002</v>
      </c>
      <c r="S834">
        <v>-12.984327349999999</v>
      </c>
      <c r="T834">
        <v>-134.497997145</v>
      </c>
      <c r="U834">
        <v>0</v>
      </c>
      <c r="V834">
        <v>0</v>
      </c>
    </row>
    <row r="835" spans="1:22" x14ac:dyDescent="0.2">
      <c r="A835"/>
      <c r="B835">
        <v>23442</v>
      </c>
      <c r="C835" t="s">
        <v>2955</v>
      </c>
      <c r="D835" t="s">
        <v>1195</v>
      </c>
      <c r="E835" t="s">
        <v>1198</v>
      </c>
      <c r="F835" t="s">
        <v>1915</v>
      </c>
      <c r="G835">
        <v>5405.22</v>
      </c>
      <c r="H835" t="s">
        <v>1270</v>
      </c>
      <c r="Q835">
        <v>4133.2385956600001</v>
      </c>
      <c r="R835">
        <v>34957.066077000003</v>
      </c>
      <c r="S835">
        <v>-11.2421339953</v>
      </c>
      <c r="T835">
        <v>91.103279400900007</v>
      </c>
      <c r="U835">
        <v>0</v>
      </c>
      <c r="V835">
        <v>0</v>
      </c>
    </row>
    <row r="836" spans="1:22" x14ac:dyDescent="0.2">
      <c r="A836"/>
      <c r="B836">
        <v>23443</v>
      </c>
      <c r="C836" t="s">
        <v>2956</v>
      </c>
      <c r="D836" t="s">
        <v>1195</v>
      </c>
      <c r="E836" t="s">
        <v>1274</v>
      </c>
      <c r="F836" t="s">
        <v>1915</v>
      </c>
      <c r="G836">
        <v>5427.42</v>
      </c>
      <c r="H836" t="s">
        <v>1270</v>
      </c>
      <c r="Q836">
        <v>4133.6732749399998</v>
      </c>
      <c r="R836">
        <v>34934.869589900001</v>
      </c>
      <c r="S836">
        <v>-11.136250281800001</v>
      </c>
      <c r="T836">
        <v>91.140281950299993</v>
      </c>
      <c r="U836">
        <v>0</v>
      </c>
      <c r="V836">
        <v>0</v>
      </c>
    </row>
    <row r="837" spans="1:22" x14ac:dyDescent="0.2">
      <c r="A837"/>
      <c r="B837">
        <v>23444</v>
      </c>
      <c r="C837" t="s">
        <v>2957</v>
      </c>
      <c r="D837" t="s">
        <v>1195</v>
      </c>
      <c r="E837" t="s">
        <v>1274</v>
      </c>
      <c r="F837" t="s">
        <v>1915</v>
      </c>
      <c r="G837">
        <v>5563.75</v>
      </c>
      <c r="H837" t="s">
        <v>12</v>
      </c>
      <c r="Q837">
        <v>4143.0188134</v>
      </c>
      <c r="R837">
        <v>34798.884819799998</v>
      </c>
      <c r="S837">
        <v>-11.135387061199999</v>
      </c>
      <c r="T837">
        <v>-85.256242471899995</v>
      </c>
      <c r="U837">
        <v>0</v>
      </c>
      <c r="V837">
        <v>0</v>
      </c>
    </row>
    <row r="838" spans="1:22" x14ac:dyDescent="0.2">
      <c r="A838"/>
      <c r="B838">
        <v>23445</v>
      </c>
      <c r="C838" t="s">
        <v>2958</v>
      </c>
      <c r="D838" t="s">
        <v>1195</v>
      </c>
      <c r="E838" t="s">
        <v>1198</v>
      </c>
      <c r="F838" t="s">
        <v>1915</v>
      </c>
      <c r="G838">
        <v>5585.95</v>
      </c>
      <c r="H838" t="s">
        <v>12</v>
      </c>
      <c r="Q838">
        <v>4144.8824251200003</v>
      </c>
      <c r="R838">
        <v>34776.765408400002</v>
      </c>
      <c r="S838">
        <v>-11.140311066900001</v>
      </c>
      <c r="T838">
        <v>-85.176832438700004</v>
      </c>
      <c r="U838">
        <v>0</v>
      </c>
      <c r="V838">
        <v>0</v>
      </c>
    </row>
    <row r="839" spans="1:22" x14ac:dyDescent="0.2">
      <c r="A839"/>
      <c r="B839">
        <v>23446</v>
      </c>
      <c r="C839" t="s">
        <v>2959</v>
      </c>
      <c r="D839" t="s">
        <v>1195</v>
      </c>
      <c r="E839" t="s">
        <v>1198</v>
      </c>
      <c r="F839" t="s">
        <v>2310</v>
      </c>
      <c r="G839">
        <v>5525.83</v>
      </c>
      <c r="H839" t="s">
        <v>12</v>
      </c>
      <c r="Q839">
        <v>4139.9539322099999</v>
      </c>
      <c r="R839">
        <v>34776.439015000004</v>
      </c>
      <c r="S839">
        <v>-11.1583675131</v>
      </c>
      <c r="T839">
        <v>-85.215587771800003</v>
      </c>
      <c r="U839">
        <v>0</v>
      </c>
      <c r="V839">
        <v>0</v>
      </c>
    </row>
    <row r="840" spans="1:22" x14ac:dyDescent="0.2">
      <c r="A840"/>
      <c r="B840">
        <v>23447</v>
      </c>
      <c r="C840" t="s">
        <v>2960</v>
      </c>
      <c r="D840" t="s">
        <v>1195</v>
      </c>
      <c r="E840" t="s">
        <v>1274</v>
      </c>
      <c r="F840" t="s">
        <v>2310</v>
      </c>
      <c r="G840">
        <v>5503.63</v>
      </c>
      <c r="H840" t="s">
        <v>12</v>
      </c>
      <c r="Q840">
        <v>4138.0871411500002</v>
      </c>
      <c r="R840">
        <v>34798.5605459</v>
      </c>
      <c r="S840">
        <v>-11.1620701497</v>
      </c>
      <c r="T840">
        <v>-85.209844290600003</v>
      </c>
      <c r="U840">
        <v>0</v>
      </c>
      <c r="V840">
        <v>0</v>
      </c>
    </row>
    <row r="841" spans="1:22" x14ac:dyDescent="0.2">
      <c r="A841"/>
      <c r="B841">
        <v>23448</v>
      </c>
      <c r="C841" t="s">
        <v>2961</v>
      </c>
      <c r="D841" t="s">
        <v>1195</v>
      </c>
      <c r="E841" t="s">
        <v>1274</v>
      </c>
      <c r="F841" t="s">
        <v>2310</v>
      </c>
      <c r="G841">
        <v>5367.22</v>
      </c>
      <c r="H841" t="s">
        <v>1270</v>
      </c>
      <c r="Q841">
        <v>4128.7326091799996</v>
      </c>
      <c r="R841">
        <v>34934.623645400003</v>
      </c>
      <c r="S841">
        <v>-11.177558592900001</v>
      </c>
      <c r="T841">
        <v>91.121535748100001</v>
      </c>
      <c r="U841">
        <v>0</v>
      </c>
      <c r="V841">
        <v>0</v>
      </c>
    </row>
    <row r="842" spans="1:22" x14ac:dyDescent="0.2">
      <c r="A842"/>
      <c r="B842">
        <v>23449</v>
      </c>
      <c r="C842" t="s">
        <v>2962</v>
      </c>
      <c r="D842" t="s">
        <v>1195</v>
      </c>
      <c r="E842" t="s">
        <v>1198</v>
      </c>
      <c r="F842" t="s">
        <v>2310</v>
      </c>
      <c r="G842">
        <v>5345.02</v>
      </c>
      <c r="H842" t="s">
        <v>1270</v>
      </c>
      <c r="Q842">
        <v>4128.3020791899999</v>
      </c>
      <c r="R842">
        <v>34956.819758999998</v>
      </c>
      <c r="S842">
        <v>-11.284696092300001</v>
      </c>
      <c r="T842">
        <v>91.100596917199994</v>
      </c>
      <c r="U842">
        <v>0</v>
      </c>
      <c r="V842">
        <v>0</v>
      </c>
    </row>
    <row r="843" spans="1:22" x14ac:dyDescent="0.2">
      <c r="A843"/>
      <c r="B843">
        <v>23450</v>
      </c>
      <c r="C843" t="s">
        <v>2963</v>
      </c>
      <c r="D843" t="s">
        <v>1195</v>
      </c>
      <c r="E843" t="s">
        <v>1198</v>
      </c>
      <c r="F843" t="s">
        <v>1915</v>
      </c>
      <c r="G843">
        <v>6526.58</v>
      </c>
      <c r="H843" t="s">
        <v>12</v>
      </c>
      <c r="Q843">
        <v>4096.53296159</v>
      </c>
      <c r="R843">
        <v>33838.163405500003</v>
      </c>
      <c r="S843">
        <v>-10.778950608900001</v>
      </c>
      <c r="T843">
        <v>-91.466462311300006</v>
      </c>
      <c r="U843">
        <v>0</v>
      </c>
      <c r="V843">
        <v>0</v>
      </c>
    </row>
    <row r="844" spans="1:22" x14ac:dyDescent="0.2">
      <c r="A844"/>
      <c r="B844">
        <v>23451</v>
      </c>
      <c r="C844" t="s">
        <v>2964</v>
      </c>
      <c r="D844" t="s">
        <v>1195</v>
      </c>
      <c r="E844" t="s">
        <v>1274</v>
      </c>
      <c r="F844" t="s">
        <v>1915</v>
      </c>
      <c r="G844">
        <v>6504.38</v>
      </c>
      <c r="H844" t="s">
        <v>12</v>
      </c>
      <c r="Q844">
        <v>4097.0870039900001</v>
      </c>
      <c r="R844">
        <v>33860.358516799999</v>
      </c>
      <c r="S844">
        <v>-10.7802840832</v>
      </c>
      <c r="T844">
        <v>-91.393445586799999</v>
      </c>
      <c r="U844">
        <v>0</v>
      </c>
      <c r="V844">
        <v>0</v>
      </c>
    </row>
    <row r="845" spans="1:22" x14ac:dyDescent="0.2">
      <c r="A845"/>
      <c r="B845">
        <v>23452</v>
      </c>
      <c r="C845" t="s">
        <v>2965</v>
      </c>
      <c r="D845" t="s">
        <v>1195</v>
      </c>
      <c r="E845" t="s">
        <v>1274</v>
      </c>
      <c r="F845" t="s">
        <v>1915</v>
      </c>
      <c r="G845">
        <v>6368.13</v>
      </c>
      <c r="H845" t="s">
        <v>1270</v>
      </c>
      <c r="Q845">
        <v>4096.9938186199997</v>
      </c>
      <c r="R845">
        <v>33996.649390099999</v>
      </c>
      <c r="S845">
        <v>-10.7947893438</v>
      </c>
      <c r="T845">
        <v>88.660733971799999</v>
      </c>
      <c r="U845">
        <v>0</v>
      </c>
      <c r="V845">
        <v>0</v>
      </c>
    </row>
    <row r="846" spans="1:22" x14ac:dyDescent="0.2">
      <c r="A846"/>
      <c r="B846">
        <v>23453</v>
      </c>
      <c r="C846" t="s">
        <v>2966</v>
      </c>
      <c r="D846" t="s">
        <v>1195</v>
      </c>
      <c r="E846" t="s">
        <v>1198</v>
      </c>
      <c r="F846" t="s">
        <v>1915</v>
      </c>
      <c r="G846">
        <v>6345.93</v>
      </c>
      <c r="H846" t="s">
        <v>1270</v>
      </c>
      <c r="Q846">
        <v>4097.5235140799996</v>
      </c>
      <c r="R846">
        <v>34018.844712300001</v>
      </c>
      <c r="S846">
        <v>-10.795329223</v>
      </c>
      <c r="T846">
        <v>88.601898250600001</v>
      </c>
      <c r="U846">
        <v>0</v>
      </c>
      <c r="V846">
        <v>0</v>
      </c>
    </row>
    <row r="847" spans="1:22" x14ac:dyDescent="0.2">
      <c r="A847"/>
      <c r="B847">
        <v>23454</v>
      </c>
      <c r="C847" t="s">
        <v>2967</v>
      </c>
      <c r="D847" t="s">
        <v>1195</v>
      </c>
      <c r="E847" t="s">
        <v>1198</v>
      </c>
      <c r="F847" t="s">
        <v>2310</v>
      </c>
      <c r="G847">
        <v>6466.06</v>
      </c>
      <c r="H847" t="s">
        <v>12</v>
      </c>
      <c r="Q847">
        <v>4091.5941754199998</v>
      </c>
      <c r="R847">
        <v>33838.236273000002</v>
      </c>
      <c r="S847">
        <v>-10.8112997314</v>
      </c>
      <c r="T847">
        <v>-91.440347974600002</v>
      </c>
      <c r="U847">
        <v>0</v>
      </c>
      <c r="V847">
        <v>0</v>
      </c>
    </row>
    <row r="848" spans="1:22" x14ac:dyDescent="0.2">
      <c r="A848"/>
      <c r="B848">
        <v>23455</v>
      </c>
      <c r="C848" t="s">
        <v>2968</v>
      </c>
      <c r="D848" t="s">
        <v>1195</v>
      </c>
      <c r="E848" t="s">
        <v>1274</v>
      </c>
      <c r="F848" t="s">
        <v>2310</v>
      </c>
      <c r="G848">
        <v>6443.86</v>
      </c>
      <c r="H848" t="s">
        <v>12</v>
      </c>
      <c r="Q848">
        <v>4092.1317569399998</v>
      </c>
      <c r="R848">
        <v>33860.432292199999</v>
      </c>
      <c r="S848">
        <v>-10.823090774200001</v>
      </c>
      <c r="T848">
        <v>-91.349358358299995</v>
      </c>
      <c r="U848">
        <v>0</v>
      </c>
      <c r="V848">
        <v>0</v>
      </c>
    </row>
    <row r="849" spans="1:22" x14ac:dyDescent="0.2">
      <c r="A849"/>
      <c r="B849">
        <v>23456</v>
      </c>
      <c r="C849" t="s">
        <v>2969</v>
      </c>
      <c r="D849" t="s">
        <v>1195</v>
      </c>
      <c r="E849" t="s">
        <v>1274</v>
      </c>
      <c r="F849" t="s">
        <v>2310</v>
      </c>
      <c r="G849">
        <v>6307.56</v>
      </c>
      <c r="H849" t="s">
        <v>1270</v>
      </c>
      <c r="Q849">
        <v>4092.0739635300001</v>
      </c>
      <c r="R849">
        <v>33996.771633099997</v>
      </c>
      <c r="S849">
        <v>-10.8103438651</v>
      </c>
      <c r="T849">
        <v>88.643461458900006</v>
      </c>
      <c r="U849">
        <v>0</v>
      </c>
      <c r="V849">
        <v>0</v>
      </c>
    </row>
    <row r="850" spans="1:22" x14ac:dyDescent="0.2">
      <c r="A850"/>
      <c r="B850">
        <v>23457</v>
      </c>
      <c r="C850" t="s">
        <v>2970</v>
      </c>
      <c r="D850" t="s">
        <v>1195</v>
      </c>
      <c r="E850" t="s">
        <v>1198</v>
      </c>
      <c r="F850" t="s">
        <v>2310</v>
      </c>
      <c r="G850">
        <v>6285.36</v>
      </c>
      <c r="H850" t="s">
        <v>1270</v>
      </c>
      <c r="Q850">
        <v>4092.6065582299998</v>
      </c>
      <c r="R850">
        <v>34018.966294099999</v>
      </c>
      <c r="S850">
        <v>-10.8066848569</v>
      </c>
      <c r="T850">
        <v>88.605560384900002</v>
      </c>
      <c r="U850">
        <v>0</v>
      </c>
      <c r="V850">
        <v>0</v>
      </c>
    </row>
    <row r="851" spans="1:22" x14ac:dyDescent="0.2">
      <c r="A851"/>
      <c r="B851">
        <v>23458</v>
      </c>
      <c r="C851" t="s">
        <v>2971</v>
      </c>
      <c r="D851" t="s">
        <v>1195</v>
      </c>
      <c r="E851" t="s">
        <v>1198</v>
      </c>
      <c r="F851" t="s">
        <v>1915</v>
      </c>
      <c r="G851">
        <v>7424.1</v>
      </c>
      <c r="H851" t="s">
        <v>1270</v>
      </c>
      <c r="Q851">
        <v>3731.67793209</v>
      </c>
      <c r="R851">
        <v>33053.303595400001</v>
      </c>
      <c r="S851">
        <v>-11.2840078875</v>
      </c>
      <c r="T851">
        <v>47.205750069600001</v>
      </c>
      <c r="U851">
        <v>0</v>
      </c>
      <c r="V851">
        <v>0</v>
      </c>
    </row>
    <row r="852" spans="1:22" x14ac:dyDescent="0.2">
      <c r="A852"/>
      <c r="B852">
        <v>23459</v>
      </c>
      <c r="C852" t="s">
        <v>2972</v>
      </c>
      <c r="D852" t="s">
        <v>1195</v>
      </c>
      <c r="E852" t="s">
        <v>1274</v>
      </c>
      <c r="F852" t="s">
        <v>1915</v>
      </c>
      <c r="G852">
        <v>7446.3</v>
      </c>
      <c r="H852" t="s">
        <v>1270</v>
      </c>
      <c r="Q852">
        <v>3716.63749336</v>
      </c>
      <c r="R852">
        <v>33036.961069600002</v>
      </c>
      <c r="S852">
        <v>-11.277227026</v>
      </c>
      <c r="T852">
        <v>47.572383060699998</v>
      </c>
      <c r="U852">
        <v>0</v>
      </c>
      <c r="V852">
        <v>0</v>
      </c>
    </row>
    <row r="853" spans="1:22" x14ac:dyDescent="0.2">
      <c r="A853"/>
      <c r="B853">
        <v>23460</v>
      </c>
      <c r="C853" t="s">
        <v>2973</v>
      </c>
      <c r="D853" t="s">
        <v>1195</v>
      </c>
      <c r="E853" t="s">
        <v>1274</v>
      </c>
      <c r="F853" t="s">
        <v>1915</v>
      </c>
      <c r="G853">
        <v>7582.71</v>
      </c>
      <c r="H853" t="s">
        <v>12</v>
      </c>
      <c r="Q853">
        <v>3632.7957495700002</v>
      </c>
      <c r="R853">
        <v>32929.464897899998</v>
      </c>
      <c r="S853">
        <v>-11.277969298</v>
      </c>
      <c r="T853">
        <v>-125.51326577499999</v>
      </c>
      <c r="U853">
        <v>0</v>
      </c>
      <c r="V853">
        <v>0</v>
      </c>
    </row>
    <row r="854" spans="1:22" x14ac:dyDescent="0.2">
      <c r="A854"/>
      <c r="B854">
        <v>23461</v>
      </c>
      <c r="C854" t="s">
        <v>2974</v>
      </c>
      <c r="D854" t="s">
        <v>1195</v>
      </c>
      <c r="E854" t="s">
        <v>1198</v>
      </c>
      <c r="F854" t="s">
        <v>1915</v>
      </c>
      <c r="G854">
        <v>7604.91</v>
      </c>
      <c r="H854" t="s">
        <v>12</v>
      </c>
      <c r="Q854">
        <v>3620.0058420800001</v>
      </c>
      <c r="R854">
        <v>32911.335455499997</v>
      </c>
      <c r="S854">
        <v>-11.2883322969</v>
      </c>
      <c r="T854">
        <v>-125.04650064099999</v>
      </c>
      <c r="U854">
        <v>0</v>
      </c>
      <c r="V854">
        <v>0</v>
      </c>
    </row>
    <row r="855" spans="1:22" x14ac:dyDescent="0.2">
      <c r="A855"/>
      <c r="B855">
        <v>23462</v>
      </c>
      <c r="C855" t="s">
        <v>2975</v>
      </c>
      <c r="D855" t="s">
        <v>1195</v>
      </c>
      <c r="E855" t="s">
        <v>1198</v>
      </c>
      <c r="F855" t="s">
        <v>2310</v>
      </c>
      <c r="G855">
        <v>7541.49</v>
      </c>
      <c r="H855" t="s">
        <v>12</v>
      </c>
      <c r="Q855">
        <v>3615.9593744700001</v>
      </c>
      <c r="R855">
        <v>32914.097392000003</v>
      </c>
      <c r="S855">
        <v>-11.305176985999999</v>
      </c>
      <c r="T855">
        <v>-125.121528036</v>
      </c>
      <c r="U855">
        <v>0</v>
      </c>
      <c r="V855">
        <v>0</v>
      </c>
    </row>
    <row r="856" spans="1:22" x14ac:dyDescent="0.2">
      <c r="A856"/>
      <c r="B856">
        <v>23463</v>
      </c>
      <c r="C856" t="s">
        <v>2976</v>
      </c>
      <c r="D856" t="s">
        <v>1195</v>
      </c>
      <c r="E856" t="s">
        <v>1274</v>
      </c>
      <c r="F856" t="s">
        <v>2310</v>
      </c>
      <c r="G856">
        <v>7519.29</v>
      </c>
      <c r="H856" t="s">
        <v>12</v>
      </c>
      <c r="Q856">
        <v>3628.7758315800002</v>
      </c>
      <c r="R856">
        <v>32932.2115748</v>
      </c>
      <c r="S856">
        <v>-11.3174800409</v>
      </c>
      <c r="T856">
        <v>-125.486972135</v>
      </c>
      <c r="U856">
        <v>0</v>
      </c>
      <c r="V856">
        <v>0</v>
      </c>
    </row>
    <row r="857" spans="1:22" x14ac:dyDescent="0.2">
      <c r="A857"/>
      <c r="B857">
        <v>23464</v>
      </c>
      <c r="C857" t="s">
        <v>2977</v>
      </c>
      <c r="D857" t="s">
        <v>1195</v>
      </c>
      <c r="E857" t="s">
        <v>1274</v>
      </c>
      <c r="F857" t="s">
        <v>2310</v>
      </c>
      <c r="G857">
        <v>7382.26</v>
      </c>
      <c r="H857" t="s">
        <v>1270</v>
      </c>
      <c r="Q857">
        <v>3712.9958573499998</v>
      </c>
      <c r="R857">
        <v>33040.190352099999</v>
      </c>
      <c r="S857">
        <v>-11.3094196643</v>
      </c>
      <c r="T857">
        <v>47.5157844557</v>
      </c>
      <c r="U857">
        <v>0</v>
      </c>
      <c r="V857">
        <v>0</v>
      </c>
    </row>
    <row r="858" spans="1:22" x14ac:dyDescent="0.2">
      <c r="A858"/>
      <c r="B858">
        <v>23465</v>
      </c>
      <c r="C858" t="s">
        <v>2978</v>
      </c>
      <c r="D858" t="s">
        <v>1195</v>
      </c>
      <c r="E858" t="s">
        <v>1198</v>
      </c>
      <c r="F858" t="s">
        <v>2310</v>
      </c>
      <c r="G858">
        <v>7360.06</v>
      </c>
      <c r="H858" t="s">
        <v>1270</v>
      </c>
      <c r="Q858">
        <v>3728.0288053999998</v>
      </c>
      <c r="R858">
        <v>33056.534343200001</v>
      </c>
      <c r="S858">
        <v>-11.3136023264</v>
      </c>
      <c r="T858">
        <v>47.293123474200002</v>
      </c>
      <c r="U858">
        <v>0</v>
      </c>
      <c r="V858">
        <v>0</v>
      </c>
    </row>
    <row r="859" spans="1:22" x14ac:dyDescent="0.2">
      <c r="A859"/>
      <c r="B859">
        <v>23466</v>
      </c>
      <c r="C859" t="s">
        <v>2979</v>
      </c>
      <c r="D859" t="s">
        <v>1195</v>
      </c>
      <c r="E859" t="s">
        <v>1198</v>
      </c>
      <c r="F859" t="s">
        <v>2316</v>
      </c>
      <c r="G859">
        <v>392.54</v>
      </c>
      <c r="H859" t="s">
        <v>12</v>
      </c>
      <c r="Q859">
        <v>3354.0576198399999</v>
      </c>
      <c r="R859">
        <v>32080.3255961</v>
      </c>
      <c r="S859">
        <v>-10.7736171285</v>
      </c>
      <c r="T859">
        <v>-104.616855594</v>
      </c>
      <c r="U859">
        <v>0</v>
      </c>
      <c r="V859">
        <v>0</v>
      </c>
    </row>
    <row r="860" spans="1:22" x14ac:dyDescent="0.2">
      <c r="A860"/>
      <c r="B860">
        <v>23467</v>
      </c>
      <c r="C860" t="s">
        <v>2980</v>
      </c>
      <c r="D860" t="s">
        <v>1195</v>
      </c>
      <c r="E860" t="s">
        <v>1274</v>
      </c>
      <c r="F860" t="s">
        <v>2316</v>
      </c>
      <c r="G860">
        <v>370.34</v>
      </c>
      <c r="H860" t="s">
        <v>12</v>
      </c>
      <c r="Q860">
        <v>3359.6380565499999</v>
      </c>
      <c r="R860">
        <v>32101.8167827</v>
      </c>
      <c r="S860">
        <v>-10.7701582132</v>
      </c>
      <c r="T860">
        <v>-104.477638085</v>
      </c>
      <c r="U860">
        <v>0</v>
      </c>
      <c r="V860">
        <v>0</v>
      </c>
    </row>
    <row r="861" spans="1:22" x14ac:dyDescent="0.2">
      <c r="A861"/>
      <c r="B861">
        <v>23468</v>
      </c>
      <c r="C861" t="s">
        <v>2981</v>
      </c>
      <c r="D861" t="s">
        <v>1195</v>
      </c>
      <c r="E861" t="s">
        <v>1274</v>
      </c>
      <c r="F861" t="s">
        <v>2316</v>
      </c>
      <c r="G861">
        <v>233.74</v>
      </c>
      <c r="H861" t="s">
        <v>1270</v>
      </c>
      <c r="Q861">
        <v>3386.1134457100002</v>
      </c>
      <c r="R861">
        <v>32235.7875222</v>
      </c>
      <c r="S861">
        <v>-10.7735866648</v>
      </c>
      <c r="T861">
        <v>80.036112628500007</v>
      </c>
      <c r="U861">
        <v>0</v>
      </c>
      <c r="V861">
        <v>0</v>
      </c>
    </row>
    <row r="862" spans="1:22" x14ac:dyDescent="0.2">
      <c r="A862"/>
      <c r="B862">
        <v>23469</v>
      </c>
      <c r="C862" t="s">
        <v>2982</v>
      </c>
      <c r="D862" t="s">
        <v>1195</v>
      </c>
      <c r="E862" t="s">
        <v>1198</v>
      </c>
      <c r="F862" t="s">
        <v>2316</v>
      </c>
      <c r="G862">
        <v>211.54</v>
      </c>
      <c r="H862" t="s">
        <v>1270</v>
      </c>
      <c r="Q862">
        <v>3389.9387510900001</v>
      </c>
      <c r="R862">
        <v>32257.6532119</v>
      </c>
      <c r="S862">
        <v>-10.7776920811</v>
      </c>
      <c r="T862">
        <v>80.1156057245</v>
      </c>
      <c r="U862">
        <v>0</v>
      </c>
      <c r="V862">
        <v>0</v>
      </c>
    </row>
    <row r="863" spans="1:22" x14ac:dyDescent="0.2">
      <c r="A863"/>
      <c r="B863">
        <v>23470</v>
      </c>
      <c r="C863" t="s">
        <v>2983</v>
      </c>
      <c r="D863" t="s">
        <v>1195</v>
      </c>
      <c r="E863" t="s">
        <v>1198</v>
      </c>
      <c r="F863" t="s">
        <v>2325</v>
      </c>
      <c r="G863">
        <v>307.85000000000002</v>
      </c>
      <c r="H863" t="s">
        <v>12</v>
      </c>
      <c r="Q863">
        <v>3349.1236092499998</v>
      </c>
      <c r="R863">
        <v>32081.2241158</v>
      </c>
      <c r="S863">
        <v>-10.798164525100001</v>
      </c>
      <c r="T863">
        <v>-104.726174133</v>
      </c>
      <c r="U863">
        <v>0</v>
      </c>
      <c r="V863">
        <v>0</v>
      </c>
    </row>
    <row r="864" spans="1:22" x14ac:dyDescent="0.2">
      <c r="A864"/>
      <c r="B864">
        <v>23471</v>
      </c>
      <c r="C864" t="s">
        <v>2984</v>
      </c>
      <c r="D864" t="s">
        <v>1195</v>
      </c>
      <c r="E864" t="s">
        <v>1274</v>
      </c>
      <c r="F864" t="s">
        <v>2325</v>
      </c>
      <c r="G864">
        <v>285.64999999999998</v>
      </c>
      <c r="H864" t="s">
        <v>12</v>
      </c>
      <c r="Q864">
        <v>3354.7556166499999</v>
      </c>
      <c r="R864">
        <v>32102.700715200001</v>
      </c>
      <c r="S864">
        <v>-10.7968356722</v>
      </c>
      <c r="T864">
        <v>-104.626197559</v>
      </c>
      <c r="U864">
        <v>0</v>
      </c>
      <c r="V864">
        <v>0</v>
      </c>
    </row>
    <row r="865" spans="1:22" x14ac:dyDescent="0.2">
      <c r="A865"/>
      <c r="B865">
        <v>23472</v>
      </c>
      <c r="C865" t="s">
        <v>2985</v>
      </c>
      <c r="D865" t="s">
        <v>1195</v>
      </c>
      <c r="E865" t="s">
        <v>1274</v>
      </c>
      <c r="F865" t="s">
        <v>2325</v>
      </c>
      <c r="G865">
        <v>148.88999999999999</v>
      </c>
      <c r="H865" t="s">
        <v>1270</v>
      </c>
      <c r="Q865">
        <v>3381.3095557400002</v>
      </c>
      <c r="R865">
        <v>32236.828920200001</v>
      </c>
      <c r="S865">
        <v>-10.8007564545</v>
      </c>
      <c r="T865">
        <v>79.922755007700005</v>
      </c>
      <c r="U865">
        <v>0</v>
      </c>
      <c r="V865">
        <v>0</v>
      </c>
    </row>
    <row r="866" spans="1:22" x14ac:dyDescent="0.2">
      <c r="A866"/>
      <c r="B866">
        <v>23473</v>
      </c>
      <c r="C866" t="s">
        <v>2986</v>
      </c>
      <c r="D866" t="s">
        <v>1195</v>
      </c>
      <c r="E866" t="s">
        <v>1198</v>
      </c>
      <c r="F866" t="s">
        <v>2325</v>
      </c>
      <c r="G866">
        <v>126.69</v>
      </c>
      <c r="H866" t="s">
        <v>1270</v>
      </c>
      <c r="Q866">
        <v>3385.1610836099999</v>
      </c>
      <c r="R866">
        <v>32258.687469699998</v>
      </c>
      <c r="S866">
        <v>-10.803507740600001</v>
      </c>
      <c r="T866">
        <v>80.091485542800001</v>
      </c>
      <c r="U866">
        <v>0</v>
      </c>
      <c r="V866">
        <v>0</v>
      </c>
    </row>
    <row r="867" spans="1:22" x14ac:dyDescent="0.2">
      <c r="A867"/>
      <c r="B867">
        <v>23474</v>
      </c>
      <c r="C867" t="s">
        <v>2987</v>
      </c>
      <c r="D867" t="s">
        <v>1195</v>
      </c>
      <c r="E867" t="s">
        <v>1198</v>
      </c>
      <c r="F867" t="s">
        <v>2320</v>
      </c>
      <c r="G867">
        <v>967.78</v>
      </c>
      <c r="H867" t="s">
        <v>12</v>
      </c>
      <c r="Q867">
        <v>3209.9813985699998</v>
      </c>
      <c r="R867">
        <v>31053.018628599999</v>
      </c>
      <c r="S867">
        <v>-13.406875964199999</v>
      </c>
      <c r="T867">
        <v>-96.223400986100003</v>
      </c>
      <c r="U867">
        <v>0</v>
      </c>
      <c r="V867">
        <v>0</v>
      </c>
    </row>
    <row r="868" spans="1:22" x14ac:dyDescent="0.2">
      <c r="A868"/>
      <c r="B868">
        <v>23475</v>
      </c>
      <c r="C868" t="s">
        <v>2988</v>
      </c>
      <c r="D868" t="s">
        <v>1195</v>
      </c>
      <c r="E868" t="s">
        <v>1274</v>
      </c>
      <c r="F868" t="s">
        <v>2320</v>
      </c>
      <c r="G868">
        <v>945.58</v>
      </c>
      <c r="H868" t="s">
        <v>12</v>
      </c>
      <c r="Q868">
        <v>3212.40525493</v>
      </c>
      <c r="R868">
        <v>31075.082991700001</v>
      </c>
      <c r="S868">
        <v>-13.4085393723</v>
      </c>
      <c r="T868">
        <v>-96.327156873000007</v>
      </c>
      <c r="U868">
        <v>0</v>
      </c>
      <c r="V868">
        <v>0</v>
      </c>
    </row>
    <row r="869" spans="1:22" x14ac:dyDescent="0.2">
      <c r="A869"/>
      <c r="B869">
        <v>23476</v>
      </c>
      <c r="C869" t="s">
        <v>2989</v>
      </c>
      <c r="D869" t="s">
        <v>1195</v>
      </c>
      <c r="E869" t="s">
        <v>1274</v>
      </c>
      <c r="F869" t="s">
        <v>2320</v>
      </c>
      <c r="G869">
        <v>809.3</v>
      </c>
      <c r="H869" t="s">
        <v>1270</v>
      </c>
      <c r="Q869">
        <v>3224.6894756800002</v>
      </c>
      <c r="R869">
        <v>31210.8413062</v>
      </c>
      <c r="S869">
        <v>-13.407493275</v>
      </c>
      <c r="T869">
        <v>83.457285126900004</v>
      </c>
      <c r="U869">
        <v>0</v>
      </c>
      <c r="V869">
        <v>0</v>
      </c>
    </row>
    <row r="870" spans="1:22" x14ac:dyDescent="0.2">
      <c r="A870"/>
      <c r="B870">
        <v>23477</v>
      </c>
      <c r="C870" t="s">
        <v>2990</v>
      </c>
      <c r="D870" t="s">
        <v>1195</v>
      </c>
      <c r="E870" t="s">
        <v>1198</v>
      </c>
      <c r="F870" t="s">
        <v>2320</v>
      </c>
      <c r="G870">
        <v>787.1</v>
      </c>
      <c r="H870" t="s">
        <v>1270</v>
      </c>
      <c r="Q870">
        <v>3227.2088593799999</v>
      </c>
      <c r="R870">
        <v>31232.896316300001</v>
      </c>
      <c r="S870">
        <v>-13.394825625399999</v>
      </c>
      <c r="T870">
        <v>83.512737366099998</v>
      </c>
      <c r="U870">
        <v>0</v>
      </c>
      <c r="V870">
        <v>0</v>
      </c>
    </row>
    <row r="871" spans="1:22" x14ac:dyDescent="0.2">
      <c r="A871"/>
      <c r="B871">
        <v>23478</v>
      </c>
      <c r="C871" t="s">
        <v>2991</v>
      </c>
      <c r="D871" t="s">
        <v>1195</v>
      </c>
      <c r="E871" t="s">
        <v>1198</v>
      </c>
      <c r="F871" t="s">
        <v>2335</v>
      </c>
      <c r="G871">
        <v>632.79</v>
      </c>
      <c r="H871" t="s">
        <v>12</v>
      </c>
      <c r="Q871">
        <v>3205.0370188100001</v>
      </c>
      <c r="R871">
        <v>31053.502326900001</v>
      </c>
      <c r="S871">
        <v>-13.430939406</v>
      </c>
      <c r="T871">
        <v>-96.2361972944</v>
      </c>
      <c r="U871">
        <v>0</v>
      </c>
      <c r="V871">
        <v>0</v>
      </c>
    </row>
    <row r="872" spans="1:22" x14ac:dyDescent="0.2">
      <c r="A872"/>
      <c r="B872">
        <v>23479</v>
      </c>
      <c r="C872" t="s">
        <v>2992</v>
      </c>
      <c r="D872" t="s">
        <v>1195</v>
      </c>
      <c r="E872" t="s">
        <v>1274</v>
      </c>
      <c r="F872" t="s">
        <v>2335</v>
      </c>
      <c r="G872">
        <v>610.59</v>
      </c>
      <c r="H872" t="s">
        <v>12</v>
      </c>
      <c r="Q872">
        <v>3207.4622374</v>
      </c>
      <c r="R872">
        <v>31075.5673498</v>
      </c>
      <c r="S872">
        <v>-13.431084691900001</v>
      </c>
      <c r="T872">
        <v>-96.311217214199999</v>
      </c>
      <c r="U872">
        <v>0</v>
      </c>
      <c r="V872">
        <v>0</v>
      </c>
    </row>
    <row r="873" spans="1:22" x14ac:dyDescent="0.2">
      <c r="A873"/>
      <c r="B873">
        <v>23480</v>
      </c>
      <c r="C873" t="s">
        <v>2993</v>
      </c>
      <c r="D873" t="s">
        <v>1195</v>
      </c>
      <c r="E873" t="s">
        <v>1274</v>
      </c>
      <c r="F873" t="s">
        <v>2335</v>
      </c>
      <c r="G873">
        <v>474.27</v>
      </c>
      <c r="H873" t="s">
        <v>1270</v>
      </c>
      <c r="Q873">
        <v>3219.7705922700002</v>
      </c>
      <c r="R873">
        <v>31211.3634064</v>
      </c>
      <c r="S873">
        <v>-13.4424971169</v>
      </c>
      <c r="T873">
        <v>83.430580481899995</v>
      </c>
      <c r="U873">
        <v>0</v>
      </c>
      <c r="V873">
        <v>0</v>
      </c>
    </row>
    <row r="874" spans="1:22" x14ac:dyDescent="0.2">
      <c r="A874"/>
      <c r="B874">
        <v>23481</v>
      </c>
      <c r="C874" t="s">
        <v>2994</v>
      </c>
      <c r="D874" t="s">
        <v>1195</v>
      </c>
      <c r="E874" t="s">
        <v>1198</v>
      </c>
      <c r="F874" t="s">
        <v>2335</v>
      </c>
      <c r="G874">
        <v>452.07</v>
      </c>
      <c r="H874" t="s">
        <v>1270</v>
      </c>
      <c r="Q874">
        <v>3222.3027424299999</v>
      </c>
      <c r="R874">
        <v>31233.417274700001</v>
      </c>
      <c r="S874">
        <v>-13.429140138799999</v>
      </c>
      <c r="T874">
        <v>83.474569580999997</v>
      </c>
      <c r="U874">
        <v>0</v>
      </c>
      <c r="V874">
        <v>0</v>
      </c>
    </row>
    <row r="875" spans="1:22" x14ac:dyDescent="0.2">
      <c r="A875"/>
      <c r="B875">
        <v>23482</v>
      </c>
      <c r="C875" t="s">
        <v>2995</v>
      </c>
      <c r="D875" t="s">
        <v>1195</v>
      </c>
      <c r="E875" t="s">
        <v>1198</v>
      </c>
      <c r="F875" t="s">
        <v>2320</v>
      </c>
      <c r="G875">
        <v>2258.88</v>
      </c>
      <c r="H875" t="s">
        <v>12</v>
      </c>
      <c r="Q875">
        <v>3362.0837480099999</v>
      </c>
      <c r="R875">
        <v>29781.703249900002</v>
      </c>
      <c r="S875">
        <v>-14.6540640915</v>
      </c>
      <c r="T875">
        <v>-91.779909261499995</v>
      </c>
      <c r="U875">
        <v>0</v>
      </c>
      <c r="V875">
        <v>0</v>
      </c>
    </row>
    <row r="876" spans="1:22" x14ac:dyDescent="0.2">
      <c r="A876"/>
      <c r="B876">
        <v>23483</v>
      </c>
      <c r="C876" t="s">
        <v>2996</v>
      </c>
      <c r="D876" t="s">
        <v>1195</v>
      </c>
      <c r="E876" t="s">
        <v>1274</v>
      </c>
      <c r="F876" t="s">
        <v>2320</v>
      </c>
      <c r="G876">
        <v>2236.6799999999998</v>
      </c>
      <c r="H876" t="s">
        <v>12</v>
      </c>
      <c r="Q876">
        <v>3362.77839468</v>
      </c>
      <c r="R876">
        <v>29803.8916694</v>
      </c>
      <c r="S876">
        <v>-14.6466697622</v>
      </c>
      <c r="T876">
        <v>-91.805082192699999</v>
      </c>
      <c r="U876">
        <v>0</v>
      </c>
      <c r="V876">
        <v>0</v>
      </c>
    </row>
    <row r="877" spans="1:22" x14ac:dyDescent="0.2">
      <c r="A877"/>
      <c r="B877">
        <v>23484</v>
      </c>
      <c r="C877" t="s">
        <v>2997</v>
      </c>
      <c r="D877" t="s">
        <v>1195</v>
      </c>
      <c r="E877" t="s">
        <v>1274</v>
      </c>
      <c r="F877" t="s">
        <v>2320</v>
      </c>
      <c r="G877">
        <v>2100.4</v>
      </c>
      <c r="H877" t="s">
        <v>1270</v>
      </c>
      <c r="Q877">
        <v>3363.9341364900001</v>
      </c>
      <c r="R877">
        <v>29940.2032014</v>
      </c>
      <c r="S877">
        <v>-14.6510680855</v>
      </c>
      <c r="T877">
        <v>88.183771292100005</v>
      </c>
      <c r="U877">
        <v>0</v>
      </c>
      <c r="V877">
        <v>0</v>
      </c>
    </row>
    <row r="878" spans="1:22" x14ac:dyDescent="0.2">
      <c r="A878"/>
      <c r="B878">
        <v>23485</v>
      </c>
      <c r="C878" t="s">
        <v>2998</v>
      </c>
      <c r="D878" t="s">
        <v>1195</v>
      </c>
      <c r="E878" t="s">
        <v>1198</v>
      </c>
      <c r="F878" t="s">
        <v>2320</v>
      </c>
      <c r="G878">
        <v>2078.1999999999998</v>
      </c>
      <c r="H878" t="s">
        <v>1270</v>
      </c>
      <c r="Q878">
        <v>3364.6337692299999</v>
      </c>
      <c r="R878">
        <v>29962.391532400001</v>
      </c>
      <c r="S878">
        <v>-14.675115104</v>
      </c>
      <c r="T878">
        <v>88.205658441799997</v>
      </c>
      <c r="U878">
        <v>0</v>
      </c>
      <c r="V878">
        <v>0</v>
      </c>
    </row>
    <row r="879" spans="1:22" x14ac:dyDescent="0.2">
      <c r="A879"/>
      <c r="B879">
        <v>23486</v>
      </c>
      <c r="C879" t="s">
        <v>2999</v>
      </c>
      <c r="D879" t="s">
        <v>1195</v>
      </c>
      <c r="E879" t="s">
        <v>1198</v>
      </c>
      <c r="F879" t="s">
        <v>2335</v>
      </c>
      <c r="G879">
        <v>1924.25</v>
      </c>
      <c r="H879" t="s">
        <v>12</v>
      </c>
      <c r="Q879">
        <v>3357.1417661199998</v>
      </c>
      <c r="R879">
        <v>29781.830085400001</v>
      </c>
      <c r="S879">
        <v>-14.6780704711</v>
      </c>
      <c r="T879">
        <v>-91.778718411100002</v>
      </c>
      <c r="U879">
        <v>0</v>
      </c>
      <c r="V879">
        <v>0</v>
      </c>
    </row>
    <row r="880" spans="1:22" x14ac:dyDescent="0.2">
      <c r="A880"/>
      <c r="B880">
        <v>23487</v>
      </c>
      <c r="C880" t="s">
        <v>3000</v>
      </c>
      <c r="D880" t="s">
        <v>1195</v>
      </c>
      <c r="E880" t="s">
        <v>1274</v>
      </c>
      <c r="F880" t="s">
        <v>2335</v>
      </c>
      <c r="G880">
        <v>1902.05</v>
      </c>
      <c r="H880" t="s">
        <v>12</v>
      </c>
      <c r="Q880">
        <v>3357.8353499</v>
      </c>
      <c r="R880">
        <v>29804.0186268</v>
      </c>
      <c r="S880">
        <v>-14.665553110399999</v>
      </c>
      <c r="T880">
        <v>-91.800671795200003</v>
      </c>
      <c r="U880">
        <v>0</v>
      </c>
      <c r="V880">
        <v>0</v>
      </c>
    </row>
    <row r="881" spans="1:22" x14ac:dyDescent="0.2">
      <c r="A881"/>
      <c r="B881">
        <v>23488</v>
      </c>
      <c r="C881" t="s">
        <v>3001</v>
      </c>
      <c r="D881" t="s">
        <v>1195</v>
      </c>
      <c r="E881" t="s">
        <v>1274</v>
      </c>
      <c r="F881" t="s">
        <v>2335</v>
      </c>
      <c r="G881">
        <v>1765.75</v>
      </c>
      <c r="H881" t="s">
        <v>1270</v>
      </c>
      <c r="Q881">
        <v>3358.9827651000001</v>
      </c>
      <c r="R881">
        <v>29940.3504908</v>
      </c>
      <c r="S881">
        <v>-14.6522509835</v>
      </c>
      <c r="T881">
        <v>88.1773382019</v>
      </c>
      <c r="U881">
        <v>0</v>
      </c>
      <c r="V881">
        <v>0</v>
      </c>
    </row>
    <row r="882" spans="1:22" x14ac:dyDescent="0.2">
      <c r="A882"/>
      <c r="B882">
        <v>23489</v>
      </c>
      <c r="C882" t="s">
        <v>3002</v>
      </c>
      <c r="D882" t="s">
        <v>1195</v>
      </c>
      <c r="E882" t="s">
        <v>1198</v>
      </c>
      <c r="F882" t="s">
        <v>2335</v>
      </c>
      <c r="G882">
        <v>1743.55</v>
      </c>
      <c r="H882" t="s">
        <v>1270</v>
      </c>
      <c r="Q882">
        <v>3359.6858983500001</v>
      </c>
      <c r="R882">
        <v>29962.5387911</v>
      </c>
      <c r="S882">
        <v>-14.6960199029</v>
      </c>
      <c r="T882">
        <v>88.194968458100007</v>
      </c>
      <c r="U882">
        <v>0</v>
      </c>
      <c r="V882">
        <v>0</v>
      </c>
    </row>
    <row r="883" spans="1:22" x14ac:dyDescent="0.2">
      <c r="A883"/>
      <c r="B883">
        <v>23490</v>
      </c>
      <c r="C883" t="s">
        <v>3003</v>
      </c>
      <c r="D883" t="s">
        <v>1195</v>
      </c>
      <c r="E883" t="s">
        <v>1198</v>
      </c>
      <c r="F883" t="s">
        <v>2320</v>
      </c>
      <c r="G883">
        <v>3621.53</v>
      </c>
      <c r="H883" t="s">
        <v>12</v>
      </c>
      <c r="Q883">
        <v>3320.3181574499999</v>
      </c>
      <c r="R883">
        <v>28452.044002099999</v>
      </c>
      <c r="S883">
        <v>-14.538954867399999</v>
      </c>
      <c r="T883">
        <v>-113.150110412</v>
      </c>
      <c r="U883">
        <v>0</v>
      </c>
      <c r="V883">
        <v>0</v>
      </c>
    </row>
    <row r="884" spans="1:22" x14ac:dyDescent="0.2">
      <c r="A884"/>
      <c r="B884">
        <v>23491</v>
      </c>
      <c r="C884" t="s">
        <v>3004</v>
      </c>
      <c r="D884" t="s">
        <v>1195</v>
      </c>
      <c r="E884" t="s">
        <v>1274</v>
      </c>
      <c r="F884" t="s">
        <v>2320</v>
      </c>
      <c r="G884">
        <v>3599.33</v>
      </c>
      <c r="H884" t="s">
        <v>12</v>
      </c>
      <c r="Q884">
        <v>3329.0553353099999</v>
      </c>
      <c r="R884">
        <v>28472.450623799999</v>
      </c>
      <c r="S884">
        <v>-14.506039687099999</v>
      </c>
      <c r="T884">
        <v>-113.20554943800001</v>
      </c>
      <c r="U884">
        <v>0</v>
      </c>
      <c r="V884">
        <v>0</v>
      </c>
    </row>
    <row r="885" spans="1:22" x14ac:dyDescent="0.2">
      <c r="A885"/>
      <c r="B885">
        <v>23492</v>
      </c>
      <c r="C885" t="s">
        <v>3005</v>
      </c>
      <c r="D885" t="s">
        <v>1195</v>
      </c>
      <c r="E885" t="s">
        <v>1274</v>
      </c>
      <c r="F885" t="s">
        <v>2320</v>
      </c>
      <c r="G885">
        <v>3463.1</v>
      </c>
      <c r="H885" t="s">
        <v>1270</v>
      </c>
      <c r="Q885">
        <v>3379.9155628100002</v>
      </c>
      <c r="R885">
        <v>28598.867826999998</v>
      </c>
      <c r="S885">
        <v>-14.5004086188</v>
      </c>
      <c r="T885">
        <v>66.784060309699996</v>
      </c>
      <c r="U885">
        <v>0</v>
      </c>
      <c r="V885">
        <v>0</v>
      </c>
    </row>
    <row r="886" spans="1:22" x14ac:dyDescent="0.2">
      <c r="A886"/>
      <c r="B886">
        <v>23493</v>
      </c>
      <c r="C886" t="s">
        <v>3006</v>
      </c>
      <c r="D886" t="s">
        <v>1195</v>
      </c>
      <c r="E886" t="s">
        <v>1198</v>
      </c>
      <c r="F886" t="s">
        <v>2320</v>
      </c>
      <c r="G886">
        <v>3440.9</v>
      </c>
      <c r="H886" t="s">
        <v>1270</v>
      </c>
      <c r="Q886">
        <v>3388.6560235699999</v>
      </c>
      <c r="R886">
        <v>28619.2729521</v>
      </c>
      <c r="S886">
        <v>-14.5360982056</v>
      </c>
      <c r="T886">
        <v>66.843562947199999</v>
      </c>
      <c r="U886">
        <v>0</v>
      </c>
      <c r="V886">
        <v>0</v>
      </c>
    </row>
    <row r="887" spans="1:22" x14ac:dyDescent="0.2">
      <c r="A887"/>
      <c r="B887">
        <v>23494</v>
      </c>
      <c r="C887" t="s">
        <v>3007</v>
      </c>
      <c r="D887" t="s">
        <v>1195</v>
      </c>
      <c r="E887" t="s">
        <v>1198</v>
      </c>
      <c r="F887" t="s">
        <v>2335</v>
      </c>
      <c r="G887">
        <v>3285.08</v>
      </c>
      <c r="H887" t="s">
        <v>12</v>
      </c>
      <c r="Q887">
        <v>3315.74463646</v>
      </c>
      <c r="R887">
        <v>28453.943728400001</v>
      </c>
      <c r="S887">
        <v>-14.5563491588</v>
      </c>
      <c r="T887">
        <v>-113.102282206</v>
      </c>
      <c r="U887">
        <v>0</v>
      </c>
      <c r="V887">
        <v>0</v>
      </c>
    </row>
    <row r="888" spans="1:22" x14ac:dyDescent="0.2">
      <c r="A888"/>
      <c r="B888">
        <v>23495</v>
      </c>
      <c r="C888" t="s">
        <v>3008</v>
      </c>
      <c r="D888" t="s">
        <v>1195</v>
      </c>
      <c r="E888" t="s">
        <v>1274</v>
      </c>
      <c r="F888" t="s">
        <v>2335</v>
      </c>
      <c r="G888">
        <v>3262.88</v>
      </c>
      <c r="H888" t="s">
        <v>12</v>
      </c>
      <c r="Q888">
        <v>3324.4695882000001</v>
      </c>
      <c r="R888">
        <v>28474.3547101</v>
      </c>
      <c r="S888">
        <v>-14.5236900178</v>
      </c>
      <c r="T888">
        <v>-113.18694221</v>
      </c>
      <c r="U888">
        <v>0</v>
      </c>
      <c r="V888">
        <v>0</v>
      </c>
    </row>
    <row r="889" spans="1:22" x14ac:dyDescent="0.2">
      <c r="A889"/>
      <c r="B889">
        <v>23496</v>
      </c>
      <c r="C889" t="s">
        <v>3009</v>
      </c>
      <c r="D889" t="s">
        <v>1195</v>
      </c>
      <c r="E889" t="s">
        <v>1274</v>
      </c>
      <c r="F889" t="s">
        <v>2335</v>
      </c>
      <c r="G889">
        <v>3126.63</v>
      </c>
      <c r="H889" t="s">
        <v>1270</v>
      </c>
      <c r="Q889">
        <v>3375.3908025199999</v>
      </c>
      <c r="R889">
        <v>28600.767700100001</v>
      </c>
      <c r="S889">
        <v>-14.532149949600001</v>
      </c>
      <c r="T889">
        <v>66.757287580600007</v>
      </c>
      <c r="U889">
        <v>0</v>
      </c>
      <c r="V889">
        <v>0</v>
      </c>
    </row>
    <row r="890" spans="1:22" x14ac:dyDescent="0.2">
      <c r="A890"/>
      <c r="B890">
        <v>23497</v>
      </c>
      <c r="C890" t="s">
        <v>3010</v>
      </c>
      <c r="D890" t="s">
        <v>1195</v>
      </c>
      <c r="E890" t="s">
        <v>1198</v>
      </c>
      <c r="F890" t="s">
        <v>2335</v>
      </c>
      <c r="G890">
        <v>3104.43</v>
      </c>
      <c r="H890" t="s">
        <v>1270</v>
      </c>
      <c r="Q890">
        <v>3384.1387814499999</v>
      </c>
      <c r="R890">
        <v>28621.169266199999</v>
      </c>
      <c r="S890">
        <v>-14.568707381599999</v>
      </c>
      <c r="T890">
        <v>66.827277640800006</v>
      </c>
      <c r="U890">
        <v>0</v>
      </c>
      <c r="V890">
        <v>0</v>
      </c>
    </row>
    <row r="891" spans="1:22" x14ac:dyDescent="0.2">
      <c r="A891"/>
      <c r="B891">
        <v>23498</v>
      </c>
      <c r="C891" t="s">
        <v>3011</v>
      </c>
      <c r="D891" t="s">
        <v>1195</v>
      </c>
      <c r="E891" t="s">
        <v>1198</v>
      </c>
      <c r="F891" t="s">
        <v>2320</v>
      </c>
      <c r="G891">
        <v>4798.79</v>
      </c>
      <c r="H891" t="s">
        <v>12</v>
      </c>
      <c r="Q891">
        <v>3131.4550291</v>
      </c>
      <c r="R891">
        <v>27296.858559799999</v>
      </c>
      <c r="S891">
        <v>-14.431045064799999</v>
      </c>
      <c r="T891">
        <v>-91.812745883800005</v>
      </c>
      <c r="U891">
        <v>0</v>
      </c>
      <c r="V891">
        <v>0</v>
      </c>
    </row>
    <row r="892" spans="1:22" x14ac:dyDescent="0.2">
      <c r="A892"/>
      <c r="B892">
        <v>23499</v>
      </c>
      <c r="C892" t="s">
        <v>3012</v>
      </c>
      <c r="D892" t="s">
        <v>1195</v>
      </c>
      <c r="E892" t="s">
        <v>1274</v>
      </c>
      <c r="F892" t="s">
        <v>2320</v>
      </c>
      <c r="G892">
        <v>4776.59</v>
      </c>
      <c r="H892" t="s">
        <v>12</v>
      </c>
      <c r="Q892">
        <v>3132.18503031</v>
      </c>
      <c r="R892">
        <v>27319.0434804</v>
      </c>
      <c r="S892">
        <v>-14.4249686738</v>
      </c>
      <c r="T892">
        <v>-91.922603272200007</v>
      </c>
      <c r="U892">
        <v>0</v>
      </c>
      <c r="V892">
        <v>0</v>
      </c>
    </row>
    <row r="893" spans="1:22" x14ac:dyDescent="0.2">
      <c r="A893"/>
      <c r="B893">
        <v>23500</v>
      </c>
      <c r="C893" t="s">
        <v>3013</v>
      </c>
      <c r="D893" t="s">
        <v>1195</v>
      </c>
      <c r="E893" t="s">
        <v>1274</v>
      </c>
      <c r="F893" t="s">
        <v>2320</v>
      </c>
      <c r="G893">
        <v>4640.22</v>
      </c>
      <c r="H893" t="s">
        <v>1270</v>
      </c>
      <c r="Q893">
        <v>3136.4043184699999</v>
      </c>
      <c r="R893">
        <v>27455.404921099998</v>
      </c>
      <c r="S893">
        <v>-14.4310844109</v>
      </c>
      <c r="T893">
        <v>83.681101898799994</v>
      </c>
      <c r="U893">
        <v>0</v>
      </c>
      <c r="V893">
        <v>0</v>
      </c>
    </row>
    <row r="894" spans="1:22" x14ac:dyDescent="0.2">
      <c r="A894"/>
      <c r="B894">
        <v>23501</v>
      </c>
      <c r="C894" t="s">
        <v>3014</v>
      </c>
      <c r="D894" t="s">
        <v>1195</v>
      </c>
      <c r="E894" t="s">
        <v>1198</v>
      </c>
      <c r="F894" t="s">
        <v>2320</v>
      </c>
      <c r="G894">
        <v>4618.0200000000004</v>
      </c>
      <c r="H894" t="s">
        <v>1270</v>
      </c>
      <c r="Q894">
        <v>3139.0651116600002</v>
      </c>
      <c r="R894">
        <v>27477.4646398</v>
      </c>
      <c r="S894">
        <v>-14.4221025016</v>
      </c>
      <c r="T894">
        <v>82.972265533799998</v>
      </c>
      <c r="U894">
        <v>0</v>
      </c>
      <c r="V894">
        <v>0</v>
      </c>
    </row>
    <row r="895" spans="1:22" x14ac:dyDescent="0.2">
      <c r="A895"/>
      <c r="B895">
        <v>23502</v>
      </c>
      <c r="C895" t="s">
        <v>3015</v>
      </c>
      <c r="D895" t="s">
        <v>1195</v>
      </c>
      <c r="E895" t="s">
        <v>1198</v>
      </c>
      <c r="F895" t="s">
        <v>2335</v>
      </c>
      <c r="G895">
        <v>4464</v>
      </c>
      <c r="H895" t="s">
        <v>12</v>
      </c>
      <c r="Q895">
        <v>3126.4950291499999</v>
      </c>
      <c r="R895">
        <v>27297.146784600001</v>
      </c>
      <c r="S895">
        <v>-14.443625533000001</v>
      </c>
      <c r="T895">
        <v>-91.797489553600002</v>
      </c>
      <c r="U895">
        <v>0</v>
      </c>
      <c r="V895">
        <v>0</v>
      </c>
    </row>
    <row r="896" spans="1:22" x14ac:dyDescent="0.2">
      <c r="A896"/>
      <c r="B896">
        <v>23503</v>
      </c>
      <c r="C896" t="s">
        <v>3016</v>
      </c>
      <c r="D896" t="s">
        <v>1195</v>
      </c>
      <c r="E896" t="s">
        <v>1274</v>
      </c>
      <c r="F896" t="s">
        <v>2335</v>
      </c>
      <c r="G896">
        <v>4441.8</v>
      </c>
      <c r="H896" t="s">
        <v>12</v>
      </c>
      <c r="Q896">
        <v>3127.22475132</v>
      </c>
      <c r="R896">
        <v>27319.331680200001</v>
      </c>
      <c r="S896">
        <v>-14.4514232094</v>
      </c>
      <c r="T896">
        <v>-91.908495600400002</v>
      </c>
      <c r="U896">
        <v>0</v>
      </c>
      <c r="V896">
        <v>0</v>
      </c>
    </row>
    <row r="897" spans="1:22" x14ac:dyDescent="0.2">
      <c r="A897"/>
      <c r="B897">
        <v>23504</v>
      </c>
      <c r="C897" t="s">
        <v>3017</v>
      </c>
      <c r="D897" t="s">
        <v>1195</v>
      </c>
      <c r="E897" t="s">
        <v>1274</v>
      </c>
      <c r="F897" t="s">
        <v>2335</v>
      </c>
      <c r="G897">
        <v>4305.54</v>
      </c>
      <c r="H897" t="s">
        <v>1270</v>
      </c>
      <c r="Q897">
        <v>3131.44876806</v>
      </c>
      <c r="R897">
        <v>27455.584274199999</v>
      </c>
      <c r="S897">
        <v>-14.4612559528</v>
      </c>
      <c r="T897">
        <v>83.5996840703</v>
      </c>
      <c r="U897">
        <v>0</v>
      </c>
      <c r="V897">
        <v>0</v>
      </c>
    </row>
    <row r="898" spans="1:22" x14ac:dyDescent="0.2">
      <c r="A898"/>
      <c r="B898">
        <v>23505</v>
      </c>
      <c r="C898" t="s">
        <v>3018</v>
      </c>
      <c r="D898" t="s">
        <v>1195</v>
      </c>
      <c r="E898" t="s">
        <v>1198</v>
      </c>
      <c r="F898" t="s">
        <v>2335</v>
      </c>
      <c r="G898">
        <v>4283.34</v>
      </c>
      <c r="H898" t="s">
        <v>1270</v>
      </c>
      <c r="Q898">
        <v>3134.1097748900002</v>
      </c>
      <c r="R898">
        <v>27477.6422766</v>
      </c>
      <c r="S898">
        <v>-14.4436987619</v>
      </c>
      <c r="T898">
        <v>82.952786370400005</v>
      </c>
      <c r="U898">
        <v>0</v>
      </c>
      <c r="V898">
        <v>0</v>
      </c>
    </row>
    <row r="899" spans="1:22" x14ac:dyDescent="0.2">
      <c r="A899"/>
      <c r="B899">
        <v>23506</v>
      </c>
      <c r="C899" t="s">
        <v>3019</v>
      </c>
      <c r="D899" t="s">
        <v>1195</v>
      </c>
      <c r="E899" t="s">
        <v>1198</v>
      </c>
      <c r="F899" t="s">
        <v>2320</v>
      </c>
      <c r="G899">
        <v>5807.84</v>
      </c>
      <c r="H899" t="s">
        <v>12</v>
      </c>
      <c r="Q899">
        <v>3177.5675557499999</v>
      </c>
      <c r="R899">
        <v>26293.449403899998</v>
      </c>
      <c r="S899">
        <v>-13.6132240836</v>
      </c>
      <c r="T899">
        <v>-84.6814603694</v>
      </c>
      <c r="U899">
        <v>0</v>
      </c>
      <c r="V899">
        <v>0</v>
      </c>
    </row>
    <row r="900" spans="1:22" x14ac:dyDescent="0.2">
      <c r="A900"/>
      <c r="B900">
        <v>23507</v>
      </c>
      <c r="C900" t="s">
        <v>3020</v>
      </c>
      <c r="D900" t="s">
        <v>1195</v>
      </c>
      <c r="E900" t="s">
        <v>1274</v>
      </c>
      <c r="F900" t="s">
        <v>2320</v>
      </c>
      <c r="G900">
        <v>5785.64</v>
      </c>
      <c r="H900" t="s">
        <v>12</v>
      </c>
      <c r="Q900">
        <v>3175.5090559300002</v>
      </c>
      <c r="R900">
        <v>26315.553843199999</v>
      </c>
      <c r="S900">
        <v>-13.6162500533</v>
      </c>
      <c r="T900">
        <v>-84.678499684000002</v>
      </c>
      <c r="U900">
        <v>0</v>
      </c>
      <c r="V900">
        <v>0</v>
      </c>
    </row>
    <row r="901" spans="1:22" x14ac:dyDescent="0.2">
      <c r="A901"/>
      <c r="B901">
        <v>23508</v>
      </c>
      <c r="C901" t="s">
        <v>3021</v>
      </c>
      <c r="D901" t="s">
        <v>1195</v>
      </c>
      <c r="E901" t="s">
        <v>1274</v>
      </c>
      <c r="F901" t="s">
        <v>2320</v>
      </c>
      <c r="G901">
        <v>5649.26</v>
      </c>
      <c r="H901" t="s">
        <v>1270</v>
      </c>
      <c r="Q901">
        <v>3159.7218771100002</v>
      </c>
      <c r="R901">
        <v>26451.0549221</v>
      </c>
      <c r="S901">
        <v>-13.5993177417</v>
      </c>
      <c r="T901">
        <v>95.276660340500001</v>
      </c>
      <c r="U901">
        <v>0</v>
      </c>
      <c r="V901">
        <v>0</v>
      </c>
    </row>
    <row r="902" spans="1:22" x14ac:dyDescent="0.2">
      <c r="A902"/>
      <c r="B902">
        <v>23509</v>
      </c>
      <c r="C902" t="s">
        <v>3022</v>
      </c>
      <c r="D902" t="s">
        <v>1195</v>
      </c>
      <c r="E902" t="s">
        <v>1198</v>
      </c>
      <c r="F902" t="s">
        <v>2320</v>
      </c>
      <c r="G902">
        <v>5627.06</v>
      </c>
      <c r="H902" t="s">
        <v>1270</v>
      </c>
      <c r="Q902">
        <v>3157.6811060800001</v>
      </c>
      <c r="R902">
        <v>26473.1609967</v>
      </c>
      <c r="S902">
        <v>-13.6437747867</v>
      </c>
      <c r="T902">
        <v>95.271379058999997</v>
      </c>
      <c r="U902">
        <v>0</v>
      </c>
      <c r="V902">
        <v>0</v>
      </c>
    </row>
    <row r="903" spans="1:22" x14ac:dyDescent="0.2">
      <c r="A903"/>
      <c r="B903">
        <v>23510</v>
      </c>
      <c r="C903" t="s">
        <v>3023</v>
      </c>
      <c r="D903" t="s">
        <v>1195</v>
      </c>
      <c r="E903" t="s">
        <v>1198</v>
      </c>
      <c r="F903" t="s">
        <v>2335</v>
      </c>
      <c r="G903">
        <v>5473.81</v>
      </c>
      <c r="H903" t="s">
        <v>12</v>
      </c>
      <c r="Q903">
        <v>3172.5936845299998</v>
      </c>
      <c r="R903">
        <v>26292.9751655</v>
      </c>
      <c r="S903">
        <v>-13.637663023</v>
      </c>
      <c r="T903">
        <v>-84.704217623900007</v>
      </c>
      <c r="U903">
        <v>0</v>
      </c>
      <c r="V903">
        <v>0</v>
      </c>
    </row>
    <row r="904" spans="1:22" x14ac:dyDescent="0.2">
      <c r="A904"/>
      <c r="B904">
        <v>23511</v>
      </c>
      <c r="C904" t="s">
        <v>3024</v>
      </c>
      <c r="D904" t="s">
        <v>1195</v>
      </c>
      <c r="E904" t="s">
        <v>1274</v>
      </c>
      <c r="F904" t="s">
        <v>2335</v>
      </c>
      <c r="G904">
        <v>5451.61</v>
      </c>
      <c r="H904" t="s">
        <v>12</v>
      </c>
      <c r="Q904">
        <v>3170.5461643100002</v>
      </c>
      <c r="R904">
        <v>26315.080331100002</v>
      </c>
      <c r="S904">
        <v>-13.642817518399999</v>
      </c>
      <c r="T904">
        <v>-84.711708435899993</v>
      </c>
      <c r="U904">
        <v>0</v>
      </c>
      <c r="V904">
        <v>0</v>
      </c>
    </row>
    <row r="905" spans="1:22" x14ac:dyDescent="0.2">
      <c r="A905"/>
      <c r="B905">
        <v>23512</v>
      </c>
      <c r="C905" t="s">
        <v>3025</v>
      </c>
      <c r="D905" t="s">
        <v>1195</v>
      </c>
      <c r="E905" t="s">
        <v>1274</v>
      </c>
      <c r="F905" t="s">
        <v>2335</v>
      </c>
      <c r="G905">
        <v>5315.24</v>
      </c>
      <c r="H905" t="s">
        <v>1270</v>
      </c>
      <c r="Q905">
        <v>3154.8365919299999</v>
      </c>
      <c r="R905">
        <v>26450.580153899999</v>
      </c>
      <c r="S905">
        <v>-13.6248621491</v>
      </c>
      <c r="T905">
        <v>95.252688409200005</v>
      </c>
      <c r="U905">
        <v>0</v>
      </c>
      <c r="V905">
        <v>0</v>
      </c>
    </row>
    <row r="906" spans="1:22" x14ac:dyDescent="0.2">
      <c r="A906"/>
      <c r="B906">
        <v>23513</v>
      </c>
      <c r="C906" t="s">
        <v>3026</v>
      </c>
      <c r="D906" t="s">
        <v>1195</v>
      </c>
      <c r="E906" t="s">
        <v>1198</v>
      </c>
      <c r="F906" t="s">
        <v>2335</v>
      </c>
      <c r="G906">
        <v>5293.04</v>
      </c>
      <c r="H906" t="s">
        <v>1270</v>
      </c>
      <c r="Q906">
        <v>3152.80507855</v>
      </c>
      <c r="R906">
        <v>26472.6870375</v>
      </c>
      <c r="S906">
        <v>-13.679808274599999</v>
      </c>
      <c r="T906">
        <v>95.248162371899994</v>
      </c>
      <c r="U906">
        <v>0</v>
      </c>
      <c r="V906">
        <v>0</v>
      </c>
    </row>
    <row r="907" spans="1:22" x14ac:dyDescent="0.2">
      <c r="A907"/>
      <c r="B907">
        <v>23514</v>
      </c>
      <c r="C907" t="s">
        <v>3027</v>
      </c>
      <c r="D907" t="s">
        <v>1195</v>
      </c>
      <c r="E907" t="s">
        <v>1198</v>
      </c>
      <c r="F907" t="s">
        <v>2412</v>
      </c>
      <c r="G907">
        <v>516.75</v>
      </c>
      <c r="H907" t="s">
        <v>12</v>
      </c>
      <c r="Q907">
        <v>2825.6639387099999</v>
      </c>
      <c r="R907">
        <v>25609.072845800001</v>
      </c>
      <c r="S907">
        <v>-11.4775065166</v>
      </c>
      <c r="T907">
        <v>-179.26746652</v>
      </c>
      <c r="U907">
        <v>0</v>
      </c>
      <c r="V907">
        <v>0</v>
      </c>
    </row>
    <row r="908" spans="1:22" x14ac:dyDescent="0.2">
      <c r="A908"/>
      <c r="B908">
        <v>23515</v>
      </c>
      <c r="C908" t="s">
        <v>3028</v>
      </c>
      <c r="D908" t="s">
        <v>1195</v>
      </c>
      <c r="E908" t="s">
        <v>1274</v>
      </c>
      <c r="F908" t="s">
        <v>2412</v>
      </c>
      <c r="G908">
        <v>494.55</v>
      </c>
      <c r="H908" t="s">
        <v>12</v>
      </c>
      <c r="Q908">
        <v>2847.85880804</v>
      </c>
      <c r="R908">
        <v>25609.336482899998</v>
      </c>
      <c r="S908">
        <v>-11.233837640400001</v>
      </c>
      <c r="T908">
        <v>-179.34523800700001</v>
      </c>
      <c r="U908">
        <v>0</v>
      </c>
      <c r="V908">
        <v>0</v>
      </c>
    </row>
    <row r="909" spans="1:22" x14ac:dyDescent="0.2">
      <c r="A909"/>
      <c r="B909">
        <v>23516</v>
      </c>
      <c r="C909" t="s">
        <v>3029</v>
      </c>
      <c r="D909" t="s">
        <v>1195</v>
      </c>
      <c r="E909" t="s">
        <v>1274</v>
      </c>
      <c r="F909" t="s">
        <v>2412</v>
      </c>
      <c r="G909">
        <v>358.14</v>
      </c>
      <c r="H909" t="s">
        <v>1270</v>
      </c>
      <c r="Q909">
        <v>2984.1748687700001</v>
      </c>
      <c r="R909">
        <v>25614.390949199998</v>
      </c>
      <c r="S909">
        <v>-11.122243256699999</v>
      </c>
      <c r="T909">
        <v>2.0824914583199998</v>
      </c>
      <c r="U909">
        <v>0</v>
      </c>
      <c r="V909">
        <v>0</v>
      </c>
    </row>
    <row r="910" spans="1:22" x14ac:dyDescent="0.2">
      <c r="A910"/>
      <c r="B910">
        <v>23517</v>
      </c>
      <c r="C910" t="s">
        <v>3030</v>
      </c>
      <c r="D910" t="s">
        <v>1195</v>
      </c>
      <c r="E910" t="s">
        <v>1198</v>
      </c>
      <c r="F910" t="s">
        <v>2412</v>
      </c>
      <c r="G910">
        <v>335.94</v>
      </c>
      <c r="H910" t="s">
        <v>1270</v>
      </c>
      <c r="Q910">
        <v>3006.33751708</v>
      </c>
      <c r="R910">
        <v>25615.324246600001</v>
      </c>
      <c r="S910">
        <v>-11.1518572009</v>
      </c>
      <c r="T910">
        <v>2.7116281721200002</v>
      </c>
      <c r="U910">
        <v>0</v>
      </c>
      <c r="V910">
        <v>0</v>
      </c>
    </row>
    <row r="911" spans="1:22" x14ac:dyDescent="0.2">
      <c r="A911"/>
      <c r="B911">
        <v>23518</v>
      </c>
      <c r="C911" t="s">
        <v>3031</v>
      </c>
      <c r="D911" t="s">
        <v>1195</v>
      </c>
      <c r="E911" t="s">
        <v>1198</v>
      </c>
      <c r="F911" t="s">
        <v>2472</v>
      </c>
      <c r="G911">
        <v>508.29</v>
      </c>
      <c r="H911" t="s">
        <v>12</v>
      </c>
      <c r="Q911">
        <v>2825.7468183199999</v>
      </c>
      <c r="R911">
        <v>25614.032195799999</v>
      </c>
      <c r="S911">
        <v>-11.4389522915</v>
      </c>
      <c r="T911">
        <v>-179.247201418</v>
      </c>
      <c r="U911">
        <v>0</v>
      </c>
      <c r="V911">
        <v>0</v>
      </c>
    </row>
    <row r="912" spans="1:22" x14ac:dyDescent="0.2">
      <c r="A912"/>
      <c r="B912">
        <v>23519</v>
      </c>
      <c r="C912" t="s">
        <v>3032</v>
      </c>
      <c r="D912" t="s">
        <v>1195</v>
      </c>
      <c r="E912" t="s">
        <v>1274</v>
      </c>
      <c r="F912" t="s">
        <v>2472</v>
      </c>
      <c r="G912">
        <v>486.09</v>
      </c>
      <c r="H912" t="s">
        <v>12</v>
      </c>
      <c r="Q912">
        <v>2847.93845706</v>
      </c>
      <c r="R912">
        <v>25614.281093099999</v>
      </c>
      <c r="S912">
        <v>-11.2118002572</v>
      </c>
      <c r="T912">
        <v>-179.45247198600001</v>
      </c>
      <c r="U912">
        <v>0</v>
      </c>
      <c r="V912">
        <v>0</v>
      </c>
    </row>
    <row r="913" spans="1:22" x14ac:dyDescent="0.2">
      <c r="A913"/>
      <c r="B913">
        <v>23520</v>
      </c>
      <c r="C913" t="s">
        <v>3033</v>
      </c>
      <c r="D913" t="s">
        <v>1195</v>
      </c>
      <c r="E913" t="s">
        <v>1274</v>
      </c>
      <c r="F913" t="s">
        <v>2472</v>
      </c>
      <c r="G913">
        <v>349.71</v>
      </c>
      <c r="H913" t="s">
        <v>1270</v>
      </c>
      <c r="Q913">
        <v>2984.2281305699998</v>
      </c>
      <c r="R913">
        <v>25619.344124700001</v>
      </c>
      <c r="S913">
        <v>-11.152851778100001</v>
      </c>
      <c r="T913">
        <v>2.0563328761599999</v>
      </c>
      <c r="U913">
        <v>0</v>
      </c>
      <c r="V913">
        <v>0</v>
      </c>
    </row>
    <row r="914" spans="1:22" x14ac:dyDescent="0.2">
      <c r="A914"/>
      <c r="B914">
        <v>23521</v>
      </c>
      <c r="C914" t="s">
        <v>3034</v>
      </c>
      <c r="D914" t="s">
        <v>1195</v>
      </c>
      <c r="E914" t="s">
        <v>1198</v>
      </c>
      <c r="F914" t="s">
        <v>2472</v>
      </c>
      <c r="G914">
        <v>327.51</v>
      </c>
      <c r="H914" t="s">
        <v>1270</v>
      </c>
      <c r="Q914">
        <v>3006.3904606699998</v>
      </c>
      <c r="R914">
        <v>25620.267349599999</v>
      </c>
      <c r="S914">
        <v>-11.1484348173</v>
      </c>
      <c r="T914">
        <v>2.7126135500999999</v>
      </c>
      <c r="U914">
        <v>0</v>
      </c>
      <c r="V914">
        <v>0</v>
      </c>
    </row>
    <row r="915" spans="1:22" x14ac:dyDescent="0.2">
      <c r="A915"/>
      <c r="B915">
        <v>23522</v>
      </c>
      <c r="C915" t="s">
        <v>3035</v>
      </c>
      <c r="D915" t="s">
        <v>1195</v>
      </c>
      <c r="E915" t="s">
        <v>1198</v>
      </c>
      <c r="F915" t="s">
        <v>2337</v>
      </c>
      <c r="G915">
        <v>500.82</v>
      </c>
      <c r="H915" t="s">
        <v>12</v>
      </c>
      <c r="Q915">
        <v>2692.5704830300001</v>
      </c>
      <c r="R915">
        <v>24953.660224800002</v>
      </c>
      <c r="S915">
        <v>-14.134282409300001</v>
      </c>
      <c r="T915">
        <v>-88.028101242299996</v>
      </c>
      <c r="U915">
        <v>0</v>
      </c>
      <c r="V915">
        <v>0</v>
      </c>
    </row>
    <row r="916" spans="1:22" x14ac:dyDescent="0.2">
      <c r="A916"/>
      <c r="B916">
        <v>23523</v>
      </c>
      <c r="C916" t="s">
        <v>3036</v>
      </c>
      <c r="D916" t="s">
        <v>1195</v>
      </c>
      <c r="E916" t="s">
        <v>1274</v>
      </c>
      <c r="F916" t="s">
        <v>2337</v>
      </c>
      <c r="G916">
        <v>478.62</v>
      </c>
      <c r="H916" t="s">
        <v>12</v>
      </c>
      <c r="Q916">
        <v>2691.8058274499999</v>
      </c>
      <c r="R916">
        <v>24975.8471881</v>
      </c>
      <c r="S916">
        <v>-14.1286474591</v>
      </c>
      <c r="T916">
        <v>-88.022989616700002</v>
      </c>
      <c r="U916">
        <v>0</v>
      </c>
      <c r="V916">
        <v>0</v>
      </c>
    </row>
    <row r="917" spans="1:22" x14ac:dyDescent="0.2">
      <c r="A917"/>
      <c r="B917">
        <v>23524</v>
      </c>
      <c r="C917" t="s">
        <v>3037</v>
      </c>
      <c r="D917" t="s">
        <v>1195</v>
      </c>
      <c r="E917" t="s">
        <v>1274</v>
      </c>
      <c r="F917" t="s">
        <v>2337</v>
      </c>
      <c r="G917">
        <v>342.36</v>
      </c>
      <c r="H917" t="s">
        <v>1270</v>
      </c>
      <c r="Q917">
        <v>2683.8709331499999</v>
      </c>
      <c r="R917">
        <v>25111.913734599999</v>
      </c>
      <c r="S917">
        <v>-14.1463901498</v>
      </c>
      <c r="T917">
        <v>92.001983105099995</v>
      </c>
      <c r="U917">
        <v>0</v>
      </c>
      <c r="V917">
        <v>0</v>
      </c>
    </row>
    <row r="918" spans="1:22" x14ac:dyDescent="0.2">
      <c r="A918"/>
      <c r="B918">
        <v>23525</v>
      </c>
      <c r="C918" t="s">
        <v>3038</v>
      </c>
      <c r="D918" t="s">
        <v>1195</v>
      </c>
      <c r="E918" t="s">
        <v>1198</v>
      </c>
      <c r="F918" t="s">
        <v>2337</v>
      </c>
      <c r="G918">
        <v>320.16000000000003</v>
      </c>
      <c r="H918" t="s">
        <v>1270</v>
      </c>
      <c r="Q918">
        <v>2683.0951730400002</v>
      </c>
      <c r="R918">
        <v>25134.1001478</v>
      </c>
      <c r="S918">
        <v>-14.144373893399999</v>
      </c>
      <c r="T918">
        <v>92.002999437900002</v>
      </c>
      <c r="U918">
        <v>0</v>
      </c>
      <c r="V918">
        <v>0</v>
      </c>
    </row>
    <row r="919" spans="1:22" x14ac:dyDescent="0.2">
      <c r="A919"/>
      <c r="B919">
        <v>23526</v>
      </c>
      <c r="C919" t="s">
        <v>3039</v>
      </c>
      <c r="D919" t="s">
        <v>1195</v>
      </c>
      <c r="E919" t="s">
        <v>1198</v>
      </c>
      <c r="F919" t="s">
        <v>2343</v>
      </c>
      <c r="G919">
        <v>500.78</v>
      </c>
      <c r="H919" t="s">
        <v>12</v>
      </c>
      <c r="Q919">
        <v>2687.6180524199999</v>
      </c>
      <c r="R919">
        <v>24953.469471</v>
      </c>
      <c r="S919">
        <v>-14.1581793528</v>
      </c>
      <c r="T919">
        <v>-88.023225257799993</v>
      </c>
      <c r="U919">
        <v>0</v>
      </c>
      <c r="V919">
        <v>0</v>
      </c>
    </row>
    <row r="920" spans="1:22" x14ac:dyDescent="0.2">
      <c r="A920"/>
      <c r="B920">
        <v>23527</v>
      </c>
      <c r="C920" t="s">
        <v>3040</v>
      </c>
      <c r="D920" t="s">
        <v>1195</v>
      </c>
      <c r="E920" t="s">
        <v>1274</v>
      </c>
      <c r="F920" t="s">
        <v>2343</v>
      </c>
      <c r="G920">
        <v>478.58</v>
      </c>
      <c r="H920" t="s">
        <v>12</v>
      </c>
      <c r="Q920">
        <v>2686.8512979100001</v>
      </c>
      <c r="R920">
        <v>24975.656372599999</v>
      </c>
      <c r="S920">
        <v>-14.1619099336</v>
      </c>
      <c r="T920">
        <v>-88.017766900599995</v>
      </c>
      <c r="U920">
        <v>0</v>
      </c>
      <c r="V920">
        <v>0</v>
      </c>
    </row>
    <row r="921" spans="1:22" x14ac:dyDescent="0.2">
      <c r="A921"/>
      <c r="B921">
        <v>23528</v>
      </c>
      <c r="C921" t="s">
        <v>3041</v>
      </c>
      <c r="D921" t="s">
        <v>1195</v>
      </c>
      <c r="E921" t="s">
        <v>1274</v>
      </c>
      <c r="F921" t="s">
        <v>2343</v>
      </c>
      <c r="G921">
        <v>342.32</v>
      </c>
      <c r="H921" t="s">
        <v>1270</v>
      </c>
      <c r="Q921">
        <v>2678.9182617500001</v>
      </c>
      <c r="R921">
        <v>25111.722987599998</v>
      </c>
      <c r="S921">
        <v>-14.1514365339</v>
      </c>
      <c r="T921">
        <v>91.996497616699997</v>
      </c>
      <c r="U921">
        <v>0</v>
      </c>
      <c r="V921">
        <v>0</v>
      </c>
    </row>
    <row r="922" spans="1:22" x14ac:dyDescent="0.2">
      <c r="A922"/>
      <c r="B922">
        <v>23529</v>
      </c>
      <c r="C922" t="s">
        <v>3042</v>
      </c>
      <c r="D922" t="s">
        <v>1195</v>
      </c>
      <c r="E922" t="s">
        <v>1198</v>
      </c>
      <c r="F922" t="s">
        <v>2343</v>
      </c>
      <c r="G922">
        <v>320.12</v>
      </c>
      <c r="H922" t="s">
        <v>1270</v>
      </c>
      <c r="Q922">
        <v>2678.1444207899999</v>
      </c>
      <c r="R922">
        <v>25133.909431700002</v>
      </c>
      <c r="S922">
        <v>-14.1498881247</v>
      </c>
      <c r="T922">
        <v>91.998810160700003</v>
      </c>
      <c r="U922">
        <v>0</v>
      </c>
      <c r="V922">
        <v>0</v>
      </c>
    </row>
    <row r="923" spans="1:22" x14ac:dyDescent="0.2">
      <c r="A923"/>
      <c r="B923">
        <v>23530</v>
      </c>
      <c r="C923" t="s">
        <v>3043</v>
      </c>
      <c r="D923" t="s">
        <v>1195</v>
      </c>
      <c r="E923" t="s">
        <v>1198</v>
      </c>
      <c r="F923" t="s">
        <v>2340</v>
      </c>
      <c r="G923">
        <v>544.91</v>
      </c>
      <c r="H923" t="s">
        <v>12</v>
      </c>
      <c r="Q923">
        <v>2572.0745366299998</v>
      </c>
      <c r="R923">
        <v>23709.9430765</v>
      </c>
      <c r="S923">
        <v>-6.59832638444</v>
      </c>
      <c r="T923">
        <v>-105.24314739499999</v>
      </c>
      <c r="U923">
        <v>0</v>
      </c>
      <c r="V923">
        <v>0</v>
      </c>
    </row>
    <row r="924" spans="1:22" x14ac:dyDescent="0.2">
      <c r="A924"/>
      <c r="B924">
        <v>23531</v>
      </c>
      <c r="C924" t="s">
        <v>3044</v>
      </c>
      <c r="D924" t="s">
        <v>1195</v>
      </c>
      <c r="E924" t="s">
        <v>1274</v>
      </c>
      <c r="F924" t="s">
        <v>2340</v>
      </c>
      <c r="G924">
        <v>522.71</v>
      </c>
      <c r="H924" t="s">
        <v>12</v>
      </c>
      <c r="Q924">
        <v>2577.9258476700002</v>
      </c>
      <c r="R924">
        <v>23731.355812900001</v>
      </c>
      <c r="S924">
        <v>-6.5949620838499996</v>
      </c>
      <c r="T924">
        <v>-105.321215259</v>
      </c>
      <c r="U924">
        <v>0</v>
      </c>
      <c r="V924">
        <v>0</v>
      </c>
    </row>
    <row r="925" spans="1:22" x14ac:dyDescent="0.2">
      <c r="A925"/>
      <c r="B925">
        <v>23532</v>
      </c>
      <c r="C925" t="s">
        <v>3045</v>
      </c>
      <c r="D925" t="s">
        <v>1195</v>
      </c>
      <c r="E925" t="s">
        <v>1274</v>
      </c>
      <c r="F925" t="s">
        <v>2340</v>
      </c>
      <c r="G925">
        <v>386.23</v>
      </c>
      <c r="H925" t="s">
        <v>1270</v>
      </c>
      <c r="Q925">
        <v>2610.9225825600001</v>
      </c>
      <c r="R925">
        <v>23863.819544599999</v>
      </c>
      <c r="S925">
        <v>-6.5895173563</v>
      </c>
      <c r="T925">
        <v>74.865809176499994</v>
      </c>
      <c r="U925">
        <v>0</v>
      </c>
      <c r="V925">
        <v>0</v>
      </c>
    </row>
    <row r="926" spans="1:22" x14ac:dyDescent="0.2">
      <c r="A926"/>
      <c r="B926">
        <v>23533</v>
      </c>
      <c r="C926" t="s">
        <v>3046</v>
      </c>
      <c r="D926" t="s">
        <v>1195</v>
      </c>
      <c r="E926" t="s">
        <v>1198</v>
      </c>
      <c r="F926" t="s">
        <v>2340</v>
      </c>
      <c r="G926">
        <v>364.03</v>
      </c>
      <c r="H926" t="s">
        <v>1270</v>
      </c>
      <c r="Q926">
        <v>2616.6932493999998</v>
      </c>
      <c r="R926">
        <v>23885.252515699998</v>
      </c>
      <c r="S926">
        <v>-6.5972989075999999</v>
      </c>
      <c r="T926">
        <v>75.000402054700004</v>
      </c>
      <c r="U926">
        <v>0</v>
      </c>
      <c r="V926">
        <v>0</v>
      </c>
    </row>
    <row r="927" spans="1:22" x14ac:dyDescent="0.2">
      <c r="A927"/>
      <c r="B927">
        <v>23534</v>
      </c>
      <c r="C927" t="s">
        <v>3047</v>
      </c>
      <c r="D927" t="s">
        <v>1195</v>
      </c>
      <c r="E927" t="s">
        <v>1198</v>
      </c>
      <c r="F927" t="s">
        <v>2345</v>
      </c>
      <c r="G927">
        <v>466.11</v>
      </c>
      <c r="H927" t="s">
        <v>12</v>
      </c>
      <c r="Q927">
        <v>2567.3845863800002</v>
      </c>
      <c r="R927">
        <v>23711.211264599999</v>
      </c>
      <c r="S927">
        <v>-6.6052485327400001</v>
      </c>
      <c r="T927">
        <v>-105.23009520799999</v>
      </c>
      <c r="U927">
        <v>0</v>
      </c>
      <c r="V927">
        <v>0</v>
      </c>
    </row>
    <row r="928" spans="1:22" x14ac:dyDescent="0.2">
      <c r="A928"/>
      <c r="B928">
        <v>23535</v>
      </c>
      <c r="C928" t="s">
        <v>3048</v>
      </c>
      <c r="D928" t="s">
        <v>1195</v>
      </c>
      <c r="E928" t="s">
        <v>1274</v>
      </c>
      <c r="F928" t="s">
        <v>2345</v>
      </c>
      <c r="G928">
        <v>443.91</v>
      </c>
      <c r="H928" t="s">
        <v>12</v>
      </c>
      <c r="Q928">
        <v>2573.21914831</v>
      </c>
      <c r="R928">
        <v>23732.630409099998</v>
      </c>
      <c r="S928">
        <v>-6.6057996670800003</v>
      </c>
      <c r="T928">
        <v>-105.244720418</v>
      </c>
      <c r="U928">
        <v>0</v>
      </c>
      <c r="V928">
        <v>0</v>
      </c>
    </row>
    <row r="929" spans="1:22" x14ac:dyDescent="0.2">
      <c r="A929"/>
      <c r="B929">
        <v>23536</v>
      </c>
      <c r="C929" t="s">
        <v>3049</v>
      </c>
      <c r="D929" t="s">
        <v>1195</v>
      </c>
      <c r="E929" t="s">
        <v>1274</v>
      </c>
      <c r="F929" t="s">
        <v>2345</v>
      </c>
      <c r="G929">
        <v>307.66000000000003</v>
      </c>
      <c r="H929" t="s">
        <v>1270</v>
      </c>
      <c r="Q929">
        <v>2606.0127005600002</v>
      </c>
      <c r="R929">
        <v>23864.913274899998</v>
      </c>
      <c r="S929">
        <v>-6.6092406134299999</v>
      </c>
      <c r="T929">
        <v>74.724338184600001</v>
      </c>
      <c r="U929">
        <v>0</v>
      </c>
      <c r="V929">
        <v>0</v>
      </c>
    </row>
    <row r="930" spans="1:22" x14ac:dyDescent="0.2">
      <c r="A930"/>
      <c r="B930">
        <v>23537</v>
      </c>
      <c r="C930" t="s">
        <v>3050</v>
      </c>
      <c r="D930" t="s">
        <v>1195</v>
      </c>
      <c r="E930" t="s">
        <v>1198</v>
      </c>
      <c r="F930" t="s">
        <v>2345</v>
      </c>
      <c r="G930">
        <v>285.45999999999998</v>
      </c>
      <c r="H930" t="s">
        <v>1270</v>
      </c>
      <c r="Q930">
        <v>2611.8607871600002</v>
      </c>
      <c r="R930">
        <v>23886.329022599999</v>
      </c>
      <c r="S930">
        <v>-6.6098107914600002</v>
      </c>
      <c r="T930">
        <v>74.7288804728</v>
      </c>
      <c r="U930">
        <v>0</v>
      </c>
      <c r="V930">
        <v>0</v>
      </c>
    </row>
    <row r="931" spans="1:22" x14ac:dyDescent="0.2">
      <c r="A931"/>
      <c r="B931">
        <v>23538</v>
      </c>
      <c r="C931" t="s">
        <v>3051</v>
      </c>
      <c r="D931" t="s">
        <v>1195</v>
      </c>
      <c r="E931" t="s">
        <v>1198</v>
      </c>
      <c r="F931" t="s">
        <v>1921</v>
      </c>
      <c r="G931">
        <v>6.39</v>
      </c>
      <c r="H931" t="s">
        <v>1270</v>
      </c>
      <c r="Q931">
        <v>3375.2022311199999</v>
      </c>
      <c r="R931">
        <v>32260.331553799999</v>
      </c>
      <c r="S931">
        <v>-10.791317422700001</v>
      </c>
      <c r="T931">
        <v>78.954169465899994</v>
      </c>
      <c r="U931">
        <v>0</v>
      </c>
      <c r="V931">
        <v>0</v>
      </c>
    </row>
    <row r="932" spans="1:22" x14ac:dyDescent="0.2">
      <c r="A932"/>
      <c r="B932">
        <v>23539</v>
      </c>
      <c r="C932" t="s">
        <v>4244</v>
      </c>
      <c r="D932" t="s">
        <v>1195</v>
      </c>
      <c r="E932" t="s">
        <v>1274</v>
      </c>
      <c r="F932" t="s">
        <v>1921</v>
      </c>
      <c r="G932">
        <v>29.29</v>
      </c>
      <c r="H932" t="s">
        <v>1270</v>
      </c>
      <c r="Q932">
        <v>3370.78930455</v>
      </c>
      <c r="R932">
        <v>32237.854614100001</v>
      </c>
      <c r="S932">
        <v>-10.7913747414</v>
      </c>
      <c r="T932">
        <v>78.737361092699999</v>
      </c>
      <c r="U932">
        <v>0</v>
      </c>
      <c r="V932">
        <v>0</v>
      </c>
    </row>
    <row r="933" spans="1:22" x14ac:dyDescent="0.2">
      <c r="A933"/>
      <c r="B933">
        <v>23540</v>
      </c>
      <c r="C933" t="s">
        <v>4247</v>
      </c>
      <c r="D933" t="s">
        <v>1195</v>
      </c>
      <c r="E933" t="s">
        <v>1198</v>
      </c>
      <c r="F933" t="s">
        <v>1921</v>
      </c>
      <c r="G933">
        <v>189.6</v>
      </c>
      <c r="H933" t="s">
        <v>12</v>
      </c>
      <c r="Q933">
        <v>3335.29908518</v>
      </c>
      <c r="R933">
        <v>32081.468774500001</v>
      </c>
      <c r="S933">
        <v>-10.791827279</v>
      </c>
      <c r="T933">
        <v>-103.425316041</v>
      </c>
      <c r="U933">
        <v>0</v>
      </c>
      <c r="V933">
        <v>0</v>
      </c>
    </row>
    <row r="934" spans="1:22" x14ac:dyDescent="0.2">
      <c r="A934"/>
      <c r="B934">
        <v>23541</v>
      </c>
      <c r="C934" t="s">
        <v>4248</v>
      </c>
      <c r="D934" t="s">
        <v>1195</v>
      </c>
      <c r="E934" t="s">
        <v>1274</v>
      </c>
      <c r="F934" t="s">
        <v>1921</v>
      </c>
      <c r="G934">
        <v>166.66</v>
      </c>
      <c r="H934" t="s">
        <v>12</v>
      </c>
      <c r="Q934">
        <v>3340.6012452</v>
      </c>
      <c r="R934">
        <v>32103.791267500001</v>
      </c>
      <c r="S934">
        <v>-10.7919038616</v>
      </c>
      <c r="T934">
        <v>-103.297936662</v>
      </c>
      <c r="U934">
        <v>0</v>
      </c>
      <c r="V934">
        <v>0</v>
      </c>
    </row>
    <row r="935" spans="1:22" x14ac:dyDescent="0.2">
      <c r="A935"/>
      <c r="B935">
        <v>24000</v>
      </c>
      <c r="C935" t="s">
        <v>3052</v>
      </c>
      <c r="D935" t="s">
        <v>920</v>
      </c>
      <c r="E935" t="s">
        <v>1275</v>
      </c>
      <c r="F935" t="s">
        <v>1920</v>
      </c>
      <c r="G935">
        <v>35.3368489211</v>
      </c>
      <c r="H935" t="s">
        <v>248</v>
      </c>
      <c r="Q935">
        <v>6853.6114708699997</v>
      </c>
      <c r="R935">
        <v>36742.310898999996</v>
      </c>
      <c r="S935">
        <v>-9.1594352911399994</v>
      </c>
      <c r="T935">
        <v>53.251176206499999</v>
      </c>
      <c r="U935">
        <v>0</v>
      </c>
      <c r="V935">
        <v>0</v>
      </c>
    </row>
    <row r="936" spans="1:22" x14ac:dyDescent="0.2">
      <c r="A936"/>
      <c r="B936">
        <v>24001</v>
      </c>
      <c r="C936" t="s">
        <v>3053</v>
      </c>
      <c r="D936" t="s">
        <v>920</v>
      </c>
      <c r="E936" t="s">
        <v>1275</v>
      </c>
      <c r="F936" t="s">
        <v>1920</v>
      </c>
      <c r="G936">
        <v>56.965348698</v>
      </c>
      <c r="H936" t="s">
        <v>248</v>
      </c>
      <c r="Q936">
        <v>6866.5562193699998</v>
      </c>
      <c r="R936">
        <v>36759.637914600004</v>
      </c>
      <c r="S936">
        <v>-9.1626329989599995</v>
      </c>
      <c r="T936">
        <v>53.223957044300001</v>
      </c>
      <c r="U936">
        <v>0</v>
      </c>
      <c r="V936">
        <v>0</v>
      </c>
    </row>
    <row r="937" spans="1:22" x14ac:dyDescent="0.2">
      <c r="A937"/>
      <c r="B937">
        <v>24002</v>
      </c>
      <c r="C937" t="s">
        <v>3054</v>
      </c>
      <c r="D937" t="s">
        <v>920</v>
      </c>
      <c r="E937" t="s">
        <v>1275</v>
      </c>
      <c r="F937" t="s">
        <v>1920</v>
      </c>
      <c r="G937">
        <v>78.593848474799998</v>
      </c>
      <c r="H937" t="s">
        <v>248</v>
      </c>
      <c r="Q937">
        <v>6879.5084486699998</v>
      </c>
      <c r="R937">
        <v>36776.959339200002</v>
      </c>
      <c r="S937">
        <v>-9.1644255545799993</v>
      </c>
      <c r="T937">
        <v>53.201695137900003</v>
      </c>
      <c r="U937">
        <v>0</v>
      </c>
      <c r="V937">
        <v>0</v>
      </c>
    </row>
    <row r="938" spans="1:22" x14ac:dyDescent="0.2">
      <c r="A938"/>
      <c r="B938">
        <v>24003</v>
      </c>
      <c r="C938" t="s">
        <v>3055</v>
      </c>
      <c r="D938" t="s">
        <v>920</v>
      </c>
      <c r="E938" t="s">
        <v>1275</v>
      </c>
      <c r="F938" t="s">
        <v>1920</v>
      </c>
      <c r="G938">
        <v>113.67321525600001</v>
      </c>
      <c r="H938" t="s">
        <v>248</v>
      </c>
      <c r="Q938">
        <v>6900.5277851800001</v>
      </c>
      <c r="R938">
        <v>36805.0440227</v>
      </c>
      <c r="S938">
        <v>-9.1643452184599994</v>
      </c>
      <c r="T938">
        <v>53.176128761199998</v>
      </c>
      <c r="U938">
        <v>0</v>
      </c>
      <c r="V938">
        <v>0</v>
      </c>
    </row>
    <row r="939" spans="1:22" x14ac:dyDescent="0.2">
      <c r="A939"/>
      <c r="B939">
        <v>24004</v>
      </c>
      <c r="C939" t="s">
        <v>3056</v>
      </c>
      <c r="D939" t="s">
        <v>920</v>
      </c>
      <c r="E939" t="s">
        <v>1275</v>
      </c>
      <c r="F939" t="s">
        <v>1920</v>
      </c>
      <c r="G939">
        <v>128.97795366899999</v>
      </c>
      <c r="H939" t="s">
        <v>248</v>
      </c>
      <c r="Q939">
        <v>6909.7015895599998</v>
      </c>
      <c r="R939">
        <v>36817.294587099997</v>
      </c>
      <c r="S939">
        <v>-9.1631520314300001</v>
      </c>
      <c r="T939">
        <v>53.169060243300002</v>
      </c>
      <c r="U939">
        <v>0</v>
      </c>
      <c r="V939">
        <v>0</v>
      </c>
    </row>
    <row r="940" spans="1:22" x14ac:dyDescent="0.2">
      <c r="A940"/>
      <c r="B940">
        <v>24005</v>
      </c>
      <c r="C940" t="s">
        <v>3057</v>
      </c>
      <c r="D940" t="s">
        <v>920</v>
      </c>
      <c r="E940" t="s">
        <v>1275</v>
      </c>
      <c r="F940" t="s">
        <v>1920</v>
      </c>
      <c r="G940">
        <v>132.06773935199999</v>
      </c>
      <c r="H940" t="s">
        <v>248</v>
      </c>
      <c r="Q940">
        <v>6911.5538044900004</v>
      </c>
      <c r="R940">
        <v>36819.767657099997</v>
      </c>
      <c r="S940">
        <v>-9.1628257851200008</v>
      </c>
      <c r="T940">
        <v>53.167934365800001</v>
      </c>
      <c r="U940">
        <v>0</v>
      </c>
      <c r="V940">
        <v>0</v>
      </c>
    </row>
    <row r="941" spans="1:22" x14ac:dyDescent="0.2">
      <c r="A941"/>
      <c r="B941">
        <v>24006</v>
      </c>
      <c r="C941" t="s">
        <v>3058</v>
      </c>
      <c r="D941" t="s">
        <v>920</v>
      </c>
      <c r="E941" t="s">
        <v>1275</v>
      </c>
      <c r="F941" t="s">
        <v>1920</v>
      </c>
      <c r="G941">
        <v>152.58391628300001</v>
      </c>
      <c r="H941" t="s">
        <v>248</v>
      </c>
      <c r="Q941">
        <v>6923.8534805700001</v>
      </c>
      <c r="R941">
        <v>36836.188116199999</v>
      </c>
      <c r="S941">
        <v>-9.1599321342700009</v>
      </c>
      <c r="T941">
        <v>53.163024657000001</v>
      </c>
      <c r="U941">
        <v>0</v>
      </c>
      <c r="V941">
        <v>0</v>
      </c>
    </row>
    <row r="942" spans="1:22" x14ac:dyDescent="0.2">
      <c r="A942"/>
      <c r="B942">
        <v>24007</v>
      </c>
      <c r="C942" t="s">
        <v>3059</v>
      </c>
      <c r="D942" t="s">
        <v>920</v>
      </c>
      <c r="E942" t="s">
        <v>1275</v>
      </c>
      <c r="F942" t="s">
        <v>1920</v>
      </c>
      <c r="G942">
        <v>155.67370196499999</v>
      </c>
      <c r="H942" t="s">
        <v>248</v>
      </c>
      <c r="Q942">
        <v>6925.7059393</v>
      </c>
      <c r="R942">
        <v>36838.661003499998</v>
      </c>
      <c r="S942">
        <v>-9.15938679898</v>
      </c>
      <c r="T942">
        <v>53.162671706700003</v>
      </c>
      <c r="U942">
        <v>0</v>
      </c>
      <c r="V942">
        <v>0</v>
      </c>
    </row>
    <row r="943" spans="1:22" x14ac:dyDescent="0.2">
      <c r="A943"/>
      <c r="B943">
        <v>24008</v>
      </c>
      <c r="C943" t="s">
        <v>3060</v>
      </c>
      <c r="D943" t="s">
        <v>920</v>
      </c>
      <c r="E943" t="s">
        <v>1275</v>
      </c>
      <c r="F943" t="s">
        <v>1920</v>
      </c>
      <c r="G943">
        <v>215.430157063</v>
      </c>
      <c r="H943" t="s">
        <v>248</v>
      </c>
      <c r="Q943">
        <v>6961.5331834899998</v>
      </c>
      <c r="R943">
        <v>36886.486126600001</v>
      </c>
      <c r="S943">
        <v>-9.1492221081699991</v>
      </c>
      <c r="T943">
        <v>53.162060984100002</v>
      </c>
      <c r="U943">
        <v>0</v>
      </c>
      <c r="V943">
        <v>0</v>
      </c>
    </row>
    <row r="944" spans="1:22" x14ac:dyDescent="0.2">
      <c r="A944"/>
      <c r="B944">
        <v>24009</v>
      </c>
      <c r="C944" t="s">
        <v>3061</v>
      </c>
      <c r="D944" t="s">
        <v>920</v>
      </c>
      <c r="E944" t="s">
        <v>1275</v>
      </c>
      <c r="F944" t="s">
        <v>1920</v>
      </c>
      <c r="G944">
        <v>251.58064954700001</v>
      </c>
      <c r="H944" t="s">
        <v>248</v>
      </c>
      <c r="Q944">
        <v>6983.20707855</v>
      </c>
      <c r="R944">
        <v>36915.4188134</v>
      </c>
      <c r="S944">
        <v>-9.1452441216599993</v>
      </c>
      <c r="T944">
        <v>53.163297780900002</v>
      </c>
      <c r="U944">
        <v>0</v>
      </c>
      <c r="V944">
        <v>0</v>
      </c>
    </row>
    <row r="945" spans="1:22" x14ac:dyDescent="0.2">
      <c r="A945"/>
      <c r="B945">
        <v>24010</v>
      </c>
      <c r="C945" t="s">
        <v>3062</v>
      </c>
      <c r="D945" t="s">
        <v>920</v>
      </c>
      <c r="E945" t="s">
        <v>1275</v>
      </c>
      <c r="F945" t="s">
        <v>1920</v>
      </c>
      <c r="G945">
        <v>254.67043523000001</v>
      </c>
      <c r="H945" t="s">
        <v>248</v>
      </c>
      <c r="Q945">
        <v>6985.0595141800004</v>
      </c>
      <c r="R945">
        <v>36917.8917181</v>
      </c>
      <c r="S945">
        <v>-9.1449821347999993</v>
      </c>
      <c r="T945">
        <v>53.1634549304</v>
      </c>
      <c r="U945">
        <v>0</v>
      </c>
      <c r="V945">
        <v>0</v>
      </c>
    </row>
    <row r="946" spans="1:22" x14ac:dyDescent="0.2">
      <c r="A946"/>
      <c r="B946">
        <v>24011</v>
      </c>
      <c r="C946" t="s">
        <v>3063</v>
      </c>
      <c r="D946" t="s">
        <v>920</v>
      </c>
      <c r="E946" t="s">
        <v>1275</v>
      </c>
      <c r="F946" t="s">
        <v>1920</v>
      </c>
      <c r="G946">
        <v>275.18661216100003</v>
      </c>
      <c r="H946" t="s">
        <v>248</v>
      </c>
      <c r="Q946">
        <v>6997.3594936099998</v>
      </c>
      <c r="R946">
        <v>36934.311950099996</v>
      </c>
      <c r="S946">
        <v>-9.1435541573299997</v>
      </c>
      <c r="T946">
        <v>53.164703879299999</v>
      </c>
      <c r="U946">
        <v>0</v>
      </c>
      <c r="V946">
        <v>0</v>
      </c>
    </row>
    <row r="947" spans="1:22" x14ac:dyDescent="0.2">
      <c r="A947"/>
      <c r="B947">
        <v>24012</v>
      </c>
      <c r="C947" t="s">
        <v>3064</v>
      </c>
      <c r="D947" t="s">
        <v>920</v>
      </c>
      <c r="E947" t="s">
        <v>1275</v>
      </c>
      <c r="F947" t="s">
        <v>1920</v>
      </c>
      <c r="G947">
        <v>278.27639784299998</v>
      </c>
      <c r="H947" t="s">
        <v>248</v>
      </c>
      <c r="Q947">
        <v>6999.2118672200004</v>
      </c>
      <c r="R947">
        <v>36936.784901300001</v>
      </c>
      <c r="S947">
        <v>-9.1433860306699994</v>
      </c>
      <c r="T947">
        <v>53.164922919299997</v>
      </c>
      <c r="U947">
        <v>0</v>
      </c>
      <c r="V947">
        <v>0</v>
      </c>
    </row>
    <row r="948" spans="1:22" x14ac:dyDescent="0.2">
      <c r="A948"/>
      <c r="B948">
        <v>24013</v>
      </c>
      <c r="C948" t="s">
        <v>3065</v>
      </c>
      <c r="D948" t="s">
        <v>920</v>
      </c>
      <c r="E948" t="s">
        <v>1275</v>
      </c>
      <c r="F948" t="s">
        <v>1920</v>
      </c>
      <c r="G948">
        <v>330.287790164</v>
      </c>
      <c r="H948" t="s">
        <v>248</v>
      </c>
      <c r="Q948">
        <v>7030.3917673699998</v>
      </c>
      <c r="R948">
        <v>36978.4142029</v>
      </c>
      <c r="S948">
        <v>-9.1423998933600004</v>
      </c>
      <c r="T948">
        <v>53.169826005899999</v>
      </c>
      <c r="U948">
        <v>0</v>
      </c>
      <c r="V948">
        <v>0</v>
      </c>
    </row>
    <row r="949" spans="1:22" x14ac:dyDescent="0.2">
      <c r="A949"/>
      <c r="B949">
        <v>24014</v>
      </c>
      <c r="C949" t="s">
        <v>3066</v>
      </c>
      <c r="D949" t="s">
        <v>920</v>
      </c>
      <c r="E949" t="s">
        <v>1275</v>
      </c>
      <c r="F949" t="s">
        <v>1920</v>
      </c>
      <c r="G949">
        <v>351.916289941</v>
      </c>
      <c r="H949" t="s">
        <v>248</v>
      </c>
      <c r="Q949">
        <v>7043.3564678100001</v>
      </c>
      <c r="R949">
        <v>36995.726295400003</v>
      </c>
      <c r="S949">
        <v>-9.1430146194600006</v>
      </c>
      <c r="T949">
        <v>53.172540658599999</v>
      </c>
      <c r="U949">
        <v>0</v>
      </c>
      <c r="V949">
        <v>0</v>
      </c>
    </row>
    <row r="950" spans="1:22" x14ac:dyDescent="0.2">
      <c r="A950"/>
      <c r="B950">
        <v>24015</v>
      </c>
      <c r="C950" t="s">
        <v>3067</v>
      </c>
      <c r="D950" t="s">
        <v>920</v>
      </c>
      <c r="E950" t="s">
        <v>1275</v>
      </c>
      <c r="F950" t="s">
        <v>1920</v>
      </c>
      <c r="G950">
        <v>373.54478971700001</v>
      </c>
      <c r="H950" t="s">
        <v>248</v>
      </c>
      <c r="Q950">
        <v>7056.3202880099998</v>
      </c>
      <c r="R950">
        <v>37013.039046899998</v>
      </c>
      <c r="S950">
        <v>-9.1442313278</v>
      </c>
      <c r="T950">
        <v>53.175652252799999</v>
      </c>
      <c r="U950">
        <v>0</v>
      </c>
      <c r="V950">
        <v>0</v>
      </c>
    </row>
    <row r="951" spans="1:22" x14ac:dyDescent="0.2">
      <c r="A951"/>
      <c r="B951">
        <v>24016</v>
      </c>
      <c r="C951" t="s">
        <v>3068</v>
      </c>
      <c r="D951" t="s">
        <v>920</v>
      </c>
      <c r="E951" t="s">
        <v>1275</v>
      </c>
      <c r="F951" t="s">
        <v>2310</v>
      </c>
      <c r="G951">
        <v>4.1868573971299998</v>
      </c>
      <c r="H951" t="s">
        <v>248</v>
      </c>
      <c r="Q951">
        <v>7078.4155833300001</v>
      </c>
      <c r="R951">
        <v>37042.550637799999</v>
      </c>
      <c r="S951">
        <v>-9.1729093045399992</v>
      </c>
      <c r="T951">
        <v>53.176508833500002</v>
      </c>
      <c r="U951">
        <v>0</v>
      </c>
      <c r="V951">
        <v>0</v>
      </c>
    </row>
    <row r="952" spans="1:22" x14ac:dyDescent="0.2">
      <c r="A952"/>
      <c r="B952">
        <v>24017</v>
      </c>
      <c r="C952" t="s">
        <v>3069</v>
      </c>
      <c r="D952" t="s">
        <v>920</v>
      </c>
      <c r="E952" t="s">
        <v>1275</v>
      </c>
      <c r="F952" t="s">
        <v>2310</v>
      </c>
      <c r="G952">
        <v>63.538257455299998</v>
      </c>
      <c r="H952" t="s">
        <v>248</v>
      </c>
      <c r="Q952">
        <v>7113.9862550799999</v>
      </c>
      <c r="R952">
        <v>37090.058957300003</v>
      </c>
      <c r="S952">
        <v>-9.6662466135099994</v>
      </c>
      <c r="T952">
        <v>53.222651470400002</v>
      </c>
      <c r="U952">
        <v>0</v>
      </c>
      <c r="V952">
        <v>0</v>
      </c>
    </row>
    <row r="953" spans="1:22" x14ac:dyDescent="0.2">
      <c r="A953"/>
      <c r="B953">
        <v>24018</v>
      </c>
      <c r="C953" t="s">
        <v>3070</v>
      </c>
      <c r="D953" t="s">
        <v>920</v>
      </c>
      <c r="E953" t="s">
        <v>1275</v>
      </c>
      <c r="F953" t="s">
        <v>2310</v>
      </c>
      <c r="G953">
        <v>89.345771903300005</v>
      </c>
      <c r="H953" t="s">
        <v>248</v>
      </c>
      <c r="Q953">
        <v>7129.4163877700003</v>
      </c>
      <c r="R953">
        <v>37110.7422391</v>
      </c>
      <c r="S953">
        <v>-10.0408986634</v>
      </c>
      <c r="T953">
        <v>53.338989420600001</v>
      </c>
      <c r="U953">
        <v>0</v>
      </c>
      <c r="V953">
        <v>0</v>
      </c>
    </row>
    <row r="954" spans="1:22" x14ac:dyDescent="0.2">
      <c r="A954"/>
      <c r="B954">
        <v>24019</v>
      </c>
      <c r="C954" t="s">
        <v>3071</v>
      </c>
      <c r="D954" t="s">
        <v>920</v>
      </c>
      <c r="E954" t="s">
        <v>1275</v>
      </c>
      <c r="F954" t="s">
        <v>2310</v>
      </c>
      <c r="G954">
        <v>155.737367772</v>
      </c>
      <c r="H954" t="s">
        <v>248</v>
      </c>
      <c r="Q954">
        <v>7167.34303542</v>
      </c>
      <c r="R954">
        <v>37165.152315699997</v>
      </c>
      <c r="S954">
        <v>-10.9683107822</v>
      </c>
      <c r="T954">
        <v>61.440405644000002</v>
      </c>
      <c r="U954">
        <v>0</v>
      </c>
      <c r="V954">
        <v>0</v>
      </c>
    </row>
    <row r="955" spans="1:22" x14ac:dyDescent="0.2">
      <c r="A955"/>
      <c r="B955">
        <v>24020</v>
      </c>
      <c r="C955" t="s">
        <v>3072</v>
      </c>
      <c r="D955" t="s">
        <v>920</v>
      </c>
      <c r="E955" t="s">
        <v>1275</v>
      </c>
      <c r="F955" t="s">
        <v>2310</v>
      </c>
      <c r="G955">
        <v>183.59418712900001</v>
      </c>
      <c r="H955" t="s">
        <v>248</v>
      </c>
      <c r="Q955">
        <v>7178.8959509799997</v>
      </c>
      <c r="R955">
        <v>37190.472244600001</v>
      </c>
      <c r="S955">
        <v>-11.361413521799999</v>
      </c>
      <c r="T955">
        <v>69.502307797</v>
      </c>
      <c r="U955">
        <v>0</v>
      </c>
      <c r="V955">
        <v>0</v>
      </c>
    </row>
    <row r="956" spans="1:22" x14ac:dyDescent="0.2">
      <c r="A956"/>
      <c r="B956">
        <v>24021</v>
      </c>
      <c r="C956" t="s">
        <v>3073</v>
      </c>
      <c r="D956" t="s">
        <v>920</v>
      </c>
      <c r="E956" t="s">
        <v>1275</v>
      </c>
      <c r="F956" t="s">
        <v>2310</v>
      </c>
      <c r="G956">
        <v>228.54162110600001</v>
      </c>
      <c r="H956" t="s">
        <v>248</v>
      </c>
      <c r="Q956">
        <v>7189.7486984099996</v>
      </c>
      <c r="R956">
        <v>37233.985994800001</v>
      </c>
      <c r="S956">
        <v>-11.989158612500001</v>
      </c>
      <c r="T956">
        <v>82.505139662700003</v>
      </c>
      <c r="U956">
        <v>0</v>
      </c>
      <c r="V956">
        <v>0</v>
      </c>
    </row>
    <row r="957" spans="1:22" x14ac:dyDescent="0.2">
      <c r="A957"/>
      <c r="B957">
        <v>24022</v>
      </c>
      <c r="C957" t="s">
        <v>3074</v>
      </c>
      <c r="D957" t="s">
        <v>920</v>
      </c>
      <c r="E957" t="s">
        <v>1275</v>
      </c>
      <c r="F957" t="s">
        <v>2310</v>
      </c>
      <c r="G957">
        <v>267.262698065</v>
      </c>
      <c r="H957" t="s">
        <v>248</v>
      </c>
      <c r="Q957">
        <v>7190.9983603500004</v>
      </c>
      <c r="R957">
        <v>37272.6205089</v>
      </c>
      <c r="S957">
        <v>-12.5201842714</v>
      </c>
      <c r="T957">
        <v>93.803506655600003</v>
      </c>
      <c r="U957">
        <v>0</v>
      </c>
      <c r="V957">
        <v>0</v>
      </c>
    </row>
    <row r="958" spans="1:22" x14ac:dyDescent="0.2">
      <c r="A958"/>
      <c r="B958">
        <v>24023</v>
      </c>
      <c r="C958" t="s">
        <v>3075</v>
      </c>
      <c r="D958" t="s">
        <v>920</v>
      </c>
      <c r="E958" t="s">
        <v>1275</v>
      </c>
      <c r="F958" t="s">
        <v>2310</v>
      </c>
      <c r="G958">
        <v>317.19121765800003</v>
      </c>
      <c r="H958" t="s">
        <v>248</v>
      </c>
      <c r="Q958">
        <v>7181.3958442399999</v>
      </c>
      <c r="R958">
        <v>37321.473527499998</v>
      </c>
      <c r="S958">
        <v>-13.2215586494</v>
      </c>
      <c r="T958">
        <v>108.448154628</v>
      </c>
      <c r="U958">
        <v>0</v>
      </c>
      <c r="V958">
        <v>0</v>
      </c>
    </row>
    <row r="959" spans="1:22" x14ac:dyDescent="0.2">
      <c r="A959"/>
      <c r="B959">
        <v>24024</v>
      </c>
      <c r="C959" t="s">
        <v>3076</v>
      </c>
      <c r="D959" t="s">
        <v>920</v>
      </c>
      <c r="E959" t="s">
        <v>1275</v>
      </c>
      <c r="F959" t="s">
        <v>2310</v>
      </c>
      <c r="G959">
        <v>377.41528822700002</v>
      </c>
      <c r="H959" t="s">
        <v>248</v>
      </c>
      <c r="Q959">
        <v>7153.8875091700002</v>
      </c>
      <c r="R959">
        <v>37374.774651400003</v>
      </c>
      <c r="S959">
        <v>-13.9822751525</v>
      </c>
      <c r="T959">
        <v>126.013581788</v>
      </c>
      <c r="U959">
        <v>0</v>
      </c>
      <c r="V959">
        <v>0</v>
      </c>
    </row>
    <row r="960" spans="1:22" x14ac:dyDescent="0.2">
      <c r="A960"/>
      <c r="B960">
        <v>24025</v>
      </c>
      <c r="C960" t="s">
        <v>3077</v>
      </c>
      <c r="D960" t="s">
        <v>920</v>
      </c>
      <c r="E960" t="s">
        <v>1275</v>
      </c>
      <c r="F960" t="s">
        <v>2310</v>
      </c>
      <c r="G960">
        <v>402.28149515699999</v>
      </c>
      <c r="H960" t="s">
        <v>248</v>
      </c>
      <c r="Q960">
        <v>7138.1000556400004</v>
      </c>
      <c r="R960">
        <v>37393.965653899999</v>
      </c>
      <c r="S960">
        <v>-14.1584767065</v>
      </c>
      <c r="T960">
        <v>132.98576623</v>
      </c>
      <c r="U960">
        <v>0</v>
      </c>
      <c r="V960">
        <v>0</v>
      </c>
    </row>
    <row r="961" spans="1:22" x14ac:dyDescent="0.2">
      <c r="A961"/>
      <c r="B961">
        <v>24026</v>
      </c>
      <c r="C961" t="s">
        <v>3078</v>
      </c>
      <c r="D961" t="s">
        <v>920</v>
      </c>
      <c r="E961" t="s">
        <v>1275</v>
      </c>
      <c r="F961" t="s">
        <v>2310</v>
      </c>
      <c r="G961">
        <v>519.94493489000001</v>
      </c>
      <c r="H961" t="s">
        <v>248</v>
      </c>
      <c r="Q961">
        <v>7042.8742824299998</v>
      </c>
      <c r="R961">
        <v>37462.5224543</v>
      </c>
      <c r="S961">
        <v>-14.198612902900001</v>
      </c>
      <c r="T961">
        <v>149.001360409</v>
      </c>
      <c r="U961">
        <v>0</v>
      </c>
      <c r="V961">
        <v>0</v>
      </c>
    </row>
    <row r="962" spans="1:22" x14ac:dyDescent="0.2">
      <c r="A962"/>
      <c r="B962">
        <v>24027</v>
      </c>
      <c r="C962" t="s">
        <v>3079</v>
      </c>
      <c r="D962" t="s">
        <v>920</v>
      </c>
      <c r="E962" t="s">
        <v>1275</v>
      </c>
      <c r="F962" t="s">
        <v>2310</v>
      </c>
      <c r="G962">
        <v>540.53603684300003</v>
      </c>
      <c r="H962" t="s">
        <v>248</v>
      </c>
      <c r="Q962">
        <v>7025.11668087</v>
      </c>
      <c r="R962">
        <v>37472.945805800002</v>
      </c>
      <c r="S962">
        <v>-14.200652165599999</v>
      </c>
      <c r="T962">
        <v>150.17428934</v>
      </c>
      <c r="U962">
        <v>0</v>
      </c>
      <c r="V962">
        <v>0</v>
      </c>
    </row>
    <row r="963" spans="1:22" x14ac:dyDescent="0.2">
      <c r="A963"/>
      <c r="B963">
        <v>24028</v>
      </c>
      <c r="C963" t="s">
        <v>3080</v>
      </c>
      <c r="D963" t="s">
        <v>920</v>
      </c>
      <c r="E963" t="s">
        <v>1275</v>
      </c>
      <c r="F963" t="s">
        <v>2310</v>
      </c>
      <c r="G963">
        <v>634.35301945599997</v>
      </c>
      <c r="H963" t="s">
        <v>248</v>
      </c>
      <c r="Q963">
        <v>6941.6741390099996</v>
      </c>
      <c r="R963">
        <v>37515.755009699998</v>
      </c>
      <c r="S963">
        <v>-14.2031965135</v>
      </c>
      <c r="T963">
        <v>155.502177687</v>
      </c>
      <c r="U963">
        <v>0</v>
      </c>
      <c r="V963">
        <v>0</v>
      </c>
    </row>
    <row r="964" spans="1:22" x14ac:dyDescent="0.2">
      <c r="A964"/>
      <c r="B964">
        <v>24029</v>
      </c>
      <c r="C964" t="s">
        <v>3081</v>
      </c>
      <c r="D964" t="s">
        <v>920</v>
      </c>
      <c r="E964" t="s">
        <v>1275</v>
      </c>
      <c r="F964" t="s">
        <v>2310</v>
      </c>
      <c r="G964">
        <v>648.923675409</v>
      </c>
      <c r="H964" t="s">
        <v>248</v>
      </c>
      <c r="Q964">
        <v>6928.3721274299996</v>
      </c>
      <c r="R964">
        <v>37521.701171000001</v>
      </c>
      <c r="S964">
        <v>-14.202598955599999</v>
      </c>
      <c r="T964">
        <v>156.32726513399999</v>
      </c>
      <c r="U964">
        <v>0</v>
      </c>
      <c r="V964">
        <v>0</v>
      </c>
    </row>
    <row r="965" spans="1:22" x14ac:dyDescent="0.2">
      <c r="A965"/>
      <c r="B965">
        <v>24030</v>
      </c>
      <c r="C965" t="s">
        <v>3082</v>
      </c>
      <c r="D965" t="s">
        <v>920</v>
      </c>
      <c r="E965" t="s">
        <v>1275</v>
      </c>
      <c r="F965" t="s">
        <v>2310</v>
      </c>
      <c r="G965">
        <v>651.86526140299998</v>
      </c>
      <c r="H965" t="s">
        <v>248</v>
      </c>
      <c r="Q965">
        <v>6925.6763525400002</v>
      </c>
      <c r="R965">
        <v>37522.878337000002</v>
      </c>
      <c r="S965">
        <v>-14.2024459369</v>
      </c>
      <c r="T965">
        <v>156.49375954999999</v>
      </c>
      <c r="U965">
        <v>0</v>
      </c>
      <c r="V965">
        <v>0</v>
      </c>
    </row>
    <row r="966" spans="1:22" x14ac:dyDescent="0.2">
      <c r="A966"/>
      <c r="B966">
        <v>24031</v>
      </c>
      <c r="C966" t="s">
        <v>3083</v>
      </c>
      <c r="D966" t="s">
        <v>920</v>
      </c>
      <c r="E966" t="s">
        <v>1275</v>
      </c>
      <c r="F966" t="s">
        <v>2310</v>
      </c>
      <c r="G966">
        <v>671.39739239799997</v>
      </c>
      <c r="H966" t="s">
        <v>248</v>
      </c>
      <c r="Q966">
        <v>6907.69105046</v>
      </c>
      <c r="R966">
        <v>37530.495503600003</v>
      </c>
      <c r="S966">
        <v>-14.2011539679</v>
      </c>
      <c r="T966">
        <v>157.59861998100001</v>
      </c>
      <c r="U966">
        <v>0</v>
      </c>
      <c r="V966">
        <v>0</v>
      </c>
    </row>
    <row r="967" spans="1:22" x14ac:dyDescent="0.2">
      <c r="A967"/>
      <c r="B967">
        <v>24032</v>
      </c>
      <c r="C967" t="s">
        <v>3084</v>
      </c>
      <c r="D967" t="s">
        <v>920</v>
      </c>
      <c r="E967" t="s">
        <v>1275</v>
      </c>
      <c r="F967" t="s">
        <v>2310</v>
      </c>
      <c r="G967">
        <v>674.33897839099996</v>
      </c>
      <c r="H967" t="s">
        <v>248</v>
      </c>
      <c r="Q967">
        <v>6904.9698227700001</v>
      </c>
      <c r="R967">
        <v>37531.612571999998</v>
      </c>
      <c r="S967">
        <v>-14.200917839200001</v>
      </c>
      <c r="T967">
        <v>157.76491485099999</v>
      </c>
      <c r="U967">
        <v>0</v>
      </c>
      <c r="V967">
        <v>0</v>
      </c>
    </row>
    <row r="968" spans="1:22" x14ac:dyDescent="0.2">
      <c r="A968"/>
      <c r="B968">
        <v>24033</v>
      </c>
      <c r="C968" t="s">
        <v>3085</v>
      </c>
      <c r="D968" t="s">
        <v>920</v>
      </c>
      <c r="E968" t="s">
        <v>1275</v>
      </c>
      <c r="F968" t="s">
        <v>2310</v>
      </c>
      <c r="G968">
        <v>731.22925150200001</v>
      </c>
      <c r="H968" t="s">
        <v>248</v>
      </c>
      <c r="Q968">
        <v>6851.73416481</v>
      </c>
      <c r="R968">
        <v>37551.653052200003</v>
      </c>
      <c r="S968">
        <v>-14.1942114829</v>
      </c>
      <c r="T968">
        <v>160.97592041999999</v>
      </c>
      <c r="U968">
        <v>0</v>
      </c>
      <c r="V968">
        <v>0</v>
      </c>
    </row>
    <row r="969" spans="1:22" x14ac:dyDescent="0.2">
      <c r="A969"/>
      <c r="B969">
        <v>24034</v>
      </c>
      <c r="C969" t="s">
        <v>3086</v>
      </c>
      <c r="D969" t="s">
        <v>920</v>
      </c>
      <c r="E969" t="s">
        <v>1275</v>
      </c>
      <c r="F969" t="s">
        <v>2310</v>
      </c>
      <c r="G969">
        <v>765.64580762399999</v>
      </c>
      <c r="H969" t="s">
        <v>248</v>
      </c>
      <c r="Q969">
        <v>6819.0138371200001</v>
      </c>
      <c r="R969">
        <v>37562.3191926</v>
      </c>
      <c r="S969">
        <v>-14.188179056999999</v>
      </c>
      <c r="T969">
        <v>162.91371984099999</v>
      </c>
      <c r="U969">
        <v>0</v>
      </c>
      <c r="V969">
        <v>0</v>
      </c>
    </row>
    <row r="970" spans="1:22" x14ac:dyDescent="0.2">
      <c r="A970"/>
      <c r="B970">
        <v>24035</v>
      </c>
      <c r="C970" t="s">
        <v>3087</v>
      </c>
      <c r="D970" t="s">
        <v>920</v>
      </c>
      <c r="E970" t="s">
        <v>1275</v>
      </c>
      <c r="F970" t="s">
        <v>2310</v>
      </c>
      <c r="G970">
        <v>768.58739361699998</v>
      </c>
      <c r="H970" t="s">
        <v>248</v>
      </c>
      <c r="Q970">
        <v>6816.2008393100004</v>
      </c>
      <c r="R970">
        <v>37563.179404800001</v>
      </c>
      <c r="S970">
        <v>-14.187682713899999</v>
      </c>
      <c r="T970">
        <v>163.078880443</v>
      </c>
      <c r="U970">
        <v>0</v>
      </c>
      <c r="V970">
        <v>0</v>
      </c>
    </row>
    <row r="971" spans="1:22" x14ac:dyDescent="0.2">
      <c r="A971"/>
      <c r="B971">
        <v>24036</v>
      </c>
      <c r="C971" t="s">
        <v>3088</v>
      </c>
      <c r="D971" t="s">
        <v>920</v>
      </c>
      <c r="E971" t="s">
        <v>1275</v>
      </c>
      <c r="F971" t="s">
        <v>2310</v>
      </c>
      <c r="G971">
        <v>788.11952461199996</v>
      </c>
      <c r="H971" t="s">
        <v>248</v>
      </c>
      <c r="Q971">
        <v>6797.4682590299999</v>
      </c>
      <c r="R971">
        <v>37568.710025499997</v>
      </c>
      <c r="S971">
        <v>-14.1958939635</v>
      </c>
      <c r="T971">
        <v>163.82263877899999</v>
      </c>
      <c r="U971">
        <v>0</v>
      </c>
      <c r="V971">
        <v>0</v>
      </c>
    </row>
    <row r="972" spans="1:22" x14ac:dyDescent="0.2">
      <c r="A972"/>
      <c r="B972">
        <v>24037</v>
      </c>
      <c r="C972" t="s">
        <v>3089</v>
      </c>
      <c r="D972" t="s">
        <v>920</v>
      </c>
      <c r="E972" t="s">
        <v>1275</v>
      </c>
      <c r="F972" t="s">
        <v>2310</v>
      </c>
      <c r="G972">
        <v>791.06111060600006</v>
      </c>
      <c r="H972" t="s">
        <v>248</v>
      </c>
      <c r="Q972">
        <v>6794.6432467300001</v>
      </c>
      <c r="R972">
        <v>37569.529919300003</v>
      </c>
      <c r="S972">
        <v>-14.193089674299999</v>
      </c>
      <c r="T972">
        <v>163.809245632</v>
      </c>
      <c r="U972">
        <v>0</v>
      </c>
      <c r="V972">
        <v>0</v>
      </c>
    </row>
    <row r="973" spans="1:22" x14ac:dyDescent="0.2">
      <c r="A973"/>
      <c r="B973">
        <v>24038</v>
      </c>
      <c r="C973" t="s">
        <v>3090</v>
      </c>
      <c r="D973" t="s">
        <v>920</v>
      </c>
      <c r="E973" t="s">
        <v>1275</v>
      </c>
      <c r="F973" t="s">
        <v>2310</v>
      </c>
      <c r="G973">
        <v>842.46042319499998</v>
      </c>
      <c r="H973" t="s">
        <v>248</v>
      </c>
      <c r="Q973">
        <v>6745.2990188200001</v>
      </c>
      <c r="R973">
        <v>37583.918466499999</v>
      </c>
      <c r="S973">
        <v>-14.1191801946</v>
      </c>
      <c r="T973">
        <v>163.723098808</v>
      </c>
      <c r="U973">
        <v>0</v>
      </c>
      <c r="V973">
        <v>0</v>
      </c>
    </row>
    <row r="974" spans="1:22" x14ac:dyDescent="0.2">
      <c r="A974"/>
      <c r="B974">
        <v>24039</v>
      </c>
      <c r="C974" t="s">
        <v>3091</v>
      </c>
      <c r="D974" t="s">
        <v>920</v>
      </c>
      <c r="E974" t="s">
        <v>1275</v>
      </c>
      <c r="F974" t="s">
        <v>2310</v>
      </c>
      <c r="G974">
        <v>920.000629979</v>
      </c>
      <c r="H974" t="s">
        <v>248</v>
      </c>
      <c r="Q974">
        <v>6671.1953714800002</v>
      </c>
      <c r="R974">
        <v>37606.700076300003</v>
      </c>
      <c r="S974">
        <v>-13.8893333615</v>
      </c>
      <c r="T974">
        <v>160.480975817</v>
      </c>
      <c r="U974">
        <v>0</v>
      </c>
      <c r="V974">
        <v>0</v>
      </c>
    </row>
    <row r="975" spans="1:22" x14ac:dyDescent="0.2">
      <c r="A975"/>
      <c r="B975">
        <v>24040</v>
      </c>
      <c r="C975" t="s">
        <v>3092</v>
      </c>
      <c r="D975" t="s">
        <v>920</v>
      </c>
      <c r="E975" t="s">
        <v>1275</v>
      </c>
      <c r="F975" t="s">
        <v>2310</v>
      </c>
      <c r="G975">
        <v>940.59173193200002</v>
      </c>
      <c r="H975" t="s">
        <v>248</v>
      </c>
      <c r="Q975">
        <v>6651.86669979</v>
      </c>
      <c r="R975">
        <v>37613.797876600001</v>
      </c>
      <c r="S975">
        <v>-13.851015347500001</v>
      </c>
      <c r="T975">
        <v>159.28041903600001</v>
      </c>
      <c r="U975">
        <v>0</v>
      </c>
      <c r="V975">
        <v>0</v>
      </c>
    </row>
    <row r="976" spans="1:22" x14ac:dyDescent="0.2">
      <c r="A976"/>
      <c r="B976">
        <v>24041</v>
      </c>
      <c r="C976" t="s">
        <v>3093</v>
      </c>
      <c r="D976" t="s">
        <v>920</v>
      </c>
      <c r="E976" t="s">
        <v>1275</v>
      </c>
      <c r="F976" t="s">
        <v>2310</v>
      </c>
      <c r="G976">
        <v>1058.2551716600001</v>
      </c>
      <c r="H976" t="s">
        <v>248</v>
      </c>
      <c r="Q976">
        <v>6541.1981003000001</v>
      </c>
      <c r="R976">
        <v>37653.461055599997</v>
      </c>
      <c r="S976">
        <v>-13.294485718900001</v>
      </c>
      <c r="T976">
        <v>165.49029051599999</v>
      </c>
      <c r="U976">
        <v>0</v>
      </c>
      <c r="V976">
        <v>0</v>
      </c>
    </row>
    <row r="977" spans="1:22" x14ac:dyDescent="0.2">
      <c r="A977"/>
      <c r="B977">
        <v>24042</v>
      </c>
      <c r="C977" t="s">
        <v>3094</v>
      </c>
      <c r="D977" t="s">
        <v>920</v>
      </c>
      <c r="E977" t="s">
        <v>1275</v>
      </c>
      <c r="F977" t="s">
        <v>2310</v>
      </c>
      <c r="G977">
        <v>1234.7503312599999</v>
      </c>
      <c r="H977" t="s">
        <v>248</v>
      </c>
      <c r="Q977">
        <v>6367.0284849400005</v>
      </c>
      <c r="R977">
        <v>37681.014802799997</v>
      </c>
      <c r="S977">
        <v>-9.2840680485099991</v>
      </c>
      <c r="T977">
        <v>172.376109364</v>
      </c>
      <c r="U977">
        <v>0</v>
      </c>
      <c r="V977">
        <v>0</v>
      </c>
    </row>
    <row r="978" spans="1:22" x14ac:dyDescent="0.2">
      <c r="A978"/>
      <c r="B978">
        <v>24043</v>
      </c>
      <c r="C978" t="s">
        <v>3095</v>
      </c>
      <c r="D978" t="s">
        <v>920</v>
      </c>
      <c r="E978" t="s">
        <v>1275</v>
      </c>
      <c r="F978" t="s">
        <v>2310</v>
      </c>
      <c r="G978">
        <v>1411.24549086</v>
      </c>
      <c r="H978" t="s">
        <v>248</v>
      </c>
      <c r="Q978">
        <v>6192.1410512399998</v>
      </c>
      <c r="R978">
        <v>37704.409746999998</v>
      </c>
      <c r="S978">
        <v>-5.1312808420899998</v>
      </c>
      <c r="T978">
        <v>172.28992153799999</v>
      </c>
      <c r="U978">
        <v>0</v>
      </c>
      <c r="V978">
        <v>0</v>
      </c>
    </row>
    <row r="979" spans="1:22" x14ac:dyDescent="0.2">
      <c r="A979"/>
      <c r="B979">
        <v>24044</v>
      </c>
      <c r="C979" t="s">
        <v>3096</v>
      </c>
      <c r="D979" t="s">
        <v>920</v>
      </c>
      <c r="E979" t="s">
        <v>1275</v>
      </c>
      <c r="F979" t="s">
        <v>2310</v>
      </c>
      <c r="G979">
        <v>1558.32479053</v>
      </c>
      <c r="H979" t="s">
        <v>248</v>
      </c>
      <c r="Q979">
        <v>6047.0356169899997</v>
      </c>
      <c r="R979">
        <v>37727.895955</v>
      </c>
      <c r="S979">
        <v>-5.3075254801699998</v>
      </c>
      <c r="T979">
        <v>167.019537668</v>
      </c>
      <c r="U979">
        <v>0</v>
      </c>
      <c r="V979">
        <v>0</v>
      </c>
    </row>
    <row r="980" spans="1:22" x14ac:dyDescent="0.2">
      <c r="A980"/>
      <c r="B980">
        <v>24045</v>
      </c>
      <c r="C980" t="s">
        <v>3097</v>
      </c>
      <c r="D980" t="s">
        <v>920</v>
      </c>
      <c r="E980" t="s">
        <v>1275</v>
      </c>
      <c r="F980" t="s">
        <v>2310</v>
      </c>
      <c r="G980">
        <v>1705.40409019</v>
      </c>
      <c r="H980" t="s">
        <v>248</v>
      </c>
      <c r="Q980">
        <v>5901.9513844599996</v>
      </c>
      <c r="R980">
        <v>37750.775451399997</v>
      </c>
      <c r="S980">
        <v>-7.7866278687000001</v>
      </c>
      <c r="T980">
        <v>174.29613714300001</v>
      </c>
      <c r="U980">
        <v>0</v>
      </c>
      <c r="V980">
        <v>0</v>
      </c>
    </row>
    <row r="981" spans="1:22" x14ac:dyDescent="0.2">
      <c r="A981"/>
      <c r="B981">
        <v>24046</v>
      </c>
      <c r="C981" t="s">
        <v>3098</v>
      </c>
      <c r="D981" t="s">
        <v>920</v>
      </c>
      <c r="E981" t="s">
        <v>1275</v>
      </c>
      <c r="F981" t="s">
        <v>2310</v>
      </c>
      <c r="G981">
        <v>1886.80189311</v>
      </c>
      <c r="H981" t="s">
        <v>248</v>
      </c>
      <c r="Q981">
        <v>5721.1429763699998</v>
      </c>
      <c r="R981">
        <v>37751.286291900004</v>
      </c>
      <c r="S981">
        <v>-11.736179531099999</v>
      </c>
      <c r="T981">
        <v>-172.052551096</v>
      </c>
      <c r="U981">
        <v>0</v>
      </c>
      <c r="V981">
        <v>0</v>
      </c>
    </row>
    <row r="982" spans="1:22" x14ac:dyDescent="0.2">
      <c r="A982"/>
      <c r="B982">
        <v>24047</v>
      </c>
      <c r="C982" t="s">
        <v>3099</v>
      </c>
      <c r="D982" t="s">
        <v>920</v>
      </c>
      <c r="E982" t="s">
        <v>1275</v>
      </c>
      <c r="F982" t="s">
        <v>2310</v>
      </c>
      <c r="G982">
        <v>2063.2970527100001</v>
      </c>
      <c r="H982" t="s">
        <v>248</v>
      </c>
      <c r="Q982">
        <v>5551.5507747000001</v>
      </c>
      <c r="R982">
        <v>37703.939902400001</v>
      </c>
      <c r="S982">
        <v>-10.959716521700001</v>
      </c>
      <c r="T982">
        <v>-160.076471596</v>
      </c>
      <c r="U982">
        <v>0</v>
      </c>
      <c r="V982">
        <v>0</v>
      </c>
    </row>
    <row r="983" spans="1:22" x14ac:dyDescent="0.2">
      <c r="A983"/>
      <c r="B983">
        <v>24048</v>
      </c>
      <c r="C983" t="s">
        <v>3100</v>
      </c>
      <c r="D983" t="s">
        <v>920</v>
      </c>
      <c r="E983" t="s">
        <v>1275</v>
      </c>
      <c r="F983" t="s">
        <v>2310</v>
      </c>
      <c r="G983">
        <v>2180.9604924400001</v>
      </c>
      <c r="H983" t="s">
        <v>248</v>
      </c>
      <c r="Q983">
        <v>5443.2120277399999</v>
      </c>
      <c r="R983">
        <v>37658.4011857</v>
      </c>
      <c r="S983">
        <v>-10.1002283704</v>
      </c>
      <c r="T983">
        <v>-151.23790397600001</v>
      </c>
      <c r="U983">
        <v>0</v>
      </c>
      <c r="V983">
        <v>0</v>
      </c>
    </row>
    <row r="984" spans="1:22" x14ac:dyDescent="0.2">
      <c r="A984"/>
      <c r="B984">
        <v>24049</v>
      </c>
      <c r="C984" t="s">
        <v>3101</v>
      </c>
      <c r="D984" t="s">
        <v>920</v>
      </c>
      <c r="E984" t="s">
        <v>1275</v>
      </c>
      <c r="F984" t="s">
        <v>2310</v>
      </c>
      <c r="G984">
        <v>2201.55159439</v>
      </c>
      <c r="H984" t="s">
        <v>248</v>
      </c>
      <c r="Q984">
        <v>5425.3999566800003</v>
      </c>
      <c r="R984">
        <v>37648.074245000003</v>
      </c>
      <c r="S984">
        <v>-10.1021718285</v>
      </c>
      <c r="T984">
        <v>-148.55063714400001</v>
      </c>
      <c r="U984">
        <v>0</v>
      </c>
      <c r="V984">
        <v>0</v>
      </c>
    </row>
    <row r="985" spans="1:22" x14ac:dyDescent="0.2">
      <c r="A985"/>
      <c r="B985">
        <v>24050</v>
      </c>
      <c r="C985" t="s">
        <v>3102</v>
      </c>
      <c r="D985" t="s">
        <v>920</v>
      </c>
      <c r="E985" t="s">
        <v>1275</v>
      </c>
      <c r="F985" t="s">
        <v>2310</v>
      </c>
      <c r="G985">
        <v>2296.1333893699998</v>
      </c>
      <c r="H985" t="s">
        <v>248</v>
      </c>
      <c r="Q985">
        <v>5345.4928671899997</v>
      </c>
      <c r="R985">
        <v>37597.473162000002</v>
      </c>
      <c r="S985">
        <v>-10.104490784399999</v>
      </c>
      <c r="T985">
        <v>-147.27699510799999</v>
      </c>
      <c r="U985">
        <v>0</v>
      </c>
      <c r="V985">
        <v>0</v>
      </c>
    </row>
    <row r="986" spans="1:22" x14ac:dyDescent="0.2">
      <c r="A986"/>
      <c r="B986">
        <v>24051</v>
      </c>
      <c r="C986" t="s">
        <v>3103</v>
      </c>
      <c r="D986" t="s">
        <v>920</v>
      </c>
      <c r="E986" t="s">
        <v>1275</v>
      </c>
      <c r="F986" t="s">
        <v>2310</v>
      </c>
      <c r="G986">
        <v>2310.7040453200002</v>
      </c>
      <c r="H986" t="s">
        <v>248</v>
      </c>
      <c r="Q986">
        <v>5333.2538915799996</v>
      </c>
      <c r="R986">
        <v>37589.566771099999</v>
      </c>
      <c r="S986">
        <v>-10.106871437000001</v>
      </c>
      <c r="T986">
        <v>-146.98284120400001</v>
      </c>
      <c r="U986">
        <v>0</v>
      </c>
      <c r="V986">
        <v>0</v>
      </c>
    </row>
    <row r="987" spans="1:22" x14ac:dyDescent="0.2">
      <c r="A987"/>
      <c r="B987">
        <v>24052</v>
      </c>
      <c r="C987" t="s">
        <v>3104</v>
      </c>
      <c r="D987" t="s">
        <v>920</v>
      </c>
      <c r="E987" t="s">
        <v>1275</v>
      </c>
      <c r="F987" t="s">
        <v>2310</v>
      </c>
      <c r="G987">
        <v>2313.6456313100002</v>
      </c>
      <c r="H987" t="s">
        <v>248</v>
      </c>
      <c r="Q987">
        <v>5330.7883268799997</v>
      </c>
      <c r="R987">
        <v>37587.962427699997</v>
      </c>
      <c r="S987">
        <v>-10.107313356300001</v>
      </c>
      <c r="T987">
        <v>-146.91242115700001</v>
      </c>
      <c r="U987">
        <v>0</v>
      </c>
      <c r="V987">
        <v>0</v>
      </c>
    </row>
    <row r="988" spans="1:22" x14ac:dyDescent="0.2">
      <c r="A988"/>
      <c r="B988">
        <v>24053</v>
      </c>
      <c r="C988" t="s">
        <v>3105</v>
      </c>
      <c r="D988" t="s">
        <v>920</v>
      </c>
      <c r="E988" t="s">
        <v>1275</v>
      </c>
      <c r="F988" t="s">
        <v>2310</v>
      </c>
      <c r="G988">
        <v>2333.1777623100002</v>
      </c>
      <c r="H988" t="s">
        <v>248</v>
      </c>
      <c r="Q988">
        <v>5314.4735516000001</v>
      </c>
      <c r="R988">
        <v>37577.223285100001</v>
      </c>
      <c r="S988">
        <v>-10.1099179555</v>
      </c>
      <c r="T988">
        <v>-146.35080044899999</v>
      </c>
      <c r="U988">
        <v>0</v>
      </c>
      <c r="V988">
        <v>0</v>
      </c>
    </row>
    <row r="989" spans="1:22" x14ac:dyDescent="0.2">
      <c r="A989"/>
      <c r="B989">
        <v>24054</v>
      </c>
      <c r="C989" t="s">
        <v>3106</v>
      </c>
      <c r="D989" t="s">
        <v>920</v>
      </c>
      <c r="E989" t="s">
        <v>1275</v>
      </c>
      <c r="F989" t="s">
        <v>2310</v>
      </c>
      <c r="G989">
        <v>2336.1193483000002</v>
      </c>
      <c r="H989" t="s">
        <v>248</v>
      </c>
      <c r="Q989">
        <v>5312.0262378199996</v>
      </c>
      <c r="R989">
        <v>37575.591237000001</v>
      </c>
      <c r="S989">
        <v>-10.1102605542</v>
      </c>
      <c r="T989">
        <v>-146.252057632</v>
      </c>
      <c r="U989">
        <v>0</v>
      </c>
      <c r="V989">
        <v>0</v>
      </c>
    </row>
    <row r="990" spans="1:22" x14ac:dyDescent="0.2">
      <c r="A990"/>
      <c r="B990">
        <v>24055</v>
      </c>
      <c r="C990" t="s">
        <v>3107</v>
      </c>
      <c r="D990" t="s">
        <v>920</v>
      </c>
      <c r="E990" t="s">
        <v>1275</v>
      </c>
      <c r="F990" t="s">
        <v>2310</v>
      </c>
      <c r="G990">
        <v>2393.0096214099999</v>
      </c>
      <c r="H990" t="s">
        <v>248</v>
      </c>
      <c r="Q990">
        <v>5265.3988423199999</v>
      </c>
      <c r="R990">
        <v>37543.005604400001</v>
      </c>
      <c r="S990">
        <v>-10.1128529013</v>
      </c>
      <c r="T990">
        <v>-143.64810560000001</v>
      </c>
      <c r="U990">
        <v>0</v>
      </c>
      <c r="V990">
        <v>0</v>
      </c>
    </row>
    <row r="991" spans="1:22" x14ac:dyDescent="0.2">
      <c r="A991"/>
      <c r="B991">
        <v>24056</v>
      </c>
      <c r="C991" t="s">
        <v>3108</v>
      </c>
      <c r="D991" t="s">
        <v>920</v>
      </c>
      <c r="E991" t="s">
        <v>1275</v>
      </c>
      <c r="F991" t="s">
        <v>2310</v>
      </c>
      <c r="G991">
        <v>2427.4261775300001</v>
      </c>
      <c r="H991" t="s">
        <v>248</v>
      </c>
      <c r="Q991">
        <v>5238.0506063700004</v>
      </c>
      <c r="R991">
        <v>37522.1145235</v>
      </c>
      <c r="S991">
        <v>-10.109338106299999</v>
      </c>
      <c r="T991">
        <v>-141.65726587899999</v>
      </c>
      <c r="U991">
        <v>0</v>
      </c>
      <c r="V991">
        <v>0</v>
      </c>
    </row>
    <row r="992" spans="1:22" x14ac:dyDescent="0.2">
      <c r="A992"/>
      <c r="B992">
        <v>24057</v>
      </c>
      <c r="C992" t="s">
        <v>3109</v>
      </c>
      <c r="D992" t="s">
        <v>920</v>
      </c>
      <c r="E992" t="s">
        <v>1275</v>
      </c>
      <c r="F992" t="s">
        <v>2310</v>
      </c>
      <c r="G992">
        <v>2430.36776353</v>
      </c>
      <c r="H992" t="s">
        <v>248</v>
      </c>
      <c r="Q992">
        <v>5235.7444337699999</v>
      </c>
      <c r="R992">
        <v>37520.288465799997</v>
      </c>
      <c r="S992">
        <v>-10.106414967599999</v>
      </c>
      <c r="T992">
        <v>-141.60273628600001</v>
      </c>
      <c r="U992">
        <v>0</v>
      </c>
      <c r="V992">
        <v>0</v>
      </c>
    </row>
    <row r="993" spans="1:22" x14ac:dyDescent="0.2">
      <c r="A993"/>
      <c r="B993">
        <v>24058</v>
      </c>
      <c r="C993" t="s">
        <v>3110</v>
      </c>
      <c r="D993" t="s">
        <v>920</v>
      </c>
      <c r="E993" t="s">
        <v>1275</v>
      </c>
      <c r="F993" t="s">
        <v>2310</v>
      </c>
      <c r="G993">
        <v>2449.8998945200001</v>
      </c>
      <c r="H993" t="s">
        <v>248</v>
      </c>
      <c r="Q993">
        <v>5220.4479046400002</v>
      </c>
      <c r="R993">
        <v>37508.142682099999</v>
      </c>
      <c r="S993">
        <v>-10.0982421406</v>
      </c>
      <c r="T993">
        <v>-141.56393153100001</v>
      </c>
      <c r="U993">
        <v>0</v>
      </c>
      <c r="V993">
        <v>0</v>
      </c>
    </row>
    <row r="994" spans="1:22" x14ac:dyDescent="0.2">
      <c r="A994"/>
      <c r="B994">
        <v>24059</v>
      </c>
      <c r="C994" t="s">
        <v>3111</v>
      </c>
      <c r="D994" t="s">
        <v>920</v>
      </c>
      <c r="E994" t="s">
        <v>1275</v>
      </c>
      <c r="F994" t="s">
        <v>2310</v>
      </c>
      <c r="G994">
        <v>2452.84148052</v>
      </c>
      <c r="H994" t="s">
        <v>248</v>
      </c>
      <c r="Q994">
        <v>5218.1435910800001</v>
      </c>
      <c r="R994">
        <v>37506.314285300003</v>
      </c>
      <c r="S994">
        <v>-10.1038680631</v>
      </c>
      <c r="T994">
        <v>-141.57415477200001</v>
      </c>
      <c r="U994">
        <v>0</v>
      </c>
      <c r="V994">
        <v>0</v>
      </c>
    </row>
    <row r="995" spans="1:22" x14ac:dyDescent="0.2">
      <c r="A995"/>
      <c r="B995">
        <v>24060</v>
      </c>
      <c r="C995" t="s">
        <v>3112</v>
      </c>
      <c r="D995" t="s">
        <v>920</v>
      </c>
      <c r="E995" t="s">
        <v>1275</v>
      </c>
      <c r="F995" t="s">
        <v>2310</v>
      </c>
      <c r="G995">
        <v>2504.2407931100001</v>
      </c>
      <c r="H995" t="s">
        <v>248</v>
      </c>
      <c r="Q995">
        <v>5177.8728010900004</v>
      </c>
      <c r="R995">
        <v>37474.380187800001</v>
      </c>
      <c r="S995">
        <v>-10.6557059355</v>
      </c>
      <c r="T995">
        <v>-141.52690880899999</v>
      </c>
      <c r="U995">
        <v>0</v>
      </c>
      <c r="V995">
        <v>0</v>
      </c>
    </row>
    <row r="996" spans="1:22" x14ac:dyDescent="0.2">
      <c r="A996"/>
      <c r="B996">
        <v>24061</v>
      </c>
      <c r="C996" t="s">
        <v>3113</v>
      </c>
      <c r="D996" t="s">
        <v>920</v>
      </c>
      <c r="E996" t="s">
        <v>1275</v>
      </c>
      <c r="F996" t="s">
        <v>2310</v>
      </c>
      <c r="G996">
        <v>2582.9772448600002</v>
      </c>
      <c r="H996" t="s">
        <v>248</v>
      </c>
      <c r="Q996">
        <v>5116.7811350299999</v>
      </c>
      <c r="R996">
        <v>37424.756417899996</v>
      </c>
      <c r="S996">
        <v>-12.5733133364</v>
      </c>
      <c r="T996">
        <v>-139.03497322600001</v>
      </c>
      <c r="U996">
        <v>0</v>
      </c>
      <c r="V996">
        <v>0</v>
      </c>
    </row>
    <row r="997" spans="1:22" x14ac:dyDescent="0.2">
      <c r="A997"/>
      <c r="B997">
        <v>24062</v>
      </c>
      <c r="C997" t="s">
        <v>3114</v>
      </c>
      <c r="D997" t="s">
        <v>920</v>
      </c>
      <c r="E997" t="s">
        <v>1275</v>
      </c>
      <c r="F997" t="s">
        <v>2310</v>
      </c>
      <c r="G997">
        <v>2603.5683468100001</v>
      </c>
      <c r="H997" t="s">
        <v>248</v>
      </c>
      <c r="Q997">
        <v>5101.4138436100002</v>
      </c>
      <c r="R997">
        <v>37411.061437199998</v>
      </c>
      <c r="S997">
        <v>-13.086790665100001</v>
      </c>
      <c r="T997">
        <v>-137.55127558500001</v>
      </c>
      <c r="U997">
        <v>0</v>
      </c>
      <c r="V997">
        <v>0</v>
      </c>
    </row>
    <row r="998" spans="1:22" x14ac:dyDescent="0.2">
      <c r="A998"/>
      <c r="B998">
        <v>24063</v>
      </c>
      <c r="C998" t="s">
        <v>3115</v>
      </c>
      <c r="D998" t="s">
        <v>920</v>
      </c>
      <c r="E998" t="s">
        <v>1275</v>
      </c>
      <c r="F998" t="s">
        <v>2310</v>
      </c>
      <c r="G998">
        <v>2780.0635064100002</v>
      </c>
      <c r="H998" t="s">
        <v>248</v>
      </c>
      <c r="Q998">
        <v>4984.1494691999997</v>
      </c>
      <c r="R998">
        <v>37279.549172500003</v>
      </c>
      <c r="S998">
        <v>-17.413596096599999</v>
      </c>
      <c r="T998">
        <v>-128.51721595699999</v>
      </c>
      <c r="U998">
        <v>0</v>
      </c>
      <c r="V998">
        <v>0</v>
      </c>
    </row>
    <row r="999" spans="1:22" x14ac:dyDescent="0.2">
      <c r="A999"/>
      <c r="B999">
        <v>24064</v>
      </c>
      <c r="C999" t="s">
        <v>3116</v>
      </c>
      <c r="D999" t="s">
        <v>920</v>
      </c>
      <c r="E999" t="s">
        <v>1275</v>
      </c>
      <c r="F999" t="s">
        <v>2310</v>
      </c>
      <c r="G999">
        <v>2956.5586660099998</v>
      </c>
      <c r="H999" t="s">
        <v>248</v>
      </c>
      <c r="Q999">
        <v>4883.5516644899999</v>
      </c>
      <c r="R999">
        <v>37134.837324100001</v>
      </c>
      <c r="S999">
        <v>-16.998940440999998</v>
      </c>
      <c r="T999">
        <v>-120.677423539</v>
      </c>
      <c r="U999">
        <v>0</v>
      </c>
      <c r="V999">
        <v>0</v>
      </c>
    </row>
    <row r="1000" spans="1:22" x14ac:dyDescent="0.2">
      <c r="A1000"/>
      <c r="B1000">
        <v>24065</v>
      </c>
      <c r="C1000" t="s">
        <v>3117</v>
      </c>
      <c r="D1000" t="s">
        <v>920</v>
      </c>
      <c r="E1000" t="s">
        <v>1275</v>
      </c>
      <c r="F1000" t="s">
        <v>2310</v>
      </c>
      <c r="G1000">
        <v>3011.4682712200001</v>
      </c>
      <c r="H1000" t="s">
        <v>248</v>
      </c>
      <c r="Q1000">
        <v>4855.7299921599997</v>
      </c>
      <c r="R1000">
        <v>37087.510990499999</v>
      </c>
      <c r="S1000">
        <v>-15.8917168319</v>
      </c>
      <c r="T1000">
        <v>-120.293739157</v>
      </c>
      <c r="U1000">
        <v>0</v>
      </c>
      <c r="V1000">
        <v>0</v>
      </c>
    </row>
    <row r="1001" spans="1:22" x14ac:dyDescent="0.2">
      <c r="A1001"/>
      <c r="B1001">
        <v>24066</v>
      </c>
      <c r="C1001" t="s">
        <v>3118</v>
      </c>
      <c r="D1001" t="s">
        <v>920</v>
      </c>
      <c r="E1001" t="s">
        <v>1275</v>
      </c>
      <c r="F1001" t="s">
        <v>2310</v>
      </c>
      <c r="G1001">
        <v>3129.1317109500001</v>
      </c>
      <c r="H1001" t="s">
        <v>248</v>
      </c>
      <c r="Q1001">
        <v>4798.6750228299998</v>
      </c>
      <c r="R1001">
        <v>36984.701265700001</v>
      </c>
      <c r="S1001">
        <v>-13.7661428077</v>
      </c>
      <c r="T1001">
        <v>-114.276150935</v>
      </c>
      <c r="U1001">
        <v>0</v>
      </c>
      <c r="V1001">
        <v>0</v>
      </c>
    </row>
    <row r="1002" spans="1:22" x14ac:dyDescent="0.2">
      <c r="A1002"/>
      <c r="B1002">
        <v>24067</v>
      </c>
      <c r="C1002" t="s">
        <v>3119</v>
      </c>
      <c r="D1002" t="s">
        <v>920</v>
      </c>
      <c r="E1002" t="s">
        <v>1275</v>
      </c>
      <c r="F1002" t="s">
        <v>2310</v>
      </c>
      <c r="G1002">
        <v>3149.7228129</v>
      </c>
      <c r="H1002" t="s">
        <v>248</v>
      </c>
      <c r="Q1002">
        <v>4790.5513240099999</v>
      </c>
      <c r="R1002">
        <v>36965.781984599998</v>
      </c>
      <c r="S1002">
        <v>-13.6427956469</v>
      </c>
      <c r="T1002">
        <v>-112.26275493</v>
      </c>
      <c r="U1002">
        <v>0</v>
      </c>
      <c r="V1002">
        <v>0</v>
      </c>
    </row>
    <row r="1003" spans="1:22" x14ac:dyDescent="0.2">
      <c r="A1003"/>
      <c r="B1003">
        <v>24068</v>
      </c>
      <c r="C1003" t="s">
        <v>3120</v>
      </c>
      <c r="D1003" t="s">
        <v>920</v>
      </c>
      <c r="E1003" t="s">
        <v>1275</v>
      </c>
      <c r="F1003" t="s">
        <v>2310</v>
      </c>
      <c r="G1003">
        <v>3244.0692809900002</v>
      </c>
      <c r="H1003" t="s">
        <v>248</v>
      </c>
      <c r="Q1003">
        <v>4758.0991506399996</v>
      </c>
      <c r="R1003">
        <v>36877.201877699998</v>
      </c>
      <c r="S1003">
        <v>-13.6211481971</v>
      </c>
      <c r="T1003">
        <v>-109.030381796</v>
      </c>
      <c r="U1003">
        <v>0</v>
      </c>
      <c r="V1003">
        <v>0</v>
      </c>
    </row>
    <row r="1004" spans="1:22" x14ac:dyDescent="0.2">
      <c r="A1004"/>
      <c r="B1004">
        <v>24069</v>
      </c>
      <c r="C1004" t="s">
        <v>3121</v>
      </c>
      <c r="D1004" t="s">
        <v>920</v>
      </c>
      <c r="E1004" t="s">
        <v>1275</v>
      </c>
      <c r="F1004" t="s">
        <v>2310</v>
      </c>
      <c r="G1004">
        <v>3258.63993695</v>
      </c>
      <c r="H1004" t="s">
        <v>248</v>
      </c>
      <c r="Q1004">
        <v>4753.4160501899996</v>
      </c>
      <c r="R1004">
        <v>36863.404384300004</v>
      </c>
      <c r="S1004">
        <v>-13.6173949801</v>
      </c>
      <c r="T1004">
        <v>-108.461297755</v>
      </c>
      <c r="U1004">
        <v>0</v>
      </c>
      <c r="V1004">
        <v>0</v>
      </c>
    </row>
    <row r="1005" spans="1:22" x14ac:dyDescent="0.2">
      <c r="A1005"/>
      <c r="B1005">
        <v>24070</v>
      </c>
      <c r="C1005" t="s">
        <v>3122</v>
      </c>
      <c r="D1005" t="s">
        <v>920</v>
      </c>
      <c r="E1005" t="s">
        <v>1275</v>
      </c>
      <c r="F1005" t="s">
        <v>2310</v>
      </c>
      <c r="G1005">
        <v>3261.58152294</v>
      </c>
      <c r="H1005" t="s">
        <v>248</v>
      </c>
      <c r="Q1005">
        <v>4752.4874289099998</v>
      </c>
      <c r="R1005">
        <v>36860.613222</v>
      </c>
      <c r="S1005">
        <v>-13.6166075834</v>
      </c>
      <c r="T1005">
        <v>-108.343145823</v>
      </c>
      <c r="U1005">
        <v>0</v>
      </c>
      <c r="V1005">
        <v>0</v>
      </c>
    </row>
    <row r="1006" spans="1:22" x14ac:dyDescent="0.2">
      <c r="A1006"/>
      <c r="B1006">
        <v>24071</v>
      </c>
      <c r="C1006" t="s">
        <v>3123</v>
      </c>
      <c r="D1006" t="s">
        <v>920</v>
      </c>
      <c r="E1006" t="s">
        <v>1275</v>
      </c>
      <c r="F1006" t="s">
        <v>2310</v>
      </c>
      <c r="G1006">
        <v>3281.1136539399999</v>
      </c>
      <c r="H1006" t="s">
        <v>248</v>
      </c>
      <c r="Q1006">
        <v>4746.4708544300001</v>
      </c>
      <c r="R1006">
        <v>36842.0310111</v>
      </c>
      <c r="S1006">
        <v>-13.6122572399</v>
      </c>
      <c r="T1006">
        <v>-107.530763291</v>
      </c>
      <c r="U1006">
        <v>0</v>
      </c>
      <c r="V1006">
        <v>0</v>
      </c>
    </row>
    <row r="1007" spans="1:22" x14ac:dyDescent="0.2">
      <c r="A1007"/>
      <c r="B1007">
        <v>24072</v>
      </c>
      <c r="C1007" t="s">
        <v>3124</v>
      </c>
      <c r="D1007" t="s">
        <v>920</v>
      </c>
      <c r="E1007" t="s">
        <v>1275</v>
      </c>
      <c r="F1007" t="s">
        <v>2310</v>
      </c>
      <c r="G1007">
        <v>3284.05523993</v>
      </c>
      <c r="H1007" t="s">
        <v>248</v>
      </c>
      <c r="Q1007">
        <v>4745.5878900199996</v>
      </c>
      <c r="R1007">
        <v>36839.225071300003</v>
      </c>
      <c r="S1007">
        <v>-13.6117342922</v>
      </c>
      <c r="T1007">
        <v>-107.404221689</v>
      </c>
      <c r="U1007">
        <v>0</v>
      </c>
      <c r="V1007">
        <v>0</v>
      </c>
    </row>
    <row r="1008" spans="1:22" x14ac:dyDescent="0.2">
      <c r="A1008"/>
      <c r="B1008">
        <v>24073</v>
      </c>
      <c r="C1008" t="s">
        <v>3125</v>
      </c>
      <c r="D1008" t="s">
        <v>920</v>
      </c>
      <c r="E1008" t="s">
        <v>1275</v>
      </c>
      <c r="F1008" t="s">
        <v>2310</v>
      </c>
      <c r="G1008">
        <v>3340.9455130400002</v>
      </c>
      <c r="H1008" t="s">
        <v>248</v>
      </c>
      <c r="Q1008">
        <v>4729.8063182899996</v>
      </c>
      <c r="R1008">
        <v>36784.572878400002</v>
      </c>
      <c r="S1008">
        <v>-13.6084285835</v>
      </c>
      <c r="T1008">
        <v>-104.740919452</v>
      </c>
      <c r="U1008">
        <v>0</v>
      </c>
      <c r="V1008">
        <v>0</v>
      </c>
    </row>
    <row r="1009" spans="1:22" x14ac:dyDescent="0.2">
      <c r="A1009"/>
      <c r="B1009">
        <v>24074</v>
      </c>
      <c r="C1009" t="s">
        <v>3126</v>
      </c>
      <c r="D1009" t="s">
        <v>920</v>
      </c>
      <c r="E1009" t="s">
        <v>1275</v>
      </c>
      <c r="F1009" t="s">
        <v>2310</v>
      </c>
      <c r="G1009">
        <v>3375.3620691599999</v>
      </c>
      <c r="H1009" t="s">
        <v>248</v>
      </c>
      <c r="Q1009">
        <v>4721.5690789399996</v>
      </c>
      <c r="R1009">
        <v>36751.158081900001</v>
      </c>
      <c r="S1009">
        <v>-13.612714050899999</v>
      </c>
      <c r="T1009">
        <v>-102.93031619</v>
      </c>
      <c r="U1009">
        <v>0</v>
      </c>
      <c r="V1009">
        <v>0</v>
      </c>
    </row>
    <row r="1010" spans="1:22" x14ac:dyDescent="0.2">
      <c r="A1010"/>
      <c r="B1010">
        <v>24075</v>
      </c>
      <c r="C1010" t="s">
        <v>3127</v>
      </c>
      <c r="D1010" t="s">
        <v>920</v>
      </c>
      <c r="E1010" t="s">
        <v>1275</v>
      </c>
      <c r="F1010" t="s">
        <v>2310</v>
      </c>
      <c r="G1010">
        <v>3378.3036551599998</v>
      </c>
      <c r="H1010" t="s">
        <v>248</v>
      </c>
      <c r="Q1010">
        <v>4720.9148950099998</v>
      </c>
      <c r="R1010">
        <v>36748.290161899997</v>
      </c>
      <c r="S1010">
        <v>-13.613300127400001</v>
      </c>
      <c r="T1010">
        <v>-102.76859068500001</v>
      </c>
      <c r="U1010">
        <v>0</v>
      </c>
      <c r="V1010">
        <v>0</v>
      </c>
    </row>
    <row r="1011" spans="1:22" x14ac:dyDescent="0.2">
      <c r="A1011"/>
      <c r="B1011">
        <v>24076</v>
      </c>
      <c r="C1011" t="s">
        <v>3128</v>
      </c>
      <c r="D1011" t="s">
        <v>920</v>
      </c>
      <c r="E1011" t="s">
        <v>1275</v>
      </c>
      <c r="F1011" t="s">
        <v>2310</v>
      </c>
      <c r="G1011">
        <v>3397.8357861499999</v>
      </c>
      <c r="H1011" t="s">
        <v>248</v>
      </c>
      <c r="Q1011">
        <v>4716.7800542200002</v>
      </c>
      <c r="R1011">
        <v>36729.201016500003</v>
      </c>
      <c r="S1011">
        <v>-13.616898666199999</v>
      </c>
      <c r="T1011">
        <v>-101.667277721</v>
      </c>
      <c r="U1011">
        <v>0</v>
      </c>
      <c r="V1011">
        <v>0</v>
      </c>
    </row>
    <row r="1012" spans="1:22" x14ac:dyDescent="0.2">
      <c r="A1012"/>
      <c r="B1012">
        <v>24077</v>
      </c>
      <c r="C1012" t="s">
        <v>3129</v>
      </c>
      <c r="D1012" t="s">
        <v>920</v>
      </c>
      <c r="E1012" t="s">
        <v>1275</v>
      </c>
      <c r="F1012" t="s">
        <v>2310</v>
      </c>
      <c r="G1012">
        <v>3400.7773721399999</v>
      </c>
      <c r="H1012" t="s">
        <v>248</v>
      </c>
      <c r="Q1012">
        <v>4716.1894507999996</v>
      </c>
      <c r="R1012">
        <v>36726.319331300001</v>
      </c>
      <c r="S1012">
        <v>-13.617113381599999</v>
      </c>
      <c r="T1012">
        <v>-101.497378703</v>
      </c>
      <c r="U1012">
        <v>0</v>
      </c>
      <c r="V1012">
        <v>0</v>
      </c>
    </row>
    <row r="1013" spans="1:22" x14ac:dyDescent="0.2">
      <c r="A1013"/>
      <c r="B1013">
        <v>24078</v>
      </c>
      <c r="C1013" t="s">
        <v>3130</v>
      </c>
      <c r="D1013" t="s">
        <v>920</v>
      </c>
      <c r="E1013" t="s">
        <v>1275</v>
      </c>
      <c r="F1013" t="s">
        <v>2310</v>
      </c>
      <c r="G1013">
        <v>3452.17668473</v>
      </c>
      <c r="H1013" t="s">
        <v>248</v>
      </c>
      <c r="Q1013">
        <v>4706.9532955799996</v>
      </c>
      <c r="R1013">
        <v>36675.758929900003</v>
      </c>
      <c r="S1013">
        <v>-13.6132000726</v>
      </c>
      <c r="T1013">
        <v>-99.664081272199994</v>
      </c>
      <c r="U1013">
        <v>0</v>
      </c>
      <c r="V1013">
        <v>0</v>
      </c>
    </row>
    <row r="1014" spans="1:22" x14ac:dyDescent="0.2">
      <c r="A1014"/>
      <c r="B1014">
        <v>24079</v>
      </c>
      <c r="C1014" t="s">
        <v>3131</v>
      </c>
      <c r="D1014" t="s">
        <v>920</v>
      </c>
      <c r="E1014" t="s">
        <v>1275</v>
      </c>
      <c r="F1014" t="s">
        <v>2310</v>
      </c>
      <c r="G1014">
        <v>3532.1289920300001</v>
      </c>
      <c r="H1014" t="s">
        <v>248</v>
      </c>
      <c r="Q1014">
        <v>4694.1647211199997</v>
      </c>
      <c r="R1014">
        <v>36596.842697400003</v>
      </c>
      <c r="S1014">
        <v>-14.469347047399999</v>
      </c>
      <c r="T1014">
        <v>-98.885040461399996</v>
      </c>
      <c r="U1014">
        <v>0</v>
      </c>
      <c r="V1014">
        <v>0</v>
      </c>
    </row>
    <row r="1015" spans="1:22" x14ac:dyDescent="0.2">
      <c r="A1015"/>
      <c r="B1015">
        <v>24080</v>
      </c>
      <c r="C1015" t="s">
        <v>3132</v>
      </c>
      <c r="D1015" t="s">
        <v>920</v>
      </c>
      <c r="E1015" t="s">
        <v>1275</v>
      </c>
      <c r="F1015" t="s">
        <v>2310</v>
      </c>
      <c r="G1015">
        <v>3552.72009398</v>
      </c>
      <c r="H1015" t="s">
        <v>248</v>
      </c>
      <c r="Q1015">
        <v>4691.11672894</v>
      </c>
      <c r="R1015">
        <v>36576.4816737</v>
      </c>
      <c r="S1015">
        <v>-14.821172602800001</v>
      </c>
      <c r="T1015">
        <v>-98.0189639564</v>
      </c>
      <c r="U1015">
        <v>0</v>
      </c>
      <c r="V1015">
        <v>0</v>
      </c>
    </row>
    <row r="1016" spans="1:22" x14ac:dyDescent="0.2">
      <c r="A1016"/>
      <c r="B1016">
        <v>24081</v>
      </c>
      <c r="C1016" t="s">
        <v>3133</v>
      </c>
      <c r="D1016" t="s">
        <v>920</v>
      </c>
      <c r="E1016" t="s">
        <v>1275</v>
      </c>
      <c r="F1016" t="s">
        <v>2310</v>
      </c>
      <c r="G1016">
        <v>3675.28617704</v>
      </c>
      <c r="H1016" t="s">
        <v>248</v>
      </c>
      <c r="Q1016">
        <v>4685.4051238499997</v>
      </c>
      <c r="R1016">
        <v>36454.200335499998</v>
      </c>
      <c r="S1016">
        <v>-16.518215836500001</v>
      </c>
      <c r="T1016">
        <v>-90.284616246100001</v>
      </c>
      <c r="U1016">
        <v>0</v>
      </c>
      <c r="V1016">
        <v>0</v>
      </c>
    </row>
    <row r="1017" spans="1:22" x14ac:dyDescent="0.2">
      <c r="A1017"/>
      <c r="B1017">
        <v>24082</v>
      </c>
      <c r="C1017" t="s">
        <v>3134</v>
      </c>
      <c r="D1017" t="s">
        <v>920</v>
      </c>
      <c r="E1017" t="s">
        <v>1275</v>
      </c>
      <c r="F1017" t="s">
        <v>2310</v>
      </c>
      <c r="G1017">
        <v>3871.3919099300001</v>
      </c>
      <c r="H1017" t="s">
        <v>248</v>
      </c>
      <c r="Q1017">
        <v>4683.23301094</v>
      </c>
      <c r="R1017">
        <v>36258.134250100004</v>
      </c>
      <c r="S1017">
        <v>-16.342928707799999</v>
      </c>
      <c r="T1017">
        <v>-94.755995890299999</v>
      </c>
      <c r="U1017">
        <v>0</v>
      </c>
      <c r="V1017">
        <v>0</v>
      </c>
    </row>
    <row r="1018" spans="1:22" x14ac:dyDescent="0.2">
      <c r="A1018"/>
      <c r="B1018">
        <v>24083</v>
      </c>
      <c r="C1018" t="s">
        <v>3135</v>
      </c>
      <c r="D1018" t="s">
        <v>920</v>
      </c>
      <c r="E1018" t="s">
        <v>1275</v>
      </c>
      <c r="F1018" t="s">
        <v>2310</v>
      </c>
      <c r="G1018">
        <v>4063.57552816</v>
      </c>
      <c r="H1018" t="s">
        <v>248</v>
      </c>
      <c r="Q1018">
        <v>4635.6254360000003</v>
      </c>
      <c r="R1018">
        <v>36072.461735299999</v>
      </c>
      <c r="S1018">
        <v>-15.5623417324</v>
      </c>
      <c r="T1018">
        <v>-109.866268256</v>
      </c>
      <c r="U1018">
        <v>0</v>
      </c>
      <c r="V1018">
        <v>0</v>
      </c>
    </row>
    <row r="1019" spans="1:22" x14ac:dyDescent="0.2">
      <c r="A1019"/>
      <c r="B1019">
        <v>24084</v>
      </c>
      <c r="C1019" t="s">
        <v>3136</v>
      </c>
      <c r="D1019" t="s">
        <v>920</v>
      </c>
      <c r="E1019" t="s">
        <v>1275</v>
      </c>
      <c r="F1019" t="s">
        <v>2310</v>
      </c>
      <c r="G1019">
        <v>4181.2389678899999</v>
      </c>
      <c r="H1019" t="s">
        <v>248</v>
      </c>
      <c r="Q1019">
        <v>4582.29720086</v>
      </c>
      <c r="R1019">
        <v>35967.956774600003</v>
      </c>
      <c r="S1019">
        <v>-13.4356256854</v>
      </c>
      <c r="T1019">
        <v>-124.512184737</v>
      </c>
      <c r="U1019">
        <v>0</v>
      </c>
      <c r="V1019">
        <v>0</v>
      </c>
    </row>
    <row r="1020" spans="1:22" x14ac:dyDescent="0.2">
      <c r="A1020"/>
      <c r="B1020">
        <v>24085</v>
      </c>
      <c r="C1020" t="s">
        <v>3137</v>
      </c>
      <c r="D1020" t="s">
        <v>920</v>
      </c>
      <c r="E1020" t="s">
        <v>1275</v>
      </c>
      <c r="F1020" t="s">
        <v>2310</v>
      </c>
      <c r="G1020">
        <v>4201.8300698399999</v>
      </c>
      <c r="H1020" t="s">
        <v>248</v>
      </c>
      <c r="Q1020">
        <v>4570.2248612200001</v>
      </c>
      <c r="R1020">
        <v>35951.280500399997</v>
      </c>
      <c r="S1020">
        <v>-13.171364218700001</v>
      </c>
      <c r="T1020">
        <v>-127.291125779</v>
      </c>
      <c r="U1020">
        <v>0</v>
      </c>
      <c r="V1020">
        <v>0</v>
      </c>
    </row>
    <row r="1021" spans="1:22" x14ac:dyDescent="0.2">
      <c r="A1021"/>
      <c r="B1021">
        <v>24086</v>
      </c>
      <c r="C1021" t="s">
        <v>3138</v>
      </c>
      <c r="D1021" t="s">
        <v>920</v>
      </c>
      <c r="E1021" t="s">
        <v>1275</v>
      </c>
      <c r="F1021" t="s">
        <v>2310</v>
      </c>
      <c r="G1021">
        <v>4295.8823793299998</v>
      </c>
      <c r="H1021" t="s">
        <v>248</v>
      </c>
      <c r="Q1021">
        <v>4506.85177845</v>
      </c>
      <c r="R1021">
        <v>35881.891254900002</v>
      </c>
      <c r="S1021">
        <v>-13.008849765100001</v>
      </c>
      <c r="T1021">
        <v>-134.53403005800001</v>
      </c>
      <c r="U1021">
        <v>0</v>
      </c>
      <c r="V1021">
        <v>0</v>
      </c>
    </row>
    <row r="1022" spans="1:22" x14ac:dyDescent="0.2">
      <c r="A1022"/>
      <c r="B1022">
        <v>24087</v>
      </c>
      <c r="C1022" t="s">
        <v>3139</v>
      </c>
      <c r="D1022" t="s">
        <v>920</v>
      </c>
      <c r="E1022" t="s">
        <v>1275</v>
      </c>
      <c r="F1022" t="s">
        <v>2310</v>
      </c>
      <c r="G1022">
        <v>4310.4530352900001</v>
      </c>
      <c r="H1022" t="s">
        <v>248</v>
      </c>
      <c r="Q1022">
        <v>4496.62604147</v>
      </c>
      <c r="R1022">
        <v>35871.511549399998</v>
      </c>
      <c r="S1022">
        <v>-13.0100867611</v>
      </c>
      <c r="T1022">
        <v>-134.60715493500001</v>
      </c>
      <c r="U1022">
        <v>0</v>
      </c>
      <c r="V1022">
        <v>0</v>
      </c>
    </row>
    <row r="1023" spans="1:22" x14ac:dyDescent="0.2">
      <c r="A1023"/>
      <c r="B1023">
        <v>24088</v>
      </c>
      <c r="C1023" t="s">
        <v>3140</v>
      </c>
      <c r="D1023" t="s">
        <v>920</v>
      </c>
      <c r="E1023" t="s">
        <v>1275</v>
      </c>
      <c r="F1023" t="s">
        <v>2310</v>
      </c>
      <c r="G1023">
        <v>4313.3946212800001</v>
      </c>
      <c r="H1023" t="s">
        <v>248</v>
      </c>
      <c r="Q1023">
        <v>4494.5600989200002</v>
      </c>
      <c r="R1023">
        <v>35869.417555699998</v>
      </c>
      <c r="S1023">
        <v>-13.010193366199999</v>
      </c>
      <c r="T1023">
        <v>-134.62004214500001</v>
      </c>
      <c r="U1023">
        <v>0</v>
      </c>
      <c r="V1023">
        <v>0</v>
      </c>
    </row>
    <row r="1024" spans="1:22" x14ac:dyDescent="0.2">
      <c r="A1024"/>
      <c r="B1024">
        <v>24089</v>
      </c>
      <c r="C1024" t="s">
        <v>3141</v>
      </c>
      <c r="D1024" t="s">
        <v>920</v>
      </c>
      <c r="E1024" t="s">
        <v>1275</v>
      </c>
      <c r="F1024" t="s">
        <v>2310</v>
      </c>
      <c r="G1024">
        <v>4332.9267522800001</v>
      </c>
      <c r="H1024" t="s">
        <v>248</v>
      </c>
      <c r="Q1024">
        <v>4480.8316887700003</v>
      </c>
      <c r="R1024">
        <v>35855.523857499997</v>
      </c>
      <c r="S1024">
        <v>-13.009681625900001</v>
      </c>
      <c r="T1024">
        <v>-134.68963126599999</v>
      </c>
      <c r="U1024">
        <v>0</v>
      </c>
      <c r="V1024">
        <v>0</v>
      </c>
    </row>
    <row r="1025" spans="1:22" x14ac:dyDescent="0.2">
      <c r="A1025"/>
      <c r="B1025">
        <v>24090</v>
      </c>
      <c r="C1025" t="s">
        <v>3142</v>
      </c>
      <c r="D1025" t="s">
        <v>920</v>
      </c>
      <c r="E1025" t="s">
        <v>1275</v>
      </c>
      <c r="F1025" t="s">
        <v>2310</v>
      </c>
      <c r="G1025">
        <v>4335.8683382700001</v>
      </c>
      <c r="H1025" t="s">
        <v>248</v>
      </c>
      <c r="Q1025">
        <v>4478.7628219500002</v>
      </c>
      <c r="R1025">
        <v>35853.432753000001</v>
      </c>
      <c r="S1025">
        <v>-13.009420882200001</v>
      </c>
      <c r="T1025">
        <v>-134.69770463399999</v>
      </c>
      <c r="U1025">
        <v>0</v>
      </c>
      <c r="V1025">
        <v>0</v>
      </c>
    </row>
    <row r="1026" spans="1:22" x14ac:dyDescent="0.2">
      <c r="A1026"/>
      <c r="B1026">
        <v>24091</v>
      </c>
      <c r="C1026" t="s">
        <v>3143</v>
      </c>
      <c r="D1026" t="s">
        <v>920</v>
      </c>
      <c r="E1026" t="s">
        <v>1275</v>
      </c>
      <c r="F1026" t="s">
        <v>2310</v>
      </c>
      <c r="G1026">
        <v>4392.7586113799998</v>
      </c>
      <c r="H1026" t="s">
        <v>248</v>
      </c>
      <c r="Q1026">
        <v>4438.7162592200002</v>
      </c>
      <c r="R1026">
        <v>35813.025136900003</v>
      </c>
      <c r="S1026">
        <v>-12.996974338999999</v>
      </c>
      <c r="T1026">
        <v>-134.76459933199999</v>
      </c>
      <c r="U1026">
        <v>0</v>
      </c>
      <c r="V1026">
        <v>0</v>
      </c>
    </row>
    <row r="1027" spans="1:22" x14ac:dyDescent="0.2">
      <c r="A1027"/>
      <c r="B1027">
        <v>24092</v>
      </c>
      <c r="C1027" t="s">
        <v>3144</v>
      </c>
      <c r="D1027" t="s">
        <v>920</v>
      </c>
      <c r="E1027" t="s">
        <v>1275</v>
      </c>
      <c r="F1027" t="s">
        <v>2310</v>
      </c>
      <c r="G1027">
        <v>4427.1751674999996</v>
      </c>
      <c r="H1027" t="s">
        <v>248</v>
      </c>
      <c r="Q1027">
        <v>4414.4837594800001</v>
      </c>
      <c r="R1027">
        <v>35788.585720100004</v>
      </c>
      <c r="S1027">
        <v>-12.9836488115</v>
      </c>
      <c r="T1027">
        <v>-134.74023398599999</v>
      </c>
      <c r="U1027">
        <v>0</v>
      </c>
      <c r="V1027">
        <v>0</v>
      </c>
    </row>
    <row r="1028" spans="1:22" x14ac:dyDescent="0.2">
      <c r="A1028"/>
      <c r="B1028">
        <v>24093</v>
      </c>
      <c r="C1028" t="s">
        <v>3145</v>
      </c>
      <c r="D1028" t="s">
        <v>920</v>
      </c>
      <c r="E1028" t="s">
        <v>1275</v>
      </c>
      <c r="F1028" t="s">
        <v>2310</v>
      </c>
      <c r="G1028">
        <v>4430.1167534899996</v>
      </c>
      <c r="H1028" t="s">
        <v>248</v>
      </c>
      <c r="Q1028">
        <v>4412.4132735200001</v>
      </c>
      <c r="R1028">
        <v>35786.496219100001</v>
      </c>
      <c r="S1028">
        <v>-12.9823094245</v>
      </c>
      <c r="T1028">
        <v>-134.73592184200001</v>
      </c>
      <c r="U1028">
        <v>0</v>
      </c>
      <c r="V1028">
        <v>0</v>
      </c>
    </row>
    <row r="1029" spans="1:22" x14ac:dyDescent="0.2">
      <c r="A1029"/>
      <c r="B1029">
        <v>24094</v>
      </c>
      <c r="C1029" t="s">
        <v>3146</v>
      </c>
      <c r="D1029" t="s">
        <v>920</v>
      </c>
      <c r="E1029" t="s">
        <v>1275</v>
      </c>
      <c r="F1029" t="s">
        <v>2310</v>
      </c>
      <c r="G1029">
        <v>4449.6488844899995</v>
      </c>
      <c r="H1029" t="s">
        <v>248</v>
      </c>
      <c r="Q1029">
        <v>4398.67117323</v>
      </c>
      <c r="R1029">
        <v>35772.616062599998</v>
      </c>
      <c r="S1029">
        <v>-12.976641816000001</v>
      </c>
      <c r="T1029">
        <v>-134.67814622399999</v>
      </c>
      <c r="U1029">
        <v>0</v>
      </c>
      <c r="V1029">
        <v>0</v>
      </c>
    </row>
    <row r="1030" spans="1:22" x14ac:dyDescent="0.2">
      <c r="A1030"/>
      <c r="B1030">
        <v>24095</v>
      </c>
      <c r="C1030" t="s">
        <v>3147</v>
      </c>
      <c r="D1030" t="s">
        <v>920</v>
      </c>
      <c r="E1030" t="s">
        <v>1275</v>
      </c>
      <c r="F1030" t="s">
        <v>2310</v>
      </c>
      <c r="G1030">
        <v>4452.5904704799996</v>
      </c>
      <c r="H1030" t="s">
        <v>248</v>
      </c>
      <c r="Q1030">
        <v>4396.6031687300001</v>
      </c>
      <c r="R1030">
        <v>35770.524105299999</v>
      </c>
      <c r="S1030">
        <v>-12.976943976899999</v>
      </c>
      <c r="T1030">
        <v>-134.66168943</v>
      </c>
      <c r="U1030">
        <v>0</v>
      </c>
      <c r="V1030">
        <v>0</v>
      </c>
    </row>
    <row r="1031" spans="1:22" x14ac:dyDescent="0.2">
      <c r="A1031"/>
      <c r="B1031">
        <v>24096</v>
      </c>
      <c r="C1031" t="s">
        <v>3148</v>
      </c>
      <c r="D1031" t="s">
        <v>920</v>
      </c>
      <c r="E1031" t="s">
        <v>1275</v>
      </c>
      <c r="F1031" t="s">
        <v>2310</v>
      </c>
      <c r="G1031">
        <v>4503.9897830700002</v>
      </c>
      <c r="H1031" t="s">
        <v>248</v>
      </c>
      <c r="Q1031">
        <v>4360.5903911699997</v>
      </c>
      <c r="R1031">
        <v>35733.8504082</v>
      </c>
      <c r="S1031">
        <v>-12.9897654957</v>
      </c>
      <c r="T1031">
        <v>-134.30068909600001</v>
      </c>
      <c r="U1031">
        <v>0</v>
      </c>
      <c r="V1031">
        <v>0</v>
      </c>
    </row>
    <row r="1032" spans="1:22" x14ac:dyDescent="0.2">
      <c r="A1032"/>
      <c r="B1032">
        <v>24097</v>
      </c>
      <c r="C1032" t="s">
        <v>3149</v>
      </c>
      <c r="D1032" t="s">
        <v>920</v>
      </c>
      <c r="E1032" t="s">
        <v>1275</v>
      </c>
      <c r="F1032" t="s">
        <v>2310</v>
      </c>
      <c r="G1032">
        <v>4585.2167776300003</v>
      </c>
      <c r="H1032" t="s">
        <v>248</v>
      </c>
      <c r="Q1032">
        <v>4306.3726487900003</v>
      </c>
      <c r="R1032">
        <v>35673.436965000001</v>
      </c>
      <c r="S1032">
        <v>-13.670385103999999</v>
      </c>
      <c r="T1032">
        <v>-128.33683918099999</v>
      </c>
      <c r="U1032">
        <v>0</v>
      </c>
      <c r="V1032">
        <v>0</v>
      </c>
    </row>
    <row r="1033" spans="1:22" x14ac:dyDescent="0.2">
      <c r="A1033"/>
      <c r="B1033">
        <v>24098</v>
      </c>
      <c r="C1033" t="s">
        <v>3150</v>
      </c>
      <c r="D1033" t="s">
        <v>920</v>
      </c>
      <c r="E1033" t="s">
        <v>1275</v>
      </c>
      <c r="F1033" t="s">
        <v>2310</v>
      </c>
      <c r="G1033">
        <v>4605.8078795900001</v>
      </c>
      <c r="H1033" t="s">
        <v>248</v>
      </c>
      <c r="Q1033">
        <v>4293.8520765800004</v>
      </c>
      <c r="R1033">
        <v>35657.095916600003</v>
      </c>
      <c r="S1033">
        <v>-14.078211682199999</v>
      </c>
      <c r="T1033">
        <v>-126.597124579</v>
      </c>
      <c r="U1033">
        <v>0</v>
      </c>
      <c r="V1033">
        <v>0</v>
      </c>
    </row>
    <row r="1034" spans="1:22" x14ac:dyDescent="0.2">
      <c r="A1034"/>
      <c r="B1034">
        <v>24099</v>
      </c>
      <c r="C1034" t="s">
        <v>3151</v>
      </c>
      <c r="D1034" t="s">
        <v>920</v>
      </c>
      <c r="E1034" t="s">
        <v>1275</v>
      </c>
      <c r="F1034" t="s">
        <v>2310</v>
      </c>
      <c r="G1034">
        <v>4723.4713193199996</v>
      </c>
      <c r="H1034" t="s">
        <v>248</v>
      </c>
      <c r="Q1034">
        <v>4230.7532844400002</v>
      </c>
      <c r="R1034">
        <v>35557.8861875</v>
      </c>
      <c r="S1034">
        <v>-15.0613685794</v>
      </c>
      <c r="T1034">
        <v>-120.02590439700001</v>
      </c>
      <c r="U1034">
        <v>0</v>
      </c>
      <c r="V1034">
        <v>0</v>
      </c>
    </row>
    <row r="1035" spans="1:22" x14ac:dyDescent="0.2">
      <c r="A1035"/>
      <c r="B1035">
        <v>24100</v>
      </c>
      <c r="C1035" t="s">
        <v>3152</v>
      </c>
      <c r="D1035" t="s">
        <v>920</v>
      </c>
      <c r="E1035" t="s">
        <v>1275</v>
      </c>
      <c r="F1035" t="s">
        <v>2310</v>
      </c>
      <c r="G1035">
        <v>4899.9664789199996</v>
      </c>
      <c r="H1035" t="s">
        <v>248</v>
      </c>
      <c r="Q1035">
        <v>4154.8486020800001</v>
      </c>
      <c r="R1035">
        <v>35399.093607299998</v>
      </c>
      <c r="S1035">
        <v>-15.0248938069</v>
      </c>
      <c r="T1035">
        <v>-106.743137675</v>
      </c>
      <c r="U1035">
        <v>0</v>
      </c>
      <c r="V1035">
        <v>0</v>
      </c>
    </row>
    <row r="1036" spans="1:22" x14ac:dyDescent="0.2">
      <c r="A1036"/>
      <c r="B1036">
        <v>24101</v>
      </c>
      <c r="C1036" t="s">
        <v>3153</v>
      </c>
      <c r="D1036" t="s">
        <v>920</v>
      </c>
      <c r="E1036" t="s">
        <v>1275</v>
      </c>
      <c r="F1036" t="s">
        <v>2310</v>
      </c>
      <c r="G1036">
        <v>5076.4616385199997</v>
      </c>
      <c r="H1036" t="s">
        <v>248</v>
      </c>
      <c r="Q1036">
        <v>4125.9974606899996</v>
      </c>
      <c r="R1036">
        <v>35225.342762</v>
      </c>
      <c r="S1036">
        <v>-14.9994352816</v>
      </c>
      <c r="T1036">
        <v>-91.363505233699996</v>
      </c>
      <c r="U1036">
        <v>0</v>
      </c>
      <c r="V1036">
        <v>0</v>
      </c>
    </row>
    <row r="1037" spans="1:22" x14ac:dyDescent="0.2">
      <c r="A1037"/>
      <c r="B1037">
        <v>24102</v>
      </c>
      <c r="C1037" t="s">
        <v>3154</v>
      </c>
      <c r="D1037" t="s">
        <v>920</v>
      </c>
      <c r="E1037" t="s">
        <v>1275</v>
      </c>
      <c r="F1037" t="s">
        <v>2310</v>
      </c>
      <c r="G1037">
        <v>5145.0986450299997</v>
      </c>
      <c r="H1037" t="s">
        <v>248</v>
      </c>
      <c r="Q1037">
        <v>4126.6187673699997</v>
      </c>
      <c r="R1037">
        <v>35156.711442100001</v>
      </c>
      <c r="S1037">
        <v>-14.8528875741</v>
      </c>
      <c r="T1037">
        <v>-89.2161480531</v>
      </c>
      <c r="U1037">
        <v>0</v>
      </c>
      <c r="V1037">
        <v>0</v>
      </c>
    </row>
    <row r="1038" spans="1:22" x14ac:dyDescent="0.2">
      <c r="A1038"/>
      <c r="B1038">
        <v>24103</v>
      </c>
      <c r="C1038" t="s">
        <v>3155</v>
      </c>
      <c r="D1038" t="s">
        <v>920</v>
      </c>
      <c r="E1038" t="s">
        <v>1275</v>
      </c>
      <c r="F1038" t="s">
        <v>2310</v>
      </c>
      <c r="G1038">
        <v>5262.7620847600001</v>
      </c>
      <c r="H1038" t="s">
        <v>248</v>
      </c>
      <c r="Q1038">
        <v>4128.3926636699998</v>
      </c>
      <c r="R1038">
        <v>35039.081769800003</v>
      </c>
      <c r="S1038">
        <v>-12.695569513600001</v>
      </c>
      <c r="T1038">
        <v>-89.025001374400006</v>
      </c>
      <c r="U1038">
        <v>0</v>
      </c>
      <c r="V1038">
        <v>0</v>
      </c>
    </row>
    <row r="1039" spans="1:22" x14ac:dyDescent="0.2">
      <c r="A1039"/>
      <c r="B1039">
        <v>24104</v>
      </c>
      <c r="C1039" t="s">
        <v>3156</v>
      </c>
      <c r="D1039" t="s">
        <v>920</v>
      </c>
      <c r="E1039" t="s">
        <v>1275</v>
      </c>
      <c r="F1039" t="s">
        <v>2310</v>
      </c>
      <c r="G1039">
        <v>5283.35318671</v>
      </c>
      <c r="H1039" t="s">
        <v>248</v>
      </c>
      <c r="Q1039">
        <v>4128.7529321900001</v>
      </c>
      <c r="R1039">
        <v>35018.497977799998</v>
      </c>
      <c r="S1039">
        <v>-12.281872373300001</v>
      </c>
      <c r="T1039">
        <v>-88.972874814799994</v>
      </c>
      <c r="U1039">
        <v>0</v>
      </c>
      <c r="V1039">
        <v>0</v>
      </c>
    </row>
    <row r="1040" spans="1:22" x14ac:dyDescent="0.2">
      <c r="A1040"/>
      <c r="B1040">
        <v>24105</v>
      </c>
      <c r="C1040" t="s">
        <v>3157</v>
      </c>
      <c r="D1040" t="s">
        <v>920</v>
      </c>
      <c r="E1040" t="s">
        <v>1275</v>
      </c>
      <c r="F1040" t="s">
        <v>2310</v>
      </c>
      <c r="G1040">
        <v>5356.4319880700004</v>
      </c>
      <c r="H1040" t="s">
        <v>248</v>
      </c>
      <c r="Q1040">
        <v>4130.1220792499998</v>
      </c>
      <c r="R1040">
        <v>34945.440866800003</v>
      </c>
      <c r="S1040">
        <v>-11.2119731411</v>
      </c>
      <c r="T1040">
        <v>-88.888429882300002</v>
      </c>
      <c r="U1040">
        <v>0</v>
      </c>
      <c r="V1040">
        <v>0</v>
      </c>
    </row>
    <row r="1041" spans="1:22" x14ac:dyDescent="0.2">
      <c r="A1041"/>
      <c r="B1041">
        <v>24106</v>
      </c>
      <c r="C1041" t="s">
        <v>3158</v>
      </c>
      <c r="D1041" t="s">
        <v>920</v>
      </c>
      <c r="E1041" t="s">
        <v>1275</v>
      </c>
      <c r="F1041" t="s">
        <v>2310</v>
      </c>
      <c r="G1041">
        <v>5371.0026440299998</v>
      </c>
      <c r="H1041" t="s">
        <v>248</v>
      </c>
      <c r="Q1041">
        <v>4130.4064537100003</v>
      </c>
      <c r="R1041">
        <v>34930.873047900001</v>
      </c>
      <c r="S1041">
        <v>-11.17339273</v>
      </c>
      <c r="T1041">
        <v>-88.875063761899995</v>
      </c>
      <c r="U1041">
        <v>0</v>
      </c>
      <c r="V1041">
        <v>0</v>
      </c>
    </row>
    <row r="1042" spans="1:22" x14ac:dyDescent="0.2">
      <c r="A1042"/>
      <c r="B1042">
        <v>24107</v>
      </c>
      <c r="C1042" t="s">
        <v>3159</v>
      </c>
      <c r="D1042" t="s">
        <v>920</v>
      </c>
      <c r="E1042" t="s">
        <v>1275</v>
      </c>
      <c r="F1042" t="s">
        <v>2310</v>
      </c>
      <c r="G1042">
        <v>5373.9442300199998</v>
      </c>
      <c r="H1042" t="s">
        <v>248</v>
      </c>
      <c r="Q1042">
        <v>4130.4642717699999</v>
      </c>
      <c r="R1042">
        <v>34927.932030299999</v>
      </c>
      <c r="S1042">
        <v>-11.172949834500001</v>
      </c>
      <c r="T1042">
        <v>-88.872452815399996</v>
      </c>
      <c r="U1042">
        <v>0</v>
      </c>
      <c r="V1042">
        <v>0</v>
      </c>
    </row>
    <row r="1043" spans="1:22" x14ac:dyDescent="0.2">
      <c r="A1043"/>
      <c r="B1043">
        <v>24108</v>
      </c>
      <c r="C1043" t="s">
        <v>3160</v>
      </c>
      <c r="D1043" t="s">
        <v>920</v>
      </c>
      <c r="E1043" t="s">
        <v>1275</v>
      </c>
      <c r="F1043" t="s">
        <v>2310</v>
      </c>
      <c r="G1043">
        <v>5393.4763610099999</v>
      </c>
      <c r="H1043" t="s">
        <v>248</v>
      </c>
      <c r="Q1043">
        <v>4130.8515291100002</v>
      </c>
      <c r="R1043">
        <v>34908.4037388</v>
      </c>
      <c r="S1043">
        <v>-11.1744140579</v>
      </c>
      <c r="T1043">
        <v>-88.855542271399997</v>
      </c>
      <c r="U1043">
        <v>0</v>
      </c>
      <c r="V1043">
        <v>0</v>
      </c>
    </row>
    <row r="1044" spans="1:22" x14ac:dyDescent="0.2">
      <c r="A1044"/>
      <c r="B1044">
        <v>24109</v>
      </c>
      <c r="C1044" t="s">
        <v>3161</v>
      </c>
      <c r="D1044" t="s">
        <v>920</v>
      </c>
      <c r="E1044" t="s">
        <v>1275</v>
      </c>
      <c r="F1044" t="s">
        <v>2310</v>
      </c>
      <c r="G1044">
        <v>5453.3082201200004</v>
      </c>
      <c r="H1044" t="s">
        <v>248</v>
      </c>
      <c r="Q1044">
        <v>4132.7511518700003</v>
      </c>
      <c r="R1044">
        <v>34848.608353600001</v>
      </c>
      <c r="S1044">
        <v>-11.177668133999999</v>
      </c>
      <c r="T1044">
        <v>-86.471257717399993</v>
      </c>
      <c r="U1044">
        <v>0</v>
      </c>
      <c r="V1044">
        <v>0</v>
      </c>
    </row>
    <row r="1045" spans="1:22" x14ac:dyDescent="0.2">
      <c r="A1045"/>
      <c r="B1045">
        <v>24110</v>
      </c>
      <c r="C1045" t="s">
        <v>3162</v>
      </c>
      <c r="D1045" t="s">
        <v>920</v>
      </c>
      <c r="E1045" t="s">
        <v>1275</v>
      </c>
      <c r="F1045" t="s">
        <v>2310</v>
      </c>
      <c r="G1045">
        <v>5487.7247762400002</v>
      </c>
      <c r="H1045" t="s">
        <v>248</v>
      </c>
      <c r="Q1045">
        <v>4135.1958387900004</v>
      </c>
      <c r="R1045">
        <v>34814.279177299999</v>
      </c>
      <c r="S1045">
        <v>-11.175876672699999</v>
      </c>
      <c r="T1045">
        <v>-85.469440256799999</v>
      </c>
      <c r="U1045">
        <v>0</v>
      </c>
      <c r="V1045">
        <v>0</v>
      </c>
    </row>
    <row r="1046" spans="1:22" x14ac:dyDescent="0.2">
      <c r="A1046"/>
      <c r="B1046">
        <v>24111</v>
      </c>
      <c r="C1046" t="s">
        <v>3163</v>
      </c>
      <c r="D1046" t="s">
        <v>920</v>
      </c>
      <c r="E1046" t="s">
        <v>1275</v>
      </c>
      <c r="F1046" t="s">
        <v>2310</v>
      </c>
      <c r="G1046">
        <v>5510.1984932300002</v>
      </c>
      <c r="H1046" t="s">
        <v>248</v>
      </c>
      <c r="Q1046">
        <v>4137.0441092999999</v>
      </c>
      <c r="R1046">
        <v>34791.881626100003</v>
      </c>
      <c r="S1046">
        <v>-11.1589202601</v>
      </c>
      <c r="T1046">
        <v>-85.166032734400005</v>
      </c>
      <c r="U1046">
        <v>0</v>
      </c>
      <c r="V1046">
        <v>0</v>
      </c>
    </row>
    <row r="1047" spans="1:22" x14ac:dyDescent="0.2">
      <c r="A1047"/>
      <c r="B1047">
        <v>24112</v>
      </c>
      <c r="C1047" t="s">
        <v>3164</v>
      </c>
      <c r="D1047" t="s">
        <v>920</v>
      </c>
      <c r="E1047" t="s">
        <v>1275</v>
      </c>
      <c r="F1047" t="s">
        <v>2310</v>
      </c>
      <c r="G1047">
        <v>5513.1400792200002</v>
      </c>
      <c r="H1047" t="s">
        <v>248</v>
      </c>
      <c r="Q1047">
        <v>4137.2922096499997</v>
      </c>
      <c r="R1047">
        <v>34788.950521600003</v>
      </c>
      <c r="S1047">
        <v>-11.1580695868</v>
      </c>
      <c r="T1047">
        <v>-85.158827209099996</v>
      </c>
      <c r="U1047">
        <v>0</v>
      </c>
      <c r="V1047">
        <v>0</v>
      </c>
    </row>
    <row r="1048" spans="1:22" x14ac:dyDescent="0.2">
      <c r="A1048"/>
      <c r="B1048">
        <v>24113</v>
      </c>
      <c r="C1048" t="s">
        <v>3165</v>
      </c>
      <c r="D1048" t="s">
        <v>920</v>
      </c>
      <c r="E1048" t="s">
        <v>1275</v>
      </c>
      <c r="F1048" t="s">
        <v>2310</v>
      </c>
      <c r="G1048">
        <v>5564.5393918099999</v>
      </c>
      <c r="H1048" t="s">
        <v>248</v>
      </c>
      <c r="Q1048">
        <v>4141.3963525099998</v>
      </c>
      <c r="R1048">
        <v>34737.715740899999</v>
      </c>
      <c r="S1048">
        <v>-11.188090861499999</v>
      </c>
      <c r="T1048">
        <v>-86.068734985199995</v>
      </c>
      <c r="U1048">
        <v>0</v>
      </c>
      <c r="V1048">
        <v>0</v>
      </c>
    </row>
    <row r="1049" spans="1:22" x14ac:dyDescent="0.2">
      <c r="A1049"/>
      <c r="B1049">
        <v>24114</v>
      </c>
      <c r="C1049" t="s">
        <v>3166</v>
      </c>
      <c r="D1049" t="s">
        <v>920</v>
      </c>
      <c r="E1049" t="s">
        <v>1275</v>
      </c>
      <c r="F1049" t="s">
        <v>2310</v>
      </c>
      <c r="G1049">
        <v>5642.2266778900002</v>
      </c>
      <c r="H1049" t="s">
        <v>248</v>
      </c>
      <c r="Q1049">
        <v>4140.4697490600001</v>
      </c>
      <c r="R1049">
        <v>34660.122633300001</v>
      </c>
      <c r="S1049">
        <v>-11.158734211200001</v>
      </c>
      <c r="T1049">
        <v>-95.189087808699995</v>
      </c>
      <c r="U1049">
        <v>0</v>
      </c>
      <c r="V1049">
        <v>0</v>
      </c>
    </row>
    <row r="1050" spans="1:22" x14ac:dyDescent="0.2">
      <c r="A1050"/>
      <c r="B1050">
        <v>24115</v>
      </c>
      <c r="C1050" t="s">
        <v>3167</v>
      </c>
      <c r="D1050" t="s">
        <v>920</v>
      </c>
      <c r="E1050" t="s">
        <v>1275</v>
      </c>
      <c r="F1050" t="s">
        <v>2310</v>
      </c>
      <c r="G1050">
        <v>5662.8177798500001</v>
      </c>
      <c r="H1050" t="s">
        <v>248</v>
      </c>
      <c r="Q1050">
        <v>4138.5555161599996</v>
      </c>
      <c r="R1050">
        <v>34639.6207135</v>
      </c>
      <c r="S1050">
        <v>-11.156563593</v>
      </c>
      <c r="T1050">
        <v>-95.437626102600007</v>
      </c>
      <c r="U1050">
        <v>0</v>
      </c>
      <c r="V1050">
        <v>0</v>
      </c>
    </row>
    <row r="1051" spans="1:22" x14ac:dyDescent="0.2">
      <c r="A1051"/>
      <c r="B1051">
        <v>24116</v>
      </c>
      <c r="C1051" t="s">
        <v>3168</v>
      </c>
      <c r="D1051" t="s">
        <v>920</v>
      </c>
      <c r="E1051" t="s">
        <v>1275</v>
      </c>
      <c r="F1051" t="s">
        <v>2310</v>
      </c>
      <c r="G1051">
        <v>5780.4812195799996</v>
      </c>
      <c r="H1051" t="s">
        <v>248</v>
      </c>
      <c r="Q1051">
        <v>4126.5365629400003</v>
      </c>
      <c r="R1051">
        <v>34522.577562099999</v>
      </c>
      <c r="S1051">
        <v>-11.8291148729</v>
      </c>
      <c r="T1051">
        <v>-95.849212862100003</v>
      </c>
      <c r="U1051">
        <v>0</v>
      </c>
      <c r="V1051">
        <v>0</v>
      </c>
    </row>
    <row r="1052" spans="1:22" x14ac:dyDescent="0.2">
      <c r="A1052"/>
      <c r="B1052">
        <v>24117</v>
      </c>
      <c r="C1052" t="s">
        <v>3169</v>
      </c>
      <c r="D1052" t="s">
        <v>920</v>
      </c>
      <c r="E1052" t="s">
        <v>1275</v>
      </c>
      <c r="F1052" t="s">
        <v>2310</v>
      </c>
      <c r="G1052">
        <v>5976.5869524700001</v>
      </c>
      <c r="H1052" t="s">
        <v>248</v>
      </c>
      <c r="Q1052">
        <v>4110.0393903900003</v>
      </c>
      <c r="R1052">
        <v>34327.194759999998</v>
      </c>
      <c r="S1052">
        <v>-14.4351005494</v>
      </c>
      <c r="T1052">
        <v>-94.367893482499994</v>
      </c>
      <c r="U1052">
        <v>0</v>
      </c>
      <c r="V1052">
        <v>0</v>
      </c>
    </row>
    <row r="1053" spans="1:22" x14ac:dyDescent="0.2">
      <c r="A1053"/>
      <c r="B1053">
        <v>24118</v>
      </c>
      <c r="C1053" t="s">
        <v>3170</v>
      </c>
      <c r="D1053" t="s">
        <v>920</v>
      </c>
      <c r="E1053" t="s">
        <v>1275</v>
      </c>
      <c r="F1053" t="s">
        <v>2310</v>
      </c>
      <c r="G1053">
        <v>6065.7856450700001</v>
      </c>
      <c r="H1053" t="s">
        <v>248</v>
      </c>
      <c r="Q1053">
        <v>4103.4692512399997</v>
      </c>
      <c r="R1053">
        <v>34238.239051600001</v>
      </c>
      <c r="S1053">
        <v>-14.5428197393</v>
      </c>
      <c r="T1053">
        <v>-94.063946237899998</v>
      </c>
      <c r="U1053">
        <v>0</v>
      </c>
      <c r="V1053">
        <v>0</v>
      </c>
    </row>
    <row r="1054" spans="1:22" x14ac:dyDescent="0.2">
      <c r="A1054"/>
      <c r="B1054">
        <v>24119</v>
      </c>
      <c r="C1054" t="s">
        <v>3171</v>
      </c>
      <c r="D1054" t="s">
        <v>920</v>
      </c>
      <c r="E1054" t="s">
        <v>1275</v>
      </c>
      <c r="F1054" t="s">
        <v>2310</v>
      </c>
      <c r="G1054">
        <v>6183.4490847999996</v>
      </c>
      <c r="H1054" t="s">
        <v>248</v>
      </c>
      <c r="Q1054">
        <v>4096.9650077300003</v>
      </c>
      <c r="R1054">
        <v>34120.787012200002</v>
      </c>
      <c r="S1054">
        <v>-12.369469150800001</v>
      </c>
      <c r="T1054">
        <v>-91.837865435400005</v>
      </c>
      <c r="U1054">
        <v>0</v>
      </c>
      <c r="V1054">
        <v>0</v>
      </c>
    </row>
    <row r="1055" spans="1:22" x14ac:dyDescent="0.2">
      <c r="A1055"/>
      <c r="B1055">
        <v>24120</v>
      </c>
      <c r="C1055" t="s">
        <v>3172</v>
      </c>
      <c r="D1055" t="s">
        <v>920</v>
      </c>
      <c r="E1055" t="s">
        <v>1275</v>
      </c>
      <c r="F1055" t="s">
        <v>2310</v>
      </c>
      <c r="G1055">
        <v>6204.0401867600003</v>
      </c>
      <c r="H1055" t="s">
        <v>248</v>
      </c>
      <c r="Q1055">
        <v>4096.3368976000002</v>
      </c>
      <c r="R1055">
        <v>34100.209581700001</v>
      </c>
      <c r="S1055">
        <v>-11.959590626000001</v>
      </c>
      <c r="T1055">
        <v>-91.668175476900004</v>
      </c>
      <c r="U1055">
        <v>0</v>
      </c>
      <c r="V1055">
        <v>0</v>
      </c>
    </row>
    <row r="1056" spans="1:22" x14ac:dyDescent="0.2">
      <c r="A1056"/>
      <c r="B1056">
        <v>24121</v>
      </c>
      <c r="C1056" t="s">
        <v>3173</v>
      </c>
      <c r="D1056" t="s">
        <v>920</v>
      </c>
      <c r="E1056" t="s">
        <v>1275</v>
      </c>
      <c r="F1056" t="s">
        <v>2310</v>
      </c>
      <c r="G1056">
        <v>6278.6191969700003</v>
      </c>
      <c r="H1056" t="s">
        <v>248</v>
      </c>
      <c r="Q1056">
        <v>4094.3709080799999</v>
      </c>
      <c r="R1056">
        <v>34025.666108600002</v>
      </c>
      <c r="S1056">
        <v>-10.828532196599999</v>
      </c>
      <c r="T1056">
        <v>-91.4079619436</v>
      </c>
      <c r="U1056">
        <v>0</v>
      </c>
      <c r="V1056">
        <v>0</v>
      </c>
    </row>
    <row r="1057" spans="1:22" x14ac:dyDescent="0.2">
      <c r="A1057"/>
      <c r="B1057">
        <v>24122</v>
      </c>
      <c r="C1057" t="s">
        <v>3174</v>
      </c>
      <c r="D1057" t="s">
        <v>920</v>
      </c>
      <c r="E1057" t="s">
        <v>1275</v>
      </c>
      <c r="F1057" t="s">
        <v>2310</v>
      </c>
      <c r="G1057">
        <v>6293.1898529299997</v>
      </c>
      <c r="H1057" t="s">
        <v>248</v>
      </c>
      <c r="Q1057">
        <v>4094.0165510000002</v>
      </c>
      <c r="R1057">
        <v>34011.099803800003</v>
      </c>
      <c r="S1057">
        <v>-10.8008153603</v>
      </c>
      <c r="T1057">
        <v>-91.379904515899995</v>
      </c>
      <c r="U1057">
        <v>0</v>
      </c>
      <c r="V1057">
        <v>0</v>
      </c>
    </row>
    <row r="1058" spans="1:22" x14ac:dyDescent="0.2">
      <c r="A1058"/>
      <c r="B1058">
        <v>24123</v>
      </c>
      <c r="C1058" t="s">
        <v>3175</v>
      </c>
      <c r="D1058" t="s">
        <v>920</v>
      </c>
      <c r="E1058" t="s">
        <v>1275</v>
      </c>
      <c r="F1058" t="s">
        <v>2310</v>
      </c>
      <c r="G1058">
        <v>6296.1314389199997</v>
      </c>
      <c r="H1058" t="s">
        <v>248</v>
      </c>
      <c r="Q1058">
        <v>4093.9458455899999</v>
      </c>
      <c r="R1058">
        <v>34008.159068399997</v>
      </c>
      <c r="S1058">
        <v>-10.8028740747</v>
      </c>
      <c r="T1058">
        <v>-91.3747704516</v>
      </c>
      <c r="U1058">
        <v>0</v>
      </c>
      <c r="V1058">
        <v>0</v>
      </c>
    </row>
    <row r="1059" spans="1:22" x14ac:dyDescent="0.2">
      <c r="A1059"/>
      <c r="B1059">
        <v>24124</v>
      </c>
      <c r="C1059" t="s">
        <v>3176</v>
      </c>
      <c r="D1059" t="s">
        <v>920</v>
      </c>
      <c r="E1059" t="s">
        <v>1275</v>
      </c>
      <c r="F1059" t="s">
        <v>2310</v>
      </c>
      <c r="G1059">
        <v>6315.6635699099998</v>
      </c>
      <c r="H1059" t="s">
        <v>248</v>
      </c>
      <c r="Q1059">
        <v>4093.4824856800001</v>
      </c>
      <c r="R1059">
        <v>33988.632438400004</v>
      </c>
      <c r="S1059">
        <v>-10.8150403271</v>
      </c>
      <c r="T1059">
        <v>-91.345263762399995</v>
      </c>
      <c r="U1059">
        <v>0</v>
      </c>
      <c r="V1059">
        <v>0</v>
      </c>
    </row>
    <row r="1060" spans="1:22" x14ac:dyDescent="0.2">
      <c r="A1060"/>
      <c r="B1060">
        <v>24125</v>
      </c>
      <c r="C1060" t="s">
        <v>3177</v>
      </c>
      <c r="D1060" t="s">
        <v>920</v>
      </c>
      <c r="E1060" t="s">
        <v>1275</v>
      </c>
      <c r="F1060" t="s">
        <v>2310</v>
      </c>
      <c r="G1060">
        <v>6318.6051559099997</v>
      </c>
      <c r="H1060" t="s">
        <v>248</v>
      </c>
      <c r="Q1060">
        <v>4093.4135228099999</v>
      </c>
      <c r="R1060">
        <v>33985.691661299999</v>
      </c>
      <c r="S1060">
        <v>-10.816621956100001</v>
      </c>
      <c r="T1060">
        <v>-91.341510302200007</v>
      </c>
      <c r="U1060">
        <v>0</v>
      </c>
      <c r="V1060">
        <v>0</v>
      </c>
    </row>
    <row r="1061" spans="1:22" x14ac:dyDescent="0.2">
      <c r="A1061"/>
      <c r="B1061">
        <v>24126</v>
      </c>
      <c r="C1061" t="s">
        <v>3178</v>
      </c>
      <c r="D1061" t="s">
        <v>920</v>
      </c>
      <c r="E1061" t="s">
        <v>1275</v>
      </c>
      <c r="F1061" t="s">
        <v>2310</v>
      </c>
      <c r="G1061">
        <v>6375.4954290200003</v>
      </c>
      <c r="H1061" t="s">
        <v>248</v>
      </c>
      <c r="Q1061">
        <v>4092.1056081000002</v>
      </c>
      <c r="R1061">
        <v>33928.816428999999</v>
      </c>
      <c r="S1061">
        <v>-10.8343055719</v>
      </c>
      <c r="T1061">
        <v>-91.304462145399995</v>
      </c>
      <c r="U1061">
        <v>0</v>
      </c>
      <c r="V1061">
        <v>0</v>
      </c>
    </row>
    <row r="1062" spans="1:22" x14ac:dyDescent="0.2">
      <c r="A1062"/>
      <c r="B1062">
        <v>24127</v>
      </c>
      <c r="C1062" t="s">
        <v>3179</v>
      </c>
      <c r="D1062" t="s">
        <v>920</v>
      </c>
      <c r="E1062" t="s">
        <v>1275</v>
      </c>
      <c r="F1062" t="s">
        <v>2310</v>
      </c>
      <c r="G1062">
        <v>6409.9119851400001</v>
      </c>
      <c r="H1062" t="s">
        <v>248</v>
      </c>
      <c r="Q1062">
        <v>4091.3202233500001</v>
      </c>
      <c r="R1062">
        <v>33894.408835399998</v>
      </c>
      <c r="S1062">
        <v>-10.8330894216</v>
      </c>
      <c r="T1062">
        <v>-91.314863683900001</v>
      </c>
      <c r="U1062">
        <v>0</v>
      </c>
      <c r="V1062">
        <v>0</v>
      </c>
    </row>
    <row r="1063" spans="1:22" x14ac:dyDescent="0.2">
      <c r="A1063"/>
      <c r="B1063">
        <v>24128</v>
      </c>
      <c r="C1063" t="s">
        <v>3180</v>
      </c>
      <c r="D1063" t="s">
        <v>920</v>
      </c>
      <c r="E1063" t="s">
        <v>1275</v>
      </c>
      <c r="F1063" t="s">
        <v>2310</v>
      </c>
      <c r="G1063">
        <v>6412.8535711300001</v>
      </c>
      <c r="H1063" t="s">
        <v>248</v>
      </c>
      <c r="Q1063">
        <v>4091.2526721999998</v>
      </c>
      <c r="R1063">
        <v>33891.468025200003</v>
      </c>
      <c r="S1063">
        <v>-10.8325688407</v>
      </c>
      <c r="T1063">
        <v>-91.316900222800001</v>
      </c>
      <c r="U1063">
        <v>0</v>
      </c>
      <c r="V1063">
        <v>0</v>
      </c>
    </row>
    <row r="1064" spans="1:22" x14ac:dyDescent="0.2">
      <c r="A1064"/>
      <c r="B1064">
        <v>24129</v>
      </c>
      <c r="C1064" t="s">
        <v>3181</v>
      </c>
      <c r="D1064" t="s">
        <v>920</v>
      </c>
      <c r="E1064" t="s">
        <v>1275</v>
      </c>
      <c r="F1064" t="s">
        <v>2310</v>
      </c>
      <c r="G1064">
        <v>6432.38570213</v>
      </c>
      <c r="H1064" t="s">
        <v>248</v>
      </c>
      <c r="Q1064">
        <v>4090.80092135</v>
      </c>
      <c r="R1064">
        <v>33871.941119900002</v>
      </c>
      <c r="S1064">
        <v>-10.8274479466</v>
      </c>
      <c r="T1064">
        <v>-91.335006554700001</v>
      </c>
      <c r="U1064">
        <v>0</v>
      </c>
      <c r="V1064">
        <v>0</v>
      </c>
    </row>
    <row r="1065" spans="1:22" x14ac:dyDescent="0.2">
      <c r="A1065"/>
      <c r="B1065">
        <v>24130</v>
      </c>
      <c r="C1065" t="s">
        <v>3182</v>
      </c>
      <c r="D1065" t="s">
        <v>920</v>
      </c>
      <c r="E1065" t="s">
        <v>1275</v>
      </c>
      <c r="F1065" t="s">
        <v>2310</v>
      </c>
      <c r="G1065">
        <v>6435.32728812</v>
      </c>
      <c r="H1065" t="s">
        <v>248</v>
      </c>
      <c r="Q1065">
        <v>4090.73230091</v>
      </c>
      <c r="R1065">
        <v>33869.0003345</v>
      </c>
      <c r="S1065">
        <v>-10.8264260896</v>
      </c>
      <c r="T1065">
        <v>-91.338423730100004</v>
      </c>
      <c r="U1065">
        <v>0</v>
      </c>
      <c r="V1065">
        <v>0</v>
      </c>
    </row>
    <row r="1066" spans="1:22" x14ac:dyDescent="0.2">
      <c r="A1066"/>
      <c r="B1066">
        <v>24131</v>
      </c>
      <c r="C1066" t="s">
        <v>3183</v>
      </c>
      <c r="D1066" t="s">
        <v>920</v>
      </c>
      <c r="E1066" t="s">
        <v>1275</v>
      </c>
      <c r="F1066" t="s">
        <v>2310</v>
      </c>
      <c r="G1066">
        <v>6486.7266007099997</v>
      </c>
      <c r="H1066" t="s">
        <v>248</v>
      </c>
      <c r="Q1066">
        <v>4089.4581265800002</v>
      </c>
      <c r="R1066">
        <v>33817.617092100001</v>
      </c>
      <c r="S1066">
        <v>-10.9027989336</v>
      </c>
      <c r="T1066">
        <v>-91.531843125799995</v>
      </c>
      <c r="U1066">
        <v>0</v>
      </c>
      <c r="V1066">
        <v>0</v>
      </c>
    </row>
    <row r="1067" spans="1:22" x14ac:dyDescent="0.2">
      <c r="A1067"/>
      <c r="B1067">
        <v>24132</v>
      </c>
      <c r="C1067" t="s">
        <v>3184</v>
      </c>
      <c r="D1067" t="s">
        <v>920</v>
      </c>
      <c r="E1067" t="s">
        <v>1275</v>
      </c>
      <c r="F1067" t="s">
        <v>2310</v>
      </c>
      <c r="G1067">
        <v>6586.4757817399995</v>
      </c>
      <c r="H1067" t="s">
        <v>248</v>
      </c>
      <c r="Q1067">
        <v>4084.77290924</v>
      </c>
      <c r="R1067">
        <v>33718.030064899998</v>
      </c>
      <c r="S1067">
        <v>-12.6810609338</v>
      </c>
      <c r="T1067">
        <v>-96.487050634300005</v>
      </c>
      <c r="U1067">
        <v>0</v>
      </c>
      <c r="V1067">
        <v>0</v>
      </c>
    </row>
    <row r="1068" spans="1:22" x14ac:dyDescent="0.2">
      <c r="A1068"/>
      <c r="B1068">
        <v>24133</v>
      </c>
      <c r="C1068" t="s">
        <v>3185</v>
      </c>
      <c r="D1068" t="s">
        <v>920</v>
      </c>
      <c r="E1068" t="s">
        <v>1275</v>
      </c>
      <c r="F1068" t="s">
        <v>2310</v>
      </c>
      <c r="G1068">
        <v>6704.1392214799998</v>
      </c>
      <c r="H1068" t="s">
        <v>248</v>
      </c>
      <c r="Q1068">
        <v>4062.1029025799999</v>
      </c>
      <c r="R1068">
        <v>33602.684425500003</v>
      </c>
      <c r="S1068">
        <v>-15.126455891399999</v>
      </c>
      <c r="T1068">
        <v>-103.406098493</v>
      </c>
      <c r="U1068">
        <v>0</v>
      </c>
      <c r="V1068">
        <v>0</v>
      </c>
    </row>
    <row r="1069" spans="1:22" x14ac:dyDescent="0.2">
      <c r="A1069"/>
      <c r="B1069">
        <v>24134</v>
      </c>
      <c r="C1069" t="s">
        <v>3186</v>
      </c>
      <c r="D1069" t="s">
        <v>920</v>
      </c>
      <c r="E1069" t="s">
        <v>1275</v>
      </c>
      <c r="F1069" t="s">
        <v>2310</v>
      </c>
      <c r="G1069">
        <v>6851.2185211400001</v>
      </c>
      <c r="H1069" t="s">
        <v>248</v>
      </c>
      <c r="Q1069">
        <v>4025.1080650899999</v>
      </c>
      <c r="R1069">
        <v>33460.401678000002</v>
      </c>
      <c r="S1069">
        <v>-16.7078218909</v>
      </c>
      <c r="T1069">
        <v>-108.539510415</v>
      </c>
      <c r="U1069">
        <v>0</v>
      </c>
      <c r="V1069">
        <v>0</v>
      </c>
    </row>
    <row r="1070" spans="1:22" x14ac:dyDescent="0.2">
      <c r="A1070"/>
      <c r="B1070">
        <v>24135</v>
      </c>
      <c r="C1070" t="s">
        <v>3187</v>
      </c>
      <c r="D1070" t="s">
        <v>920</v>
      </c>
      <c r="E1070" t="s">
        <v>1275</v>
      </c>
      <c r="F1070" t="s">
        <v>2310</v>
      </c>
      <c r="G1070">
        <v>6998.2978208100003</v>
      </c>
      <c r="H1070" t="s">
        <v>248</v>
      </c>
      <c r="Q1070">
        <v>3964.00693692</v>
      </c>
      <c r="R1070">
        <v>33326.9284998</v>
      </c>
      <c r="S1070">
        <v>-14.5888506322</v>
      </c>
      <c r="T1070">
        <v>-119.78645172</v>
      </c>
      <c r="U1070">
        <v>0</v>
      </c>
      <c r="V1070">
        <v>0</v>
      </c>
    </row>
    <row r="1071" spans="1:22" x14ac:dyDescent="0.2">
      <c r="A1071"/>
      <c r="B1071">
        <v>24136</v>
      </c>
      <c r="C1071" t="s">
        <v>3188</v>
      </c>
      <c r="D1071" t="s">
        <v>920</v>
      </c>
      <c r="E1071" t="s">
        <v>1275</v>
      </c>
      <c r="F1071" t="s">
        <v>2310</v>
      </c>
      <c r="G1071">
        <v>7120.8639038600004</v>
      </c>
      <c r="H1071" t="s">
        <v>248</v>
      </c>
      <c r="Q1071">
        <v>3899.44562129</v>
      </c>
      <c r="R1071">
        <v>33222.886163399999</v>
      </c>
      <c r="S1071">
        <v>-12.136341418300001</v>
      </c>
      <c r="T1071">
        <v>-127.371090731</v>
      </c>
      <c r="U1071">
        <v>0</v>
      </c>
      <c r="V1071">
        <v>0</v>
      </c>
    </row>
    <row r="1072" spans="1:22" x14ac:dyDescent="0.2">
      <c r="A1072"/>
      <c r="B1072">
        <v>24137</v>
      </c>
      <c r="C1072" t="s">
        <v>3189</v>
      </c>
      <c r="D1072" t="s">
        <v>920</v>
      </c>
      <c r="E1072" t="s">
        <v>1275</v>
      </c>
      <c r="F1072" t="s">
        <v>2310</v>
      </c>
      <c r="G1072">
        <v>7238.5273435899999</v>
      </c>
      <c r="H1072" t="s">
        <v>248</v>
      </c>
      <c r="Q1072">
        <v>3816.1980898800002</v>
      </c>
      <c r="R1072">
        <v>33140.1534168</v>
      </c>
      <c r="S1072">
        <v>-11.319946527800001</v>
      </c>
      <c r="T1072">
        <v>-139.579722097</v>
      </c>
      <c r="U1072">
        <v>0</v>
      </c>
      <c r="V1072">
        <v>0</v>
      </c>
    </row>
    <row r="1073" spans="1:22" x14ac:dyDescent="0.2">
      <c r="A1073"/>
      <c r="B1073">
        <v>24138</v>
      </c>
      <c r="C1073" t="s">
        <v>3190</v>
      </c>
      <c r="D1073" t="s">
        <v>920</v>
      </c>
      <c r="E1073" t="s">
        <v>1275</v>
      </c>
      <c r="F1073" t="s">
        <v>2310</v>
      </c>
      <c r="G1073">
        <v>7259.1184455499997</v>
      </c>
      <c r="H1073" t="s">
        <v>248</v>
      </c>
      <c r="Q1073">
        <v>3800.5779096699998</v>
      </c>
      <c r="R1073">
        <v>33126.737053500001</v>
      </c>
      <c r="S1073">
        <v>-11.3177721994</v>
      </c>
      <c r="T1073">
        <v>-138.935656319</v>
      </c>
      <c r="U1073">
        <v>0</v>
      </c>
      <c r="V1073">
        <v>0</v>
      </c>
    </row>
    <row r="1074" spans="1:22" x14ac:dyDescent="0.2">
      <c r="A1074"/>
      <c r="B1074">
        <v>24139</v>
      </c>
      <c r="C1074" t="s">
        <v>3191</v>
      </c>
      <c r="D1074" t="s">
        <v>920</v>
      </c>
      <c r="E1074" t="s">
        <v>1275</v>
      </c>
      <c r="F1074" t="s">
        <v>2310</v>
      </c>
      <c r="G1074">
        <v>7353.54335593</v>
      </c>
      <c r="H1074" t="s">
        <v>248</v>
      </c>
      <c r="Q1074">
        <v>3733.62744905</v>
      </c>
      <c r="R1074">
        <v>33060.235011899997</v>
      </c>
      <c r="S1074">
        <v>-11.313242472500001</v>
      </c>
      <c r="T1074">
        <v>-132.78131021600001</v>
      </c>
      <c r="U1074">
        <v>0</v>
      </c>
      <c r="V1074">
        <v>0</v>
      </c>
    </row>
    <row r="1075" spans="1:22" x14ac:dyDescent="0.2">
      <c r="A1075"/>
      <c r="B1075">
        <v>24140</v>
      </c>
      <c r="C1075" t="s">
        <v>3192</v>
      </c>
      <c r="D1075" t="s">
        <v>920</v>
      </c>
      <c r="E1075" t="s">
        <v>1275</v>
      </c>
      <c r="F1075" t="s">
        <v>2310</v>
      </c>
      <c r="G1075">
        <v>7368.1140118900003</v>
      </c>
      <c r="H1075" t="s">
        <v>248</v>
      </c>
      <c r="Q1075">
        <v>3723.7458498800002</v>
      </c>
      <c r="R1075">
        <v>33049.527169200002</v>
      </c>
      <c r="S1075">
        <v>-11.312697178500001</v>
      </c>
      <c r="T1075">
        <v>-132.634466683</v>
      </c>
      <c r="U1075">
        <v>0</v>
      </c>
      <c r="V1075">
        <v>0</v>
      </c>
    </row>
    <row r="1076" spans="1:22" x14ac:dyDescent="0.2">
      <c r="A1076"/>
      <c r="B1076">
        <v>24141</v>
      </c>
      <c r="C1076" t="s">
        <v>3193</v>
      </c>
      <c r="D1076" t="s">
        <v>920</v>
      </c>
      <c r="E1076" t="s">
        <v>1275</v>
      </c>
      <c r="F1076" t="s">
        <v>2310</v>
      </c>
      <c r="G1076">
        <v>7371.0555978800003</v>
      </c>
      <c r="H1076" t="s">
        <v>248</v>
      </c>
      <c r="Q1076">
        <v>3721.75386553</v>
      </c>
      <c r="R1076">
        <v>33047.3627003</v>
      </c>
      <c r="S1076">
        <v>-11.3119945321</v>
      </c>
      <c r="T1076">
        <v>-132.61341793</v>
      </c>
      <c r="U1076">
        <v>0</v>
      </c>
      <c r="V1076">
        <v>0</v>
      </c>
    </row>
    <row r="1077" spans="1:22" x14ac:dyDescent="0.2">
      <c r="A1077"/>
      <c r="B1077">
        <v>24142</v>
      </c>
      <c r="C1077" t="s">
        <v>3194</v>
      </c>
      <c r="D1077" t="s">
        <v>920</v>
      </c>
      <c r="E1077" t="s">
        <v>1275</v>
      </c>
      <c r="F1077" t="s">
        <v>2310</v>
      </c>
      <c r="G1077">
        <v>7390.5877288700003</v>
      </c>
      <c r="H1077" t="s">
        <v>248</v>
      </c>
      <c r="Q1077">
        <v>3708.5601236900002</v>
      </c>
      <c r="R1077">
        <v>33032.9603259</v>
      </c>
      <c r="S1077">
        <v>-11.308329925400001</v>
      </c>
      <c r="T1077">
        <v>-132.30963805499999</v>
      </c>
      <c r="U1077">
        <v>0</v>
      </c>
      <c r="V1077">
        <v>0</v>
      </c>
    </row>
    <row r="1078" spans="1:22" x14ac:dyDescent="0.2">
      <c r="A1078"/>
      <c r="B1078">
        <v>24143</v>
      </c>
      <c r="C1078" t="s">
        <v>3195</v>
      </c>
      <c r="D1078" t="s">
        <v>920</v>
      </c>
      <c r="E1078" t="s">
        <v>1275</v>
      </c>
      <c r="F1078" t="s">
        <v>2310</v>
      </c>
      <c r="G1078">
        <v>7393.5293148700002</v>
      </c>
      <c r="H1078" t="s">
        <v>248</v>
      </c>
      <c r="Q1078">
        <v>3706.5814825399998</v>
      </c>
      <c r="R1078">
        <v>33030.783652700004</v>
      </c>
      <c r="S1078">
        <v>-11.3081134061</v>
      </c>
      <c r="T1078">
        <v>-132.231946255</v>
      </c>
      <c r="U1078">
        <v>0</v>
      </c>
      <c r="V1078">
        <v>0</v>
      </c>
    </row>
    <row r="1079" spans="1:22" x14ac:dyDescent="0.2">
      <c r="A1079"/>
      <c r="B1079">
        <v>24144</v>
      </c>
      <c r="C1079" t="s">
        <v>3196</v>
      </c>
      <c r="D1079" t="s">
        <v>920</v>
      </c>
      <c r="E1079" t="s">
        <v>1275</v>
      </c>
      <c r="F1079" t="s">
        <v>2310</v>
      </c>
      <c r="G1079">
        <v>7450.41958798</v>
      </c>
      <c r="H1079" t="s">
        <v>248</v>
      </c>
      <c r="Q1079">
        <v>3669.1752853799999</v>
      </c>
      <c r="R1079">
        <v>32987.926225000003</v>
      </c>
      <c r="S1079">
        <v>-11.3147938559</v>
      </c>
      <c r="T1079">
        <v>-129.708874882</v>
      </c>
      <c r="U1079">
        <v>0</v>
      </c>
      <c r="V1079">
        <v>0</v>
      </c>
    </row>
    <row r="1080" spans="1:22" x14ac:dyDescent="0.2">
      <c r="A1080"/>
      <c r="B1080">
        <v>24145</v>
      </c>
      <c r="C1080" t="s">
        <v>3197</v>
      </c>
      <c r="D1080" t="s">
        <v>920</v>
      </c>
      <c r="E1080" t="s">
        <v>1275</v>
      </c>
      <c r="F1080" t="s">
        <v>2310</v>
      </c>
      <c r="G1080">
        <v>7487.7777300899997</v>
      </c>
      <c r="H1080" t="s">
        <v>248</v>
      </c>
      <c r="Q1080">
        <v>3646.0068606300001</v>
      </c>
      <c r="R1080">
        <v>32958.625231799997</v>
      </c>
      <c r="S1080">
        <v>-11.3051633003</v>
      </c>
      <c r="T1080">
        <v>-126.829767975</v>
      </c>
      <c r="U1080">
        <v>0</v>
      </c>
      <c r="V1080">
        <v>0</v>
      </c>
    </row>
    <row r="1081" spans="1:22" x14ac:dyDescent="0.2">
      <c r="A1081"/>
      <c r="B1081">
        <v>24146</v>
      </c>
      <c r="C1081" t="s">
        <v>3198</v>
      </c>
      <c r="D1081" t="s">
        <v>920</v>
      </c>
      <c r="E1081" t="s">
        <v>1275</v>
      </c>
      <c r="F1081" t="s">
        <v>2310</v>
      </c>
      <c r="G1081">
        <v>7507.3098610899997</v>
      </c>
      <c r="H1081" t="s">
        <v>248</v>
      </c>
      <c r="Q1081">
        <v>3634.4548939599999</v>
      </c>
      <c r="R1081">
        <v>32942.8757482</v>
      </c>
      <c r="S1081">
        <v>-11.313048119199999</v>
      </c>
      <c r="T1081">
        <v>-125.82400418100001</v>
      </c>
      <c r="U1081">
        <v>0</v>
      </c>
      <c r="V1081">
        <v>0</v>
      </c>
    </row>
    <row r="1082" spans="1:22" x14ac:dyDescent="0.2">
      <c r="A1082"/>
      <c r="B1082">
        <v>24147</v>
      </c>
      <c r="C1082" t="s">
        <v>3199</v>
      </c>
      <c r="D1082" t="s">
        <v>920</v>
      </c>
      <c r="E1082" t="s">
        <v>1275</v>
      </c>
      <c r="F1082" t="s">
        <v>2310</v>
      </c>
      <c r="G1082">
        <v>7510.2514470799997</v>
      </c>
      <c r="H1082" t="s">
        <v>248</v>
      </c>
      <c r="Q1082">
        <v>3632.7351375200001</v>
      </c>
      <c r="R1082">
        <v>32940.489252799998</v>
      </c>
      <c r="S1082">
        <v>-11.314992047700001</v>
      </c>
      <c r="T1082">
        <v>-125.731598357</v>
      </c>
      <c r="U1082">
        <v>0</v>
      </c>
      <c r="V1082">
        <v>0</v>
      </c>
    </row>
    <row r="1083" spans="1:22" x14ac:dyDescent="0.2">
      <c r="A1083"/>
      <c r="B1083">
        <v>24148</v>
      </c>
      <c r="C1083" t="s">
        <v>3200</v>
      </c>
      <c r="D1083" t="s">
        <v>920</v>
      </c>
      <c r="E1083" t="s">
        <v>1275</v>
      </c>
      <c r="F1083" t="s">
        <v>2310</v>
      </c>
      <c r="G1083">
        <v>7561.6507596700003</v>
      </c>
      <c r="H1083" t="s">
        <v>248</v>
      </c>
      <c r="Q1083">
        <v>3603.0854454099999</v>
      </c>
      <c r="R1083">
        <v>32898.504236200002</v>
      </c>
      <c r="S1083">
        <v>-11.3152739766</v>
      </c>
      <c r="T1083">
        <v>-124.895599125</v>
      </c>
      <c r="U1083">
        <v>0</v>
      </c>
      <c r="V1083">
        <v>0</v>
      </c>
    </row>
    <row r="1084" spans="1:22" x14ac:dyDescent="0.2">
      <c r="A1084"/>
      <c r="B1084">
        <v>24149</v>
      </c>
      <c r="C1084" t="s">
        <v>3201</v>
      </c>
      <c r="D1084" t="s">
        <v>920</v>
      </c>
      <c r="E1084" t="s">
        <v>1275</v>
      </c>
      <c r="F1084" t="s">
        <v>2310</v>
      </c>
      <c r="G1084">
        <v>7640.5440960100004</v>
      </c>
      <c r="H1084" t="s">
        <v>248</v>
      </c>
      <c r="Q1084">
        <v>3560.5013859999999</v>
      </c>
      <c r="R1084">
        <v>32832.136179200003</v>
      </c>
      <c r="S1084">
        <v>-11.3016111205</v>
      </c>
      <c r="T1084">
        <v>-118.89620308000001</v>
      </c>
      <c r="U1084">
        <v>0</v>
      </c>
      <c r="V1084">
        <v>0</v>
      </c>
    </row>
    <row r="1085" spans="1:22" x14ac:dyDescent="0.2">
      <c r="A1085"/>
      <c r="B1085">
        <v>24150</v>
      </c>
      <c r="C1085" t="s">
        <v>3202</v>
      </c>
      <c r="D1085" t="s">
        <v>920</v>
      </c>
      <c r="E1085" t="s">
        <v>1275</v>
      </c>
      <c r="F1085" t="s">
        <v>2310</v>
      </c>
      <c r="G1085">
        <v>7661.1351979600004</v>
      </c>
      <c r="H1085" t="s">
        <v>248</v>
      </c>
      <c r="Q1085">
        <v>3551.0204605499998</v>
      </c>
      <c r="R1085">
        <v>32813.860353999997</v>
      </c>
      <c r="S1085">
        <v>-11.3061943498</v>
      </c>
      <c r="T1085">
        <v>-115.869896518</v>
      </c>
      <c r="U1085">
        <v>0</v>
      </c>
      <c r="V1085">
        <v>0</v>
      </c>
    </row>
    <row r="1086" spans="1:22" x14ac:dyDescent="0.2">
      <c r="A1086"/>
      <c r="B1086">
        <v>24151</v>
      </c>
      <c r="C1086" t="s">
        <v>3203</v>
      </c>
      <c r="D1086" t="s">
        <v>920</v>
      </c>
      <c r="E1086" t="s">
        <v>1275</v>
      </c>
      <c r="F1086" t="s">
        <v>2310</v>
      </c>
      <c r="G1086">
        <v>7720.6042614600001</v>
      </c>
      <c r="H1086" t="s">
        <v>248</v>
      </c>
      <c r="Q1086">
        <v>3525.8172002299998</v>
      </c>
      <c r="R1086">
        <v>32759.996252699999</v>
      </c>
      <c r="S1086">
        <v>-11.3107744265</v>
      </c>
      <c r="T1086">
        <v>-114.997836537</v>
      </c>
      <c r="U1086">
        <v>0</v>
      </c>
      <c r="V1086">
        <v>0</v>
      </c>
    </row>
    <row r="1087" spans="1:22" x14ac:dyDescent="0.2">
      <c r="A1087"/>
      <c r="B1087">
        <v>24152</v>
      </c>
      <c r="C1087" t="s">
        <v>3204</v>
      </c>
      <c r="D1087" t="s">
        <v>920</v>
      </c>
      <c r="E1087" t="s">
        <v>1275</v>
      </c>
      <c r="F1087" t="s">
        <v>2322</v>
      </c>
      <c r="G1087">
        <v>13.9089782448</v>
      </c>
      <c r="H1087" t="s">
        <v>248</v>
      </c>
      <c r="Q1087">
        <v>3507.3777369700001</v>
      </c>
      <c r="R1087">
        <v>32720.412390400001</v>
      </c>
      <c r="S1087">
        <v>-11.324840545000001</v>
      </c>
      <c r="T1087">
        <v>-114.95576458799999</v>
      </c>
      <c r="U1087">
        <v>0</v>
      </c>
      <c r="V1087">
        <v>0</v>
      </c>
    </row>
    <row r="1088" spans="1:22" x14ac:dyDescent="0.2">
      <c r="A1088"/>
      <c r="B1088">
        <v>24153</v>
      </c>
      <c r="C1088" t="s">
        <v>3205</v>
      </c>
      <c r="D1088" t="s">
        <v>920</v>
      </c>
      <c r="E1088" t="s">
        <v>1275</v>
      </c>
      <c r="F1088" t="s">
        <v>2322</v>
      </c>
      <c r="G1088">
        <v>72.152167569499994</v>
      </c>
      <c r="H1088" t="s">
        <v>248</v>
      </c>
      <c r="Q1088">
        <v>3482.8478481799998</v>
      </c>
      <c r="R1088">
        <v>32667.586749300001</v>
      </c>
      <c r="S1088">
        <v>-11.287072541100001</v>
      </c>
      <c r="T1088">
        <v>-114.836185617</v>
      </c>
      <c r="U1088">
        <v>0</v>
      </c>
      <c r="V1088">
        <v>0</v>
      </c>
    </row>
    <row r="1089" spans="1:22" x14ac:dyDescent="0.2">
      <c r="A1089"/>
      <c r="B1089">
        <v>24154</v>
      </c>
      <c r="C1089" t="s">
        <v>3206</v>
      </c>
      <c r="D1089" t="s">
        <v>920</v>
      </c>
      <c r="E1089" t="s">
        <v>1275</v>
      </c>
      <c r="F1089" t="s">
        <v>2322</v>
      </c>
      <c r="G1089">
        <v>179.77590928699999</v>
      </c>
      <c r="H1089" t="s">
        <v>248</v>
      </c>
      <c r="Q1089">
        <v>3442.1955810099998</v>
      </c>
      <c r="R1089">
        <v>32568.074986299998</v>
      </c>
      <c r="S1089">
        <v>-10.840136293</v>
      </c>
      <c r="T1089">
        <v>-106.068331882</v>
      </c>
      <c r="U1089">
        <v>0</v>
      </c>
      <c r="V1089">
        <v>0</v>
      </c>
    </row>
    <row r="1090" spans="1:22" x14ac:dyDescent="0.2">
      <c r="A1090"/>
      <c r="B1090">
        <v>24155</v>
      </c>
      <c r="C1090" t="s">
        <v>3207</v>
      </c>
      <c r="D1090" t="s">
        <v>920</v>
      </c>
      <c r="E1090" t="s">
        <v>1275</v>
      </c>
      <c r="F1090" t="s">
        <v>2322</v>
      </c>
      <c r="G1090">
        <v>305.93444212000003</v>
      </c>
      <c r="H1090" t="s">
        <v>248</v>
      </c>
      <c r="Q1090">
        <v>3418.33796424</v>
      </c>
      <c r="R1090">
        <v>32444.2535102</v>
      </c>
      <c r="S1090">
        <v>-10.797229635900001</v>
      </c>
      <c r="T1090">
        <v>-99.531227483500004</v>
      </c>
      <c r="U1090">
        <v>0</v>
      </c>
      <c r="V1090">
        <v>0</v>
      </c>
    </row>
    <row r="1091" spans="1:22" x14ac:dyDescent="0.2">
      <c r="A1091"/>
      <c r="B1091">
        <v>24156</v>
      </c>
      <c r="C1091" t="s">
        <v>3208</v>
      </c>
      <c r="D1091" t="s">
        <v>920</v>
      </c>
      <c r="E1091" t="s">
        <v>1275</v>
      </c>
      <c r="F1091" t="s">
        <v>2322</v>
      </c>
      <c r="G1091">
        <v>328.01218536599998</v>
      </c>
      <c r="H1091" t="s">
        <v>248</v>
      </c>
      <c r="Q1091">
        <v>3414.6801472900001</v>
      </c>
      <c r="R1091">
        <v>32422.480887500002</v>
      </c>
      <c r="S1091">
        <v>-10.795197096600001</v>
      </c>
      <c r="T1091">
        <v>-99.566430827700003</v>
      </c>
      <c r="U1091">
        <v>0</v>
      </c>
      <c r="V1091">
        <v>0</v>
      </c>
    </row>
    <row r="1092" spans="1:22" x14ac:dyDescent="0.2">
      <c r="A1092"/>
      <c r="B1092">
        <v>24157</v>
      </c>
      <c r="C1092" t="s">
        <v>3209</v>
      </c>
      <c r="D1092" t="s">
        <v>920</v>
      </c>
      <c r="E1092" t="s">
        <v>1275</v>
      </c>
      <c r="F1092" t="s">
        <v>2325</v>
      </c>
      <c r="G1092">
        <v>85.332859469799999</v>
      </c>
      <c r="H1092" t="s">
        <v>248</v>
      </c>
      <c r="Q1092">
        <v>3393.7520678300002</v>
      </c>
      <c r="R1092">
        <v>32299.169994700002</v>
      </c>
      <c r="S1092">
        <v>-10.8065381559</v>
      </c>
      <c r="T1092">
        <v>-99.652699878299998</v>
      </c>
      <c r="U1092">
        <v>0</v>
      </c>
      <c r="V1092">
        <v>0</v>
      </c>
    </row>
    <row r="1093" spans="1:22" x14ac:dyDescent="0.2">
      <c r="A1093"/>
      <c r="B1093">
        <v>24158</v>
      </c>
      <c r="C1093" t="s">
        <v>3210</v>
      </c>
      <c r="D1093" t="s">
        <v>920</v>
      </c>
      <c r="E1093" t="s">
        <v>1275</v>
      </c>
      <c r="F1093" t="s">
        <v>2325</v>
      </c>
      <c r="G1093">
        <v>154.89043412699999</v>
      </c>
      <c r="H1093" t="s">
        <v>248</v>
      </c>
      <c r="Q1093">
        <v>3381.83260995</v>
      </c>
      <c r="R1093">
        <v>32230.6415103</v>
      </c>
      <c r="S1093">
        <v>-10.7999984929</v>
      </c>
      <c r="T1093">
        <v>-100.12244984199999</v>
      </c>
      <c r="U1093">
        <v>0</v>
      </c>
      <c r="V1093">
        <v>0</v>
      </c>
    </row>
    <row r="1094" spans="1:22" x14ac:dyDescent="0.2">
      <c r="A1094"/>
      <c r="B1094">
        <v>24159</v>
      </c>
      <c r="C1094" t="s">
        <v>3211</v>
      </c>
      <c r="D1094" t="s">
        <v>920</v>
      </c>
      <c r="E1094" t="s">
        <v>1275</v>
      </c>
      <c r="F1094" t="s">
        <v>2325</v>
      </c>
      <c r="G1094">
        <v>168.48004179700001</v>
      </c>
      <c r="H1094" t="s">
        <v>248</v>
      </c>
      <c r="Q1094">
        <v>3379.43230859</v>
      </c>
      <c r="R1094">
        <v>32217.265564000001</v>
      </c>
      <c r="S1094">
        <v>-10.798259360699999</v>
      </c>
      <c r="T1094">
        <v>-100.224197113</v>
      </c>
      <c r="U1094">
        <v>0</v>
      </c>
      <c r="V1094">
        <v>0</v>
      </c>
    </row>
    <row r="1095" spans="1:22" x14ac:dyDescent="0.2">
      <c r="A1095"/>
      <c r="B1095">
        <v>24160</v>
      </c>
      <c r="C1095" t="s">
        <v>3212</v>
      </c>
      <c r="D1095" t="s">
        <v>920</v>
      </c>
      <c r="E1095" t="s">
        <v>1275</v>
      </c>
      <c r="F1095" t="s">
        <v>2325</v>
      </c>
      <c r="G1095">
        <v>171.223569591</v>
      </c>
      <c r="H1095" t="s">
        <v>248</v>
      </c>
      <c r="Q1095">
        <v>3378.9448497899998</v>
      </c>
      <c r="R1095">
        <v>32214.565688400002</v>
      </c>
      <c r="S1095">
        <v>-10.7979044663</v>
      </c>
      <c r="T1095">
        <v>-100.244632016</v>
      </c>
      <c r="U1095">
        <v>0</v>
      </c>
      <c r="V1095">
        <v>0</v>
      </c>
    </row>
    <row r="1096" spans="1:22" x14ac:dyDescent="0.2">
      <c r="A1096"/>
      <c r="B1096">
        <v>24161</v>
      </c>
      <c r="C1096" t="s">
        <v>3213</v>
      </c>
      <c r="D1096" t="s">
        <v>920</v>
      </c>
      <c r="E1096" t="s">
        <v>1275</v>
      </c>
      <c r="F1096" t="s">
        <v>2325</v>
      </c>
      <c r="G1096">
        <v>189.44059414</v>
      </c>
      <c r="H1096" t="s">
        <v>248</v>
      </c>
      <c r="Q1096">
        <v>3375.6081330900001</v>
      </c>
      <c r="R1096">
        <v>32196.657153</v>
      </c>
      <c r="S1096">
        <v>-10.803103609300001</v>
      </c>
      <c r="T1096">
        <v>-101.247842464</v>
      </c>
      <c r="U1096">
        <v>0</v>
      </c>
      <c r="V1096">
        <v>0</v>
      </c>
    </row>
    <row r="1097" spans="1:22" x14ac:dyDescent="0.2">
      <c r="A1097"/>
      <c r="B1097">
        <v>24162</v>
      </c>
      <c r="C1097" t="s">
        <v>3214</v>
      </c>
      <c r="D1097" t="s">
        <v>920</v>
      </c>
      <c r="E1097" t="s">
        <v>1275</v>
      </c>
      <c r="F1097" t="s">
        <v>2325</v>
      </c>
      <c r="G1097">
        <v>192.184121933</v>
      </c>
      <c r="H1097" t="s">
        <v>248</v>
      </c>
      <c r="Q1097">
        <v>3375.0674529900002</v>
      </c>
      <c r="R1097">
        <v>32193.967432199999</v>
      </c>
      <c r="S1097">
        <v>-10.8042326086</v>
      </c>
      <c r="T1097">
        <v>-101.481836778</v>
      </c>
      <c r="U1097">
        <v>0</v>
      </c>
      <c r="V1097">
        <v>0</v>
      </c>
    </row>
    <row r="1098" spans="1:22" x14ac:dyDescent="0.2">
      <c r="A1098"/>
      <c r="B1098">
        <v>24163</v>
      </c>
      <c r="C1098" t="s">
        <v>3215</v>
      </c>
      <c r="D1098" t="s">
        <v>920</v>
      </c>
      <c r="E1098" t="s">
        <v>1275</v>
      </c>
      <c r="F1098" t="s">
        <v>2325</v>
      </c>
      <c r="G1098">
        <v>245.24394945899999</v>
      </c>
      <c r="H1098" t="s">
        <v>248</v>
      </c>
      <c r="Q1098">
        <v>3363.1985460000001</v>
      </c>
      <c r="R1098">
        <v>32142.255776800001</v>
      </c>
      <c r="S1098">
        <v>-10.794709917200001</v>
      </c>
      <c r="T1098">
        <v>-103.885486066</v>
      </c>
      <c r="U1098">
        <v>0</v>
      </c>
      <c r="V1098">
        <v>0</v>
      </c>
    </row>
    <row r="1099" spans="1:22" x14ac:dyDescent="0.2">
      <c r="A1099"/>
      <c r="B1099">
        <v>24164</v>
      </c>
      <c r="C1099" t="s">
        <v>3216</v>
      </c>
      <c r="D1099" t="s">
        <v>920</v>
      </c>
      <c r="E1099" t="s">
        <v>1275</v>
      </c>
      <c r="F1099" t="s">
        <v>2325</v>
      </c>
      <c r="G1099">
        <v>280.08675243599998</v>
      </c>
      <c r="H1099" t="s">
        <v>248</v>
      </c>
      <c r="Q1099">
        <v>3354.6095795299998</v>
      </c>
      <c r="R1099">
        <v>32108.4883945</v>
      </c>
      <c r="S1099">
        <v>-10.796520548</v>
      </c>
      <c r="T1099">
        <v>-104.567028431</v>
      </c>
      <c r="U1099">
        <v>0</v>
      </c>
      <c r="V1099">
        <v>0</v>
      </c>
    </row>
    <row r="1100" spans="1:22" x14ac:dyDescent="0.2">
      <c r="A1100"/>
      <c r="B1100">
        <v>24165</v>
      </c>
      <c r="C1100" t="s">
        <v>3217</v>
      </c>
      <c r="D1100" t="s">
        <v>920</v>
      </c>
      <c r="E1100" t="s">
        <v>1275</v>
      </c>
      <c r="F1100" t="s">
        <v>2325</v>
      </c>
      <c r="G1100">
        <v>298.30377698500001</v>
      </c>
      <c r="H1100" t="s">
        <v>248</v>
      </c>
      <c r="Q1100">
        <v>3350.0020408400001</v>
      </c>
      <c r="R1100">
        <v>32090.863684700002</v>
      </c>
      <c r="S1100">
        <v>-10.79757912</v>
      </c>
      <c r="T1100">
        <v>-104.709864233</v>
      </c>
      <c r="U1100">
        <v>0</v>
      </c>
      <c r="V1100">
        <v>0</v>
      </c>
    </row>
    <row r="1101" spans="1:22" x14ac:dyDescent="0.2">
      <c r="A1101"/>
      <c r="B1101">
        <v>24166</v>
      </c>
      <c r="C1101" t="s">
        <v>3218</v>
      </c>
      <c r="D1101" t="s">
        <v>920</v>
      </c>
      <c r="E1101" t="s">
        <v>1275</v>
      </c>
      <c r="F1101" t="s">
        <v>2325</v>
      </c>
      <c r="G1101">
        <v>301.04730477800001</v>
      </c>
      <c r="H1101" t="s">
        <v>248</v>
      </c>
      <c r="Q1101">
        <v>3349.30517517</v>
      </c>
      <c r="R1101">
        <v>32088.210135599998</v>
      </c>
      <c r="S1101">
        <v>-10.7977452009</v>
      </c>
      <c r="T1101">
        <v>-104.718673917</v>
      </c>
      <c r="U1101">
        <v>0</v>
      </c>
      <c r="V1101">
        <v>0</v>
      </c>
    </row>
    <row r="1102" spans="1:22" x14ac:dyDescent="0.2">
      <c r="A1102"/>
      <c r="B1102">
        <v>24167</v>
      </c>
      <c r="C1102" t="s">
        <v>3219</v>
      </c>
      <c r="D1102" t="s">
        <v>1924</v>
      </c>
      <c r="E1102" t="s">
        <v>1275</v>
      </c>
      <c r="F1102" t="s">
        <v>2453</v>
      </c>
      <c r="G1102">
        <v>31.898160246900002</v>
      </c>
      <c r="H1102" t="s">
        <v>248</v>
      </c>
      <c r="Q1102">
        <v>3331.9778853900002</v>
      </c>
      <c r="R1102">
        <v>32021.9600732</v>
      </c>
      <c r="S1102">
        <v>-10.8028661525</v>
      </c>
      <c r="T1102">
        <v>-104.573220191</v>
      </c>
      <c r="U1102">
        <v>0</v>
      </c>
      <c r="V1102">
        <v>0</v>
      </c>
    </row>
    <row r="1103" spans="1:22" x14ac:dyDescent="0.2">
      <c r="A1103"/>
      <c r="B1103">
        <v>24168</v>
      </c>
      <c r="C1103" t="s">
        <v>3220</v>
      </c>
      <c r="D1103" t="s">
        <v>920</v>
      </c>
      <c r="E1103" t="s">
        <v>1275</v>
      </c>
      <c r="F1103" t="s">
        <v>2453</v>
      </c>
      <c r="G1103">
        <v>52.727182796199997</v>
      </c>
      <c r="H1103" t="s">
        <v>248</v>
      </c>
      <c r="Q1103">
        <v>3326.7441841</v>
      </c>
      <c r="R1103">
        <v>32001.799306000001</v>
      </c>
      <c r="S1103">
        <v>-10.8040855337</v>
      </c>
      <c r="T1103">
        <v>-104.535822274</v>
      </c>
      <c r="U1103">
        <v>0</v>
      </c>
      <c r="V1103">
        <v>0</v>
      </c>
    </row>
    <row r="1104" spans="1:22" x14ac:dyDescent="0.2">
      <c r="A1104"/>
      <c r="B1104">
        <v>24169</v>
      </c>
      <c r="C1104" t="s">
        <v>3221</v>
      </c>
      <c r="D1104" t="s">
        <v>920</v>
      </c>
      <c r="E1104" t="s">
        <v>1275</v>
      </c>
      <c r="F1104" t="s">
        <v>2453</v>
      </c>
      <c r="G1104">
        <v>73.556205345500004</v>
      </c>
      <c r="H1104" t="s">
        <v>248</v>
      </c>
      <c r="Q1104">
        <v>3321.5196568900001</v>
      </c>
      <c r="R1104">
        <v>31981.636159099999</v>
      </c>
      <c r="S1104">
        <v>-10.8036121214</v>
      </c>
      <c r="T1104">
        <v>-104.521149596</v>
      </c>
      <c r="U1104">
        <v>0</v>
      </c>
      <c r="V1104">
        <v>0</v>
      </c>
    </row>
    <row r="1105" spans="1:22" x14ac:dyDescent="0.2">
      <c r="A1105"/>
      <c r="B1105">
        <v>24170</v>
      </c>
      <c r="C1105" t="s">
        <v>3222</v>
      </c>
      <c r="D1105" t="s">
        <v>920</v>
      </c>
      <c r="E1105" t="s">
        <v>1275</v>
      </c>
      <c r="F1105" t="s">
        <v>2330</v>
      </c>
      <c r="G1105">
        <v>13.9254967387</v>
      </c>
      <c r="H1105" t="s">
        <v>248</v>
      </c>
      <c r="Q1105">
        <v>3306.3043405100002</v>
      </c>
      <c r="R1105">
        <v>31922.995441700001</v>
      </c>
      <c r="S1105">
        <v>-10.794431149299999</v>
      </c>
      <c r="T1105">
        <v>-104.583165885</v>
      </c>
      <c r="U1105">
        <v>0</v>
      </c>
      <c r="V1105">
        <v>0</v>
      </c>
    </row>
    <row r="1106" spans="1:22" x14ac:dyDescent="0.2">
      <c r="A1106"/>
      <c r="B1106">
        <v>24171</v>
      </c>
      <c r="C1106" t="s">
        <v>3223</v>
      </c>
      <c r="D1106" t="s">
        <v>920</v>
      </c>
      <c r="E1106" t="s">
        <v>1275</v>
      </c>
      <c r="F1106" t="s">
        <v>2330</v>
      </c>
      <c r="G1106">
        <v>38.690299047000003</v>
      </c>
      <c r="H1106" t="s">
        <v>248</v>
      </c>
      <c r="Q1106">
        <v>3300.06763228</v>
      </c>
      <c r="R1106">
        <v>31899.028821200001</v>
      </c>
      <c r="S1106">
        <v>-10.7925435504</v>
      </c>
      <c r="T1106">
        <v>-104.583733591</v>
      </c>
      <c r="U1106">
        <v>0</v>
      </c>
      <c r="V1106">
        <v>0</v>
      </c>
    </row>
    <row r="1107" spans="1:22" x14ac:dyDescent="0.2">
      <c r="A1107"/>
      <c r="B1107">
        <v>24172</v>
      </c>
      <c r="C1107" t="s">
        <v>3224</v>
      </c>
      <c r="D1107" t="s">
        <v>920</v>
      </c>
      <c r="E1107" t="s">
        <v>1275</v>
      </c>
      <c r="F1107" t="s">
        <v>2330</v>
      </c>
      <c r="G1107">
        <v>85.7641234954</v>
      </c>
      <c r="H1107" t="s">
        <v>248</v>
      </c>
      <c r="Q1107">
        <v>3288.2433488500001</v>
      </c>
      <c r="R1107">
        <v>31853.464243300001</v>
      </c>
      <c r="S1107">
        <v>-10.7959738343</v>
      </c>
      <c r="T1107">
        <v>-104.491233608</v>
      </c>
      <c r="U1107">
        <v>0</v>
      </c>
      <c r="V1107">
        <v>0</v>
      </c>
    </row>
    <row r="1108" spans="1:22" x14ac:dyDescent="0.2">
      <c r="A1108"/>
      <c r="B1108">
        <v>24173</v>
      </c>
      <c r="C1108" t="s">
        <v>3225</v>
      </c>
      <c r="D1108" t="s">
        <v>920</v>
      </c>
      <c r="E1108" t="s">
        <v>1275</v>
      </c>
      <c r="F1108" t="s">
        <v>2330</v>
      </c>
      <c r="G1108">
        <v>129.01784545999999</v>
      </c>
      <c r="H1108" t="s">
        <v>248</v>
      </c>
      <c r="Q1108">
        <v>3277.9866538299998</v>
      </c>
      <c r="R1108">
        <v>31811.4476349</v>
      </c>
      <c r="S1108">
        <v>-10.791210559</v>
      </c>
      <c r="T1108">
        <v>-102.29149379899999</v>
      </c>
      <c r="U1108">
        <v>0</v>
      </c>
      <c r="V1108">
        <v>0</v>
      </c>
    </row>
    <row r="1109" spans="1:22" x14ac:dyDescent="0.2">
      <c r="A1109"/>
      <c r="B1109">
        <v>24174</v>
      </c>
      <c r="C1109" t="s">
        <v>3226</v>
      </c>
      <c r="D1109" t="s">
        <v>920</v>
      </c>
      <c r="E1109" t="s">
        <v>1275</v>
      </c>
      <c r="F1109" t="s">
        <v>2330</v>
      </c>
      <c r="G1109">
        <v>219.33598275400001</v>
      </c>
      <c r="H1109" t="s">
        <v>248</v>
      </c>
      <c r="Q1109">
        <v>3263.6955477900001</v>
      </c>
      <c r="R1109">
        <v>31722.315515599999</v>
      </c>
      <c r="S1109">
        <v>-10.798603741100001</v>
      </c>
      <c r="T1109">
        <v>-95.747902719600006</v>
      </c>
      <c r="U1109">
        <v>0</v>
      </c>
      <c r="V1109">
        <v>0</v>
      </c>
    </row>
    <row r="1110" spans="1:22" x14ac:dyDescent="0.2">
      <c r="A1110"/>
      <c r="B1110">
        <v>24175</v>
      </c>
      <c r="C1110" t="s">
        <v>3227</v>
      </c>
      <c r="D1110" t="s">
        <v>920</v>
      </c>
      <c r="E1110" t="s">
        <v>1275</v>
      </c>
      <c r="F1110" t="s">
        <v>2330</v>
      </c>
      <c r="G1110">
        <v>253.09590322599999</v>
      </c>
      <c r="H1110" t="s">
        <v>248</v>
      </c>
      <c r="Q1110">
        <v>3260.8665489700002</v>
      </c>
      <c r="R1110">
        <v>31688.675453</v>
      </c>
      <c r="S1110">
        <v>-10.799608126600001</v>
      </c>
      <c r="T1110">
        <v>-94.151120130799995</v>
      </c>
      <c r="U1110">
        <v>0</v>
      </c>
      <c r="V1110">
        <v>0</v>
      </c>
    </row>
    <row r="1111" spans="1:22" x14ac:dyDescent="0.2">
      <c r="A1111"/>
      <c r="B1111">
        <v>24176</v>
      </c>
      <c r="C1111" t="s">
        <v>3228</v>
      </c>
      <c r="D1111" t="s">
        <v>920</v>
      </c>
      <c r="E1111" t="s">
        <v>1275</v>
      </c>
      <c r="F1111" t="s">
        <v>2335</v>
      </c>
      <c r="G1111">
        <v>60.4303465351</v>
      </c>
      <c r="H1111" t="s">
        <v>248</v>
      </c>
      <c r="Q1111">
        <v>3256.2295823099998</v>
      </c>
      <c r="R1111">
        <v>31623.470001000002</v>
      </c>
      <c r="S1111">
        <v>-10.799496532199999</v>
      </c>
      <c r="T1111">
        <v>-94.111152511599997</v>
      </c>
      <c r="U1111">
        <v>0</v>
      </c>
      <c r="V1111">
        <v>0</v>
      </c>
    </row>
    <row r="1112" spans="1:22" x14ac:dyDescent="0.2">
      <c r="A1112"/>
      <c r="B1112">
        <v>24177</v>
      </c>
      <c r="C1112" t="s">
        <v>3229</v>
      </c>
      <c r="D1112" t="s">
        <v>920</v>
      </c>
      <c r="E1112" t="s">
        <v>1275</v>
      </c>
      <c r="F1112" t="s">
        <v>2335</v>
      </c>
      <c r="G1112">
        <v>235.25903887800001</v>
      </c>
      <c r="H1112" t="s">
        <v>248</v>
      </c>
      <c r="Q1112">
        <v>3243.6575092100002</v>
      </c>
      <c r="R1112">
        <v>31449.094187399998</v>
      </c>
      <c r="S1112">
        <v>-10.901688565800001</v>
      </c>
      <c r="T1112">
        <v>-94.0830838121</v>
      </c>
      <c r="U1112">
        <v>0</v>
      </c>
      <c r="V1112">
        <v>0</v>
      </c>
    </row>
    <row r="1113" spans="1:22" x14ac:dyDescent="0.2">
      <c r="A1113"/>
      <c r="B1113">
        <v>24178</v>
      </c>
      <c r="C1113" t="s">
        <v>3230</v>
      </c>
      <c r="D1113" t="s">
        <v>920</v>
      </c>
      <c r="E1113" t="s">
        <v>1275</v>
      </c>
      <c r="F1113" t="s">
        <v>2335</v>
      </c>
      <c r="G1113">
        <v>323.21602489600002</v>
      </c>
      <c r="H1113" t="s">
        <v>248</v>
      </c>
      <c r="Q1113">
        <v>3237.3422565599999</v>
      </c>
      <c r="R1113">
        <v>31361.371219600001</v>
      </c>
      <c r="S1113">
        <v>-11.9698192237</v>
      </c>
      <c r="T1113">
        <v>-94.638606861900001</v>
      </c>
      <c r="U1113">
        <v>0</v>
      </c>
      <c r="V1113">
        <v>0</v>
      </c>
    </row>
    <row r="1114" spans="1:22" x14ac:dyDescent="0.2">
      <c r="A1114"/>
      <c r="B1114">
        <v>24179</v>
      </c>
      <c r="C1114" t="s">
        <v>3231</v>
      </c>
      <c r="D1114" t="s">
        <v>920</v>
      </c>
      <c r="E1114" t="s">
        <v>1275</v>
      </c>
      <c r="F1114" t="s">
        <v>2335</v>
      </c>
      <c r="G1114">
        <v>372.527187669</v>
      </c>
      <c r="H1114" t="s">
        <v>248</v>
      </c>
      <c r="Q1114">
        <v>3232.66875682</v>
      </c>
      <c r="R1114">
        <v>31312.287745400001</v>
      </c>
      <c r="S1114">
        <v>-12.6110840624</v>
      </c>
      <c r="T1114">
        <v>-96.083873606500006</v>
      </c>
      <c r="U1114">
        <v>0</v>
      </c>
      <c r="V1114">
        <v>0</v>
      </c>
    </row>
    <row r="1115" spans="1:22" x14ac:dyDescent="0.2">
      <c r="A1115"/>
      <c r="B1115">
        <v>24180</v>
      </c>
      <c r="C1115" t="s">
        <v>3232</v>
      </c>
      <c r="D1115" t="s">
        <v>920</v>
      </c>
      <c r="E1115" t="s">
        <v>1275</v>
      </c>
      <c r="F1115" t="s">
        <v>2335</v>
      </c>
      <c r="G1115">
        <v>393.24616362400002</v>
      </c>
      <c r="H1115" t="s">
        <v>248</v>
      </c>
      <c r="Q1115">
        <v>3230.4464625300002</v>
      </c>
      <c r="R1115">
        <v>31291.689989099999</v>
      </c>
      <c r="S1115">
        <v>-12.8748580688</v>
      </c>
      <c r="T1115">
        <v>-96.229304627499999</v>
      </c>
      <c r="U1115">
        <v>0</v>
      </c>
      <c r="V1115">
        <v>0</v>
      </c>
    </row>
    <row r="1116" spans="1:22" x14ac:dyDescent="0.2">
      <c r="A1116"/>
      <c r="B1116">
        <v>24181</v>
      </c>
      <c r="C1116" t="s">
        <v>3233</v>
      </c>
      <c r="D1116" t="s">
        <v>920</v>
      </c>
      <c r="E1116" t="s">
        <v>1275</v>
      </c>
      <c r="F1116" t="s">
        <v>2335</v>
      </c>
      <c r="G1116">
        <v>446.57286126000002</v>
      </c>
      <c r="H1116" t="s">
        <v>248</v>
      </c>
      <c r="Q1116">
        <v>3224.5163274299998</v>
      </c>
      <c r="R1116">
        <v>31238.697025000001</v>
      </c>
      <c r="S1116">
        <v>-13.410487486499999</v>
      </c>
      <c r="T1116">
        <v>-96.508989081699994</v>
      </c>
      <c r="U1116">
        <v>0</v>
      </c>
      <c r="V1116">
        <v>0</v>
      </c>
    </row>
    <row r="1117" spans="1:22" x14ac:dyDescent="0.2">
      <c r="A1117"/>
      <c r="B1117">
        <v>24182</v>
      </c>
      <c r="C1117" t="s">
        <v>3234</v>
      </c>
      <c r="D1117" t="s">
        <v>920</v>
      </c>
      <c r="E1117" t="s">
        <v>1275</v>
      </c>
      <c r="F1117" t="s">
        <v>2335</v>
      </c>
      <c r="G1117">
        <v>449.53271496799999</v>
      </c>
      <c r="H1117" t="s">
        <v>248</v>
      </c>
      <c r="Q1117">
        <v>3224.18056514</v>
      </c>
      <c r="R1117">
        <v>31235.756297899999</v>
      </c>
      <c r="S1117">
        <v>-13.421509289999999</v>
      </c>
      <c r="T1117">
        <v>-96.518153607000002</v>
      </c>
      <c r="U1117">
        <v>0</v>
      </c>
      <c r="V1117">
        <v>0</v>
      </c>
    </row>
    <row r="1118" spans="1:22" x14ac:dyDescent="0.2">
      <c r="A1118"/>
      <c r="B1118">
        <v>24183</v>
      </c>
      <c r="C1118" t="s">
        <v>3235</v>
      </c>
      <c r="D1118" t="s">
        <v>920</v>
      </c>
      <c r="E1118" t="s">
        <v>1275</v>
      </c>
      <c r="F1118" t="s">
        <v>2335</v>
      </c>
      <c r="G1118">
        <v>469.18614358799999</v>
      </c>
      <c r="H1118" t="s">
        <v>248</v>
      </c>
      <c r="Q1118">
        <v>3221.9413758000001</v>
      </c>
      <c r="R1118">
        <v>31216.230869999999</v>
      </c>
      <c r="S1118">
        <v>-13.4426470759</v>
      </c>
      <c r="T1118">
        <v>-96.561557875899993</v>
      </c>
      <c r="U1118">
        <v>0</v>
      </c>
      <c r="V1118">
        <v>0</v>
      </c>
    </row>
    <row r="1119" spans="1:22" x14ac:dyDescent="0.2">
      <c r="A1119"/>
      <c r="B1119">
        <v>24184</v>
      </c>
      <c r="C1119" t="s">
        <v>3236</v>
      </c>
      <c r="D1119" t="s">
        <v>920</v>
      </c>
      <c r="E1119" t="s">
        <v>1275</v>
      </c>
      <c r="F1119" t="s">
        <v>2335</v>
      </c>
      <c r="G1119">
        <v>472.14599729600002</v>
      </c>
      <c r="H1119" t="s">
        <v>248</v>
      </c>
      <c r="Q1119">
        <v>3221.6030295199998</v>
      </c>
      <c r="R1119">
        <v>31213.2904184</v>
      </c>
      <c r="S1119">
        <v>-13.442556503900001</v>
      </c>
      <c r="T1119">
        <v>-96.566254234699997</v>
      </c>
      <c r="U1119">
        <v>0</v>
      </c>
      <c r="V1119">
        <v>0</v>
      </c>
    </row>
    <row r="1120" spans="1:22" x14ac:dyDescent="0.2">
      <c r="A1120"/>
      <c r="B1120">
        <v>24185</v>
      </c>
      <c r="C1120" t="s">
        <v>3237</v>
      </c>
      <c r="D1120" t="s">
        <v>920</v>
      </c>
      <c r="E1120" t="s">
        <v>1275</v>
      </c>
      <c r="F1120" t="s">
        <v>2335</v>
      </c>
      <c r="G1120">
        <v>529.389568005</v>
      </c>
      <c r="H1120" t="s">
        <v>248</v>
      </c>
      <c r="Q1120">
        <v>3215.0341962100001</v>
      </c>
      <c r="R1120">
        <v>31156.424991799999</v>
      </c>
      <c r="S1120">
        <v>-13.4425945792</v>
      </c>
      <c r="T1120">
        <v>-96.591705716500002</v>
      </c>
      <c r="U1120">
        <v>0</v>
      </c>
      <c r="V1120">
        <v>0</v>
      </c>
    </row>
    <row r="1121" spans="1:22" x14ac:dyDescent="0.2">
      <c r="A1121"/>
      <c r="B1121">
        <v>24186</v>
      </c>
      <c r="C1121" t="s">
        <v>3238</v>
      </c>
      <c r="D1121" t="s">
        <v>920</v>
      </c>
      <c r="E1121" t="s">
        <v>1275</v>
      </c>
      <c r="F1121" t="s">
        <v>2335</v>
      </c>
      <c r="G1121">
        <v>564.019856387</v>
      </c>
      <c r="H1121" t="s">
        <v>248</v>
      </c>
      <c r="Q1121">
        <v>3211.0716088899999</v>
      </c>
      <c r="R1121">
        <v>31122.022163099999</v>
      </c>
      <c r="S1121">
        <v>-13.4412123198</v>
      </c>
      <c r="T1121">
        <v>-96.522023243299998</v>
      </c>
      <c r="U1121">
        <v>0</v>
      </c>
      <c r="V1121">
        <v>0</v>
      </c>
    </row>
    <row r="1122" spans="1:22" x14ac:dyDescent="0.2">
      <c r="A1122"/>
      <c r="B1122">
        <v>24187</v>
      </c>
      <c r="C1122" t="s">
        <v>3239</v>
      </c>
      <c r="D1122" t="s">
        <v>920</v>
      </c>
      <c r="E1122" t="s">
        <v>1275</v>
      </c>
      <c r="F1122" t="s">
        <v>2335</v>
      </c>
      <c r="G1122">
        <v>566.97971009499997</v>
      </c>
      <c r="H1122" t="s">
        <v>248</v>
      </c>
      <c r="Q1122">
        <v>3210.7358139399998</v>
      </c>
      <c r="R1122">
        <v>31119.0814192</v>
      </c>
      <c r="S1122">
        <v>-13.440172735699999</v>
      </c>
      <c r="T1122">
        <v>-96.506471498500005</v>
      </c>
      <c r="U1122">
        <v>0</v>
      </c>
      <c r="V1122">
        <v>0</v>
      </c>
    </row>
    <row r="1123" spans="1:22" x14ac:dyDescent="0.2">
      <c r="A1123"/>
      <c r="B1123">
        <v>24188</v>
      </c>
      <c r="C1123" t="s">
        <v>3240</v>
      </c>
      <c r="D1123" t="s">
        <v>920</v>
      </c>
      <c r="E1123" t="s">
        <v>1275</v>
      </c>
      <c r="F1123" t="s">
        <v>2335</v>
      </c>
      <c r="G1123">
        <v>586.63313871499997</v>
      </c>
      <c r="H1123" t="s">
        <v>248</v>
      </c>
      <c r="Q1123">
        <v>3208.52547731</v>
      </c>
      <c r="R1123">
        <v>31099.5526828</v>
      </c>
      <c r="S1123">
        <v>-13.434633010800001</v>
      </c>
      <c r="T1123">
        <v>-96.410622745500007</v>
      </c>
      <c r="U1123">
        <v>0</v>
      </c>
      <c r="V1123">
        <v>0</v>
      </c>
    </row>
    <row r="1124" spans="1:22" x14ac:dyDescent="0.2">
      <c r="A1124"/>
      <c r="B1124">
        <v>24189</v>
      </c>
      <c r="C1124" t="s">
        <v>3241</v>
      </c>
      <c r="D1124" t="s">
        <v>920</v>
      </c>
      <c r="E1124" t="s">
        <v>1275</v>
      </c>
      <c r="F1124" t="s">
        <v>2335</v>
      </c>
      <c r="G1124">
        <v>589.59299242300006</v>
      </c>
      <c r="H1124" t="s">
        <v>248</v>
      </c>
      <c r="Q1124">
        <v>3208.1953433600002</v>
      </c>
      <c r="R1124">
        <v>31096.611297899999</v>
      </c>
      <c r="S1124">
        <v>-13.4340040031</v>
      </c>
      <c r="T1124">
        <v>-96.397304383999995</v>
      </c>
      <c r="U1124">
        <v>0</v>
      </c>
      <c r="V1124">
        <v>0</v>
      </c>
    </row>
    <row r="1125" spans="1:22" x14ac:dyDescent="0.2">
      <c r="A1125"/>
      <c r="B1125">
        <v>24190</v>
      </c>
      <c r="C1125" t="s">
        <v>3242</v>
      </c>
      <c r="D1125" t="s">
        <v>920</v>
      </c>
      <c r="E1125" t="s">
        <v>1275</v>
      </c>
      <c r="F1125" t="s">
        <v>2335</v>
      </c>
      <c r="G1125">
        <v>641.31150287800006</v>
      </c>
      <c r="H1125" t="s">
        <v>248</v>
      </c>
      <c r="Q1125">
        <v>3202.5228861099999</v>
      </c>
      <c r="R1125">
        <v>31045.204828000002</v>
      </c>
      <c r="S1125">
        <v>-13.4315365375</v>
      </c>
      <c r="T1125">
        <v>-96.199649342200004</v>
      </c>
      <c r="U1125">
        <v>0</v>
      </c>
      <c r="V1125">
        <v>0</v>
      </c>
    </row>
    <row r="1126" spans="1:22" x14ac:dyDescent="0.2">
      <c r="A1126"/>
      <c r="B1126">
        <v>24191</v>
      </c>
      <c r="C1126" t="s">
        <v>3243</v>
      </c>
      <c r="D1126" t="s">
        <v>920</v>
      </c>
      <c r="E1126" t="s">
        <v>1275</v>
      </c>
      <c r="F1126" t="s">
        <v>2335</v>
      </c>
      <c r="G1126">
        <v>720.94143379800005</v>
      </c>
      <c r="H1126" t="s">
        <v>248</v>
      </c>
      <c r="Q1126">
        <v>3199.5793134599999</v>
      </c>
      <c r="R1126">
        <v>30965.744227899999</v>
      </c>
      <c r="S1126">
        <v>-13.8394409532</v>
      </c>
      <c r="T1126">
        <v>-86.626984804200006</v>
      </c>
      <c r="U1126">
        <v>0</v>
      </c>
      <c r="V1126">
        <v>0</v>
      </c>
    </row>
    <row r="1127" spans="1:22" x14ac:dyDescent="0.2">
      <c r="A1127"/>
      <c r="B1127">
        <v>24192</v>
      </c>
      <c r="C1127" t="s">
        <v>3244</v>
      </c>
      <c r="D1127" t="s">
        <v>920</v>
      </c>
      <c r="E1127" t="s">
        <v>1275</v>
      </c>
      <c r="F1127" t="s">
        <v>2335</v>
      </c>
      <c r="G1127">
        <v>741.66040975299995</v>
      </c>
      <c r="H1127" t="s">
        <v>248</v>
      </c>
      <c r="Q1127">
        <v>3201.3256256899999</v>
      </c>
      <c r="R1127">
        <v>30945.103775</v>
      </c>
      <c r="S1127">
        <v>-14.1624190021</v>
      </c>
      <c r="T1127">
        <v>-83.693519233200007</v>
      </c>
      <c r="U1127">
        <v>0</v>
      </c>
      <c r="V1127">
        <v>0</v>
      </c>
    </row>
    <row r="1128" spans="1:22" x14ac:dyDescent="0.2">
      <c r="A1128"/>
      <c r="B1128">
        <v>24193</v>
      </c>
      <c r="C1128" t="s">
        <v>3245</v>
      </c>
      <c r="D1128" t="s">
        <v>920</v>
      </c>
      <c r="E1128" t="s">
        <v>1275</v>
      </c>
      <c r="F1128" t="s">
        <v>2335</v>
      </c>
      <c r="G1128">
        <v>860.05455806600003</v>
      </c>
      <c r="H1128" t="s">
        <v>248</v>
      </c>
      <c r="Q1128">
        <v>3230.1516599500001</v>
      </c>
      <c r="R1128">
        <v>30830.596899299999</v>
      </c>
      <c r="S1128">
        <v>-16.0381473586</v>
      </c>
      <c r="T1128">
        <v>-70.940281391100001</v>
      </c>
      <c r="U1128">
        <v>0</v>
      </c>
      <c r="V1128">
        <v>0</v>
      </c>
    </row>
    <row r="1129" spans="1:22" x14ac:dyDescent="0.2">
      <c r="A1129"/>
      <c r="B1129">
        <v>24194</v>
      </c>
      <c r="C1129" t="s">
        <v>3246</v>
      </c>
      <c r="D1129" t="s">
        <v>920</v>
      </c>
      <c r="E1129" t="s">
        <v>1275</v>
      </c>
      <c r="F1129" t="s">
        <v>2335</v>
      </c>
      <c r="G1129">
        <v>1057.3781385899999</v>
      </c>
      <c r="H1129" t="s">
        <v>248</v>
      </c>
      <c r="Q1129">
        <v>3287.4443261199999</v>
      </c>
      <c r="R1129">
        <v>30641.859876099999</v>
      </c>
      <c r="S1129">
        <v>-18.691911539700001</v>
      </c>
      <c r="T1129">
        <v>-76.628892632000003</v>
      </c>
      <c r="U1129">
        <v>0</v>
      </c>
      <c r="V1129">
        <v>0</v>
      </c>
    </row>
    <row r="1130" spans="1:22" x14ac:dyDescent="0.2">
      <c r="A1130"/>
      <c r="B1130">
        <v>24195</v>
      </c>
      <c r="C1130" t="s">
        <v>3247</v>
      </c>
      <c r="D1130" t="s">
        <v>920</v>
      </c>
      <c r="E1130" t="s">
        <v>1275</v>
      </c>
      <c r="F1130" t="s">
        <v>2335</v>
      </c>
      <c r="G1130">
        <v>1205.3708239800001</v>
      </c>
      <c r="H1130" t="s">
        <v>248</v>
      </c>
      <c r="Q1130">
        <v>3314.50643666</v>
      </c>
      <c r="R1130">
        <v>30496.388701200001</v>
      </c>
      <c r="S1130">
        <v>-18.239789311999999</v>
      </c>
      <c r="T1130">
        <v>-79.883926274299995</v>
      </c>
      <c r="U1130">
        <v>0</v>
      </c>
      <c r="V1130">
        <v>0</v>
      </c>
    </row>
    <row r="1131" spans="1:22" x14ac:dyDescent="0.2">
      <c r="A1131"/>
      <c r="B1131">
        <v>24196</v>
      </c>
      <c r="C1131" t="s">
        <v>3248</v>
      </c>
      <c r="D1131" t="s">
        <v>920</v>
      </c>
      <c r="E1131" t="s">
        <v>1275</v>
      </c>
      <c r="F1131" t="s">
        <v>2335</v>
      </c>
      <c r="G1131">
        <v>1353.36350937</v>
      </c>
      <c r="H1131" t="s">
        <v>248</v>
      </c>
      <c r="Q1131">
        <v>3343.29007976</v>
      </c>
      <c r="R1131">
        <v>30351.231446000002</v>
      </c>
      <c r="S1131">
        <v>-18.104969642</v>
      </c>
      <c r="T1131">
        <v>-79.5031286599</v>
      </c>
      <c r="U1131">
        <v>0</v>
      </c>
      <c r="V1131">
        <v>0</v>
      </c>
    </row>
    <row r="1132" spans="1:22" x14ac:dyDescent="0.2">
      <c r="A1132"/>
      <c r="B1132">
        <v>24197</v>
      </c>
      <c r="C1132" t="s">
        <v>3249</v>
      </c>
      <c r="D1132" t="s">
        <v>920</v>
      </c>
      <c r="E1132" t="s">
        <v>1275</v>
      </c>
      <c r="F1132" t="s">
        <v>2335</v>
      </c>
      <c r="G1132">
        <v>1495.4364873500001</v>
      </c>
      <c r="H1132" t="s">
        <v>248</v>
      </c>
      <c r="Q1132">
        <v>3361.53349368</v>
      </c>
      <c r="R1132">
        <v>30210.3776206</v>
      </c>
      <c r="S1132">
        <v>-18.5087648182</v>
      </c>
      <c r="T1132">
        <v>-84.881686073500006</v>
      </c>
      <c r="U1132">
        <v>0</v>
      </c>
      <c r="V1132">
        <v>0</v>
      </c>
    </row>
    <row r="1133" spans="1:22" x14ac:dyDescent="0.2">
      <c r="A1133"/>
      <c r="B1133">
        <v>24198</v>
      </c>
      <c r="C1133" t="s">
        <v>3250</v>
      </c>
      <c r="D1133" t="s">
        <v>920</v>
      </c>
      <c r="E1133" t="s">
        <v>1275</v>
      </c>
      <c r="F1133" t="s">
        <v>2335</v>
      </c>
      <c r="G1133">
        <v>1613.8306356600001</v>
      </c>
      <c r="H1133" t="s">
        <v>248</v>
      </c>
      <c r="Q1133">
        <v>3365.0628539499999</v>
      </c>
      <c r="R1133">
        <v>30092.1338459</v>
      </c>
      <c r="S1133">
        <v>-16.8132669839</v>
      </c>
      <c r="T1133">
        <v>-91.5800577957</v>
      </c>
      <c r="U1133">
        <v>0</v>
      </c>
      <c r="V1133">
        <v>0</v>
      </c>
    </row>
    <row r="1134" spans="1:22" x14ac:dyDescent="0.2">
      <c r="A1134"/>
      <c r="B1134">
        <v>24199</v>
      </c>
      <c r="C1134" t="s">
        <v>3251</v>
      </c>
      <c r="D1134" t="s">
        <v>920</v>
      </c>
      <c r="E1134" t="s">
        <v>1275</v>
      </c>
      <c r="F1134" t="s">
        <v>2335</v>
      </c>
      <c r="G1134">
        <v>1634.54961162</v>
      </c>
      <c r="H1134" t="s">
        <v>248</v>
      </c>
      <c r="Q1134">
        <v>3364.5017167199999</v>
      </c>
      <c r="R1134">
        <v>30071.426438499999</v>
      </c>
      <c r="S1134">
        <v>-16.408104829799999</v>
      </c>
      <c r="T1134">
        <v>-91.561372102899995</v>
      </c>
      <c r="U1134">
        <v>0</v>
      </c>
      <c r="V1134">
        <v>0</v>
      </c>
    </row>
    <row r="1135" spans="1:22" x14ac:dyDescent="0.2">
      <c r="A1135"/>
      <c r="B1135">
        <v>24200</v>
      </c>
      <c r="C1135" t="s">
        <v>3252</v>
      </c>
      <c r="D1135" t="s">
        <v>920</v>
      </c>
      <c r="E1135" t="s">
        <v>1275</v>
      </c>
      <c r="F1135" t="s">
        <v>2335</v>
      </c>
      <c r="G1135">
        <v>1728.24871383</v>
      </c>
      <c r="H1135" t="s">
        <v>248</v>
      </c>
      <c r="Q1135">
        <v>3361.76442554</v>
      </c>
      <c r="R1135">
        <v>29977.781818200001</v>
      </c>
      <c r="S1135">
        <v>-14.7983393118</v>
      </c>
      <c r="T1135">
        <v>-91.784070029899993</v>
      </c>
      <c r="U1135">
        <v>0</v>
      </c>
      <c r="V1135">
        <v>0</v>
      </c>
    </row>
    <row r="1136" spans="1:22" x14ac:dyDescent="0.2">
      <c r="A1136"/>
      <c r="B1136">
        <v>24201</v>
      </c>
      <c r="C1136" t="s">
        <v>3253</v>
      </c>
      <c r="D1136" t="s">
        <v>920</v>
      </c>
      <c r="E1136" t="s">
        <v>1275</v>
      </c>
      <c r="F1136" t="s">
        <v>2335</v>
      </c>
      <c r="G1136">
        <v>1742.9098558600001</v>
      </c>
      <c r="H1136" t="s">
        <v>248</v>
      </c>
      <c r="Q1136">
        <v>3361.3052637199999</v>
      </c>
      <c r="R1136">
        <v>29963.128212700001</v>
      </c>
      <c r="S1136">
        <v>-14.6991015478</v>
      </c>
      <c r="T1136">
        <v>-91.804300253500003</v>
      </c>
      <c r="U1136">
        <v>0</v>
      </c>
      <c r="V1136">
        <v>0</v>
      </c>
    </row>
    <row r="1137" spans="1:22" x14ac:dyDescent="0.2">
      <c r="A1137"/>
      <c r="B1137">
        <v>24202</v>
      </c>
      <c r="C1137" t="s">
        <v>3254</v>
      </c>
      <c r="D1137" t="s">
        <v>920</v>
      </c>
      <c r="E1137" t="s">
        <v>1275</v>
      </c>
      <c r="F1137" t="s">
        <v>2335</v>
      </c>
      <c r="G1137">
        <v>1745.8697095699999</v>
      </c>
      <c r="H1137" t="s">
        <v>248</v>
      </c>
      <c r="Q1137">
        <v>3361.2119856700001</v>
      </c>
      <c r="R1137">
        <v>29960.169859500002</v>
      </c>
      <c r="S1137">
        <v>-14.6857300084</v>
      </c>
      <c r="T1137">
        <v>-91.807574975199998</v>
      </c>
      <c r="U1137">
        <v>0</v>
      </c>
      <c r="V1137">
        <v>0</v>
      </c>
    </row>
    <row r="1138" spans="1:22" x14ac:dyDescent="0.2">
      <c r="A1138"/>
      <c r="B1138">
        <v>24203</v>
      </c>
      <c r="C1138" t="s">
        <v>3255</v>
      </c>
      <c r="D1138" t="s">
        <v>920</v>
      </c>
      <c r="E1138" t="s">
        <v>1275</v>
      </c>
      <c r="F1138" t="s">
        <v>2335</v>
      </c>
      <c r="G1138">
        <v>1765.51327201</v>
      </c>
      <c r="H1138" t="s">
        <v>248</v>
      </c>
      <c r="Q1138">
        <v>3360.5894847300001</v>
      </c>
      <c r="R1138">
        <v>29940.5362093</v>
      </c>
      <c r="S1138">
        <v>-14.652247062700001</v>
      </c>
      <c r="T1138">
        <v>-91.822538471900003</v>
      </c>
      <c r="U1138">
        <v>0</v>
      </c>
      <c r="V1138">
        <v>0</v>
      </c>
    </row>
    <row r="1139" spans="1:22" x14ac:dyDescent="0.2">
      <c r="A1139"/>
      <c r="B1139">
        <v>24204</v>
      </c>
      <c r="C1139" t="s">
        <v>3256</v>
      </c>
      <c r="D1139" t="s">
        <v>920</v>
      </c>
      <c r="E1139" t="s">
        <v>1275</v>
      </c>
      <c r="F1139" t="s">
        <v>2335</v>
      </c>
      <c r="G1139">
        <v>1768.4731257200001</v>
      </c>
      <c r="H1139" t="s">
        <v>248</v>
      </c>
      <c r="Q1139">
        <v>3360.4953105999998</v>
      </c>
      <c r="R1139">
        <v>29937.577854200001</v>
      </c>
      <c r="S1139">
        <v>-14.652300869399999</v>
      </c>
      <c r="T1139">
        <v>-91.824040164899998</v>
      </c>
      <c r="U1139">
        <v>0</v>
      </c>
      <c r="V1139">
        <v>0</v>
      </c>
    </row>
    <row r="1140" spans="1:22" x14ac:dyDescent="0.2">
      <c r="A1140"/>
      <c r="B1140">
        <v>24205</v>
      </c>
      <c r="C1140" t="s">
        <v>3257</v>
      </c>
      <c r="D1140" t="s">
        <v>920</v>
      </c>
      <c r="E1140" t="s">
        <v>1275</v>
      </c>
      <c r="F1140" t="s">
        <v>2335</v>
      </c>
      <c r="G1140">
        <v>1825.72656261</v>
      </c>
      <c r="H1140" t="s">
        <v>248</v>
      </c>
      <c r="Q1140">
        <v>3358.6642967900002</v>
      </c>
      <c r="R1140">
        <v>29880.353703699999</v>
      </c>
      <c r="S1140">
        <v>-14.655387642199999</v>
      </c>
      <c r="T1140">
        <v>-91.835860585600003</v>
      </c>
      <c r="U1140">
        <v>0</v>
      </c>
      <c r="V1140">
        <v>0</v>
      </c>
    </row>
    <row r="1141" spans="1:22" x14ac:dyDescent="0.2">
      <c r="A1141"/>
      <c r="B1141">
        <v>24206</v>
      </c>
      <c r="C1141" t="s">
        <v>3258</v>
      </c>
      <c r="D1141" t="s">
        <v>920</v>
      </c>
      <c r="E1141" t="s">
        <v>1275</v>
      </c>
      <c r="F1141" t="s">
        <v>2335</v>
      </c>
      <c r="G1141">
        <v>1860.3469848100001</v>
      </c>
      <c r="H1141" t="s">
        <v>248</v>
      </c>
      <c r="Q1141">
        <v>3357.5572239399999</v>
      </c>
      <c r="R1141">
        <v>29845.750986899999</v>
      </c>
      <c r="S1141">
        <v>-14.6591418618</v>
      </c>
      <c r="T1141">
        <v>-91.827113690800005</v>
      </c>
      <c r="U1141">
        <v>0</v>
      </c>
      <c r="V1141">
        <v>0</v>
      </c>
    </row>
    <row r="1142" spans="1:22" x14ac:dyDescent="0.2">
      <c r="A1142"/>
      <c r="B1142">
        <v>24207</v>
      </c>
      <c r="C1142" t="s">
        <v>3259</v>
      </c>
      <c r="D1142" t="s">
        <v>920</v>
      </c>
      <c r="E1142" t="s">
        <v>1275</v>
      </c>
      <c r="F1142" t="s">
        <v>2335</v>
      </c>
      <c r="G1142">
        <v>1863.3068385199999</v>
      </c>
      <c r="H1142" t="s">
        <v>248</v>
      </c>
      <c r="Q1142">
        <v>3357.4628859999998</v>
      </c>
      <c r="R1142">
        <v>29842.792636999999</v>
      </c>
      <c r="S1142">
        <v>-14.6595288407</v>
      </c>
      <c r="T1142">
        <v>-91.825810034300005</v>
      </c>
      <c r="U1142">
        <v>0</v>
      </c>
      <c r="V1142">
        <v>0</v>
      </c>
    </row>
    <row r="1143" spans="1:22" x14ac:dyDescent="0.2">
      <c r="A1143"/>
      <c r="B1143">
        <v>24208</v>
      </c>
      <c r="C1143" t="s">
        <v>3260</v>
      </c>
      <c r="D1143" t="s">
        <v>920</v>
      </c>
      <c r="E1143" t="s">
        <v>1275</v>
      </c>
      <c r="F1143" t="s">
        <v>2335</v>
      </c>
      <c r="G1143">
        <v>1882.9701333200001</v>
      </c>
      <c r="H1143" t="s">
        <v>248</v>
      </c>
      <c r="Q1143">
        <v>3356.8381498600002</v>
      </c>
      <c r="R1143">
        <v>29823.139269399999</v>
      </c>
      <c r="S1143">
        <v>-14.6623636774</v>
      </c>
      <c r="T1143">
        <v>-91.814926440899995</v>
      </c>
      <c r="U1143">
        <v>0</v>
      </c>
      <c r="V1143">
        <v>0</v>
      </c>
    </row>
    <row r="1144" spans="1:22" x14ac:dyDescent="0.2">
      <c r="A1144"/>
      <c r="B1144">
        <v>24209</v>
      </c>
      <c r="C1144" t="s">
        <v>3261</v>
      </c>
      <c r="D1144" t="s">
        <v>920</v>
      </c>
      <c r="E1144" t="s">
        <v>1275</v>
      </c>
      <c r="F1144" t="s">
        <v>2335</v>
      </c>
      <c r="G1144">
        <v>1885.9299870299999</v>
      </c>
      <c r="H1144" t="s">
        <v>248</v>
      </c>
      <c r="Q1144">
        <v>3356.7444584599998</v>
      </c>
      <c r="R1144">
        <v>29820.180898999999</v>
      </c>
      <c r="S1144">
        <v>-14.6628301366</v>
      </c>
      <c r="T1144">
        <v>-91.812953551500001</v>
      </c>
      <c r="U1144">
        <v>0</v>
      </c>
      <c r="V1144">
        <v>0</v>
      </c>
    </row>
    <row r="1145" spans="1:22" x14ac:dyDescent="0.2">
      <c r="A1145"/>
      <c r="B1145">
        <v>24210</v>
      </c>
      <c r="C1145" t="s">
        <v>3262</v>
      </c>
      <c r="D1145" t="s">
        <v>920</v>
      </c>
      <c r="E1145" t="s">
        <v>1275</v>
      </c>
      <c r="F1145" t="s">
        <v>2335</v>
      </c>
      <c r="G1145">
        <v>1937.6484974800001</v>
      </c>
      <c r="H1145" t="s">
        <v>248</v>
      </c>
      <c r="Q1145">
        <v>3355.1288787899998</v>
      </c>
      <c r="R1145">
        <v>29768.487754400001</v>
      </c>
      <c r="S1145">
        <v>-14.732182503500001</v>
      </c>
      <c r="T1145">
        <v>-91.758670868500005</v>
      </c>
      <c r="U1145">
        <v>0</v>
      </c>
      <c r="V1145">
        <v>0</v>
      </c>
    </row>
    <row r="1146" spans="1:22" x14ac:dyDescent="0.2">
      <c r="A1146"/>
      <c r="B1146">
        <v>24211</v>
      </c>
      <c r="C1146" t="s">
        <v>3263</v>
      </c>
      <c r="D1146" t="s">
        <v>920</v>
      </c>
      <c r="E1146" t="s">
        <v>1275</v>
      </c>
      <c r="F1146" t="s">
        <v>2335</v>
      </c>
      <c r="G1146">
        <v>2017.35735783</v>
      </c>
      <c r="H1146" t="s">
        <v>248</v>
      </c>
      <c r="Q1146">
        <v>3352.80496455</v>
      </c>
      <c r="R1146">
        <v>29688.8213861</v>
      </c>
      <c r="S1146">
        <v>-15.8600565957</v>
      </c>
      <c r="T1146">
        <v>-91.608805129000004</v>
      </c>
      <c r="U1146">
        <v>0</v>
      </c>
      <c r="V1146">
        <v>0</v>
      </c>
    </row>
    <row r="1147" spans="1:22" x14ac:dyDescent="0.2">
      <c r="A1147"/>
      <c r="B1147">
        <v>24212</v>
      </c>
      <c r="C1147" t="s">
        <v>3264</v>
      </c>
      <c r="D1147" t="s">
        <v>920</v>
      </c>
      <c r="E1147" t="s">
        <v>1275</v>
      </c>
      <c r="F1147" t="s">
        <v>2335</v>
      </c>
      <c r="G1147">
        <v>2038.07633379</v>
      </c>
      <c r="H1147" t="s">
        <v>248</v>
      </c>
      <c r="Q1147">
        <v>3352.2335514299998</v>
      </c>
      <c r="R1147">
        <v>29668.113853300001</v>
      </c>
      <c r="S1147">
        <v>-16.244004310699999</v>
      </c>
      <c r="T1147">
        <v>-91.524627241999994</v>
      </c>
      <c r="U1147">
        <v>0</v>
      </c>
      <c r="V1147">
        <v>0</v>
      </c>
    </row>
    <row r="1148" spans="1:22" x14ac:dyDescent="0.2">
      <c r="A1148"/>
      <c r="B1148">
        <v>24213</v>
      </c>
      <c r="C1148" t="s">
        <v>3265</v>
      </c>
      <c r="D1148" t="s">
        <v>920</v>
      </c>
      <c r="E1148" t="s">
        <v>1275</v>
      </c>
      <c r="F1148" t="s">
        <v>2335</v>
      </c>
      <c r="G1148">
        <v>2156.4704821</v>
      </c>
      <c r="H1148" t="s">
        <v>248</v>
      </c>
      <c r="Q1148">
        <v>3355.8683911799999</v>
      </c>
      <c r="R1148">
        <v>29549.855762399999</v>
      </c>
      <c r="S1148">
        <v>-18.2218125403</v>
      </c>
      <c r="T1148">
        <v>-86.317595658800002</v>
      </c>
      <c r="U1148">
        <v>0</v>
      </c>
      <c r="V1148">
        <v>0</v>
      </c>
    </row>
    <row r="1149" spans="1:22" x14ac:dyDescent="0.2">
      <c r="A1149"/>
      <c r="B1149">
        <v>24214</v>
      </c>
      <c r="C1149" t="s">
        <v>3266</v>
      </c>
      <c r="D1149" t="s">
        <v>920</v>
      </c>
      <c r="E1149" t="s">
        <v>1275</v>
      </c>
      <c r="F1149" t="s">
        <v>2335</v>
      </c>
      <c r="G1149">
        <v>2353.7940626200002</v>
      </c>
      <c r="H1149" t="s">
        <v>248</v>
      </c>
      <c r="Q1149">
        <v>3386.2556625900002</v>
      </c>
      <c r="R1149">
        <v>29355.5477182</v>
      </c>
      <c r="S1149">
        <v>-17.894152880899998</v>
      </c>
      <c r="T1149">
        <v>-73.7866404663</v>
      </c>
      <c r="U1149">
        <v>0</v>
      </c>
      <c r="V1149">
        <v>0</v>
      </c>
    </row>
    <row r="1150" spans="1:22" x14ac:dyDescent="0.2">
      <c r="A1150"/>
      <c r="B1150">
        <v>24215</v>
      </c>
      <c r="C1150" t="s">
        <v>3267</v>
      </c>
      <c r="D1150" t="s">
        <v>920</v>
      </c>
      <c r="E1150" t="s">
        <v>1275</v>
      </c>
      <c r="F1150" t="s">
        <v>2335</v>
      </c>
      <c r="G1150">
        <v>2551.1176431499998</v>
      </c>
      <c r="H1150" t="s">
        <v>248</v>
      </c>
      <c r="Q1150">
        <v>3418.6553563900002</v>
      </c>
      <c r="R1150">
        <v>29161.317104599999</v>
      </c>
      <c r="S1150">
        <v>-18.0881936352</v>
      </c>
      <c r="T1150">
        <v>-83.630390794199997</v>
      </c>
      <c r="U1150">
        <v>0</v>
      </c>
      <c r="V1150">
        <v>0</v>
      </c>
    </row>
    <row r="1151" spans="1:22" x14ac:dyDescent="0.2">
      <c r="A1151"/>
      <c r="B1151">
        <v>24216</v>
      </c>
      <c r="C1151" t="s">
        <v>3268</v>
      </c>
      <c r="D1151" t="s">
        <v>920</v>
      </c>
      <c r="E1151" t="s">
        <v>1275</v>
      </c>
      <c r="F1151" t="s">
        <v>2335</v>
      </c>
      <c r="G1151">
        <v>2748.44122367</v>
      </c>
      <c r="H1151" t="s">
        <v>248</v>
      </c>
      <c r="Q1151">
        <v>3440.0435785300001</v>
      </c>
      <c r="R1151">
        <v>28965.157179599999</v>
      </c>
      <c r="S1151">
        <v>-17.5062763701</v>
      </c>
      <c r="T1151">
        <v>-83.910533638299995</v>
      </c>
      <c r="U1151">
        <v>0</v>
      </c>
      <c r="V1151">
        <v>0</v>
      </c>
    </row>
    <row r="1152" spans="1:22" x14ac:dyDescent="0.2">
      <c r="A1152"/>
      <c r="B1152">
        <v>24217</v>
      </c>
      <c r="C1152" t="s">
        <v>3269</v>
      </c>
      <c r="D1152" t="s">
        <v>920</v>
      </c>
      <c r="E1152" t="s">
        <v>1275</v>
      </c>
      <c r="F1152" t="s">
        <v>2335</v>
      </c>
      <c r="G1152">
        <v>2867.8219898900002</v>
      </c>
      <c r="H1152" t="s">
        <v>248</v>
      </c>
      <c r="Q1152">
        <v>3449.8171371600001</v>
      </c>
      <c r="R1152">
        <v>28846.258759699998</v>
      </c>
      <c r="S1152">
        <v>-17.7914907527</v>
      </c>
      <c r="T1152">
        <v>-90.912044299100003</v>
      </c>
      <c r="U1152">
        <v>0</v>
      </c>
      <c r="V1152">
        <v>0</v>
      </c>
    </row>
    <row r="1153" spans="1:22" x14ac:dyDescent="0.2">
      <c r="A1153"/>
      <c r="B1153">
        <v>24218</v>
      </c>
      <c r="C1153" t="s">
        <v>3270</v>
      </c>
      <c r="D1153" t="s">
        <v>920</v>
      </c>
      <c r="E1153" t="s">
        <v>1275</v>
      </c>
      <c r="F1153" t="s">
        <v>2335</v>
      </c>
      <c r="G1153">
        <v>2986.2161381999999</v>
      </c>
      <c r="H1153" t="s">
        <v>248</v>
      </c>
      <c r="Q1153">
        <v>3430.2405381600001</v>
      </c>
      <c r="R1153">
        <v>28729.946275900002</v>
      </c>
      <c r="S1153">
        <v>-16.454192590400002</v>
      </c>
      <c r="T1153">
        <v>-107.922289514</v>
      </c>
      <c r="U1153">
        <v>0</v>
      </c>
      <c r="V1153">
        <v>0</v>
      </c>
    </row>
    <row r="1154" spans="1:22" x14ac:dyDescent="0.2">
      <c r="A1154"/>
      <c r="B1154">
        <v>24219</v>
      </c>
      <c r="C1154" t="s">
        <v>3271</v>
      </c>
      <c r="D1154" t="s">
        <v>920</v>
      </c>
      <c r="E1154" t="s">
        <v>1275</v>
      </c>
      <c r="F1154" t="s">
        <v>2335</v>
      </c>
      <c r="G1154">
        <v>3006.9351141500001</v>
      </c>
      <c r="H1154" t="s">
        <v>248</v>
      </c>
      <c r="Q1154">
        <v>3423.38492486</v>
      </c>
      <c r="R1154">
        <v>28710.4009988</v>
      </c>
      <c r="S1154">
        <v>-16.0382017355</v>
      </c>
      <c r="T1154">
        <v>-110.726089536</v>
      </c>
      <c r="U1154">
        <v>0</v>
      </c>
      <c r="V1154">
        <v>0</v>
      </c>
    </row>
    <row r="1155" spans="1:22" x14ac:dyDescent="0.2">
      <c r="A1155"/>
      <c r="B1155">
        <v>24220</v>
      </c>
      <c r="C1155" t="s">
        <v>3272</v>
      </c>
      <c r="D1155" t="s">
        <v>920</v>
      </c>
      <c r="E1155" t="s">
        <v>1275</v>
      </c>
      <c r="F1155" t="s">
        <v>2335</v>
      </c>
      <c r="G1155">
        <v>3101.9858828900001</v>
      </c>
      <c r="H1155" t="s">
        <v>248</v>
      </c>
      <c r="Q1155">
        <v>3386.5712890700001</v>
      </c>
      <c r="R1155">
        <v>28622.786641999999</v>
      </c>
      <c r="S1155">
        <v>-14.579636353</v>
      </c>
      <c r="T1155">
        <v>-113.164034273</v>
      </c>
      <c r="U1155">
        <v>0</v>
      </c>
      <c r="V1155">
        <v>0</v>
      </c>
    </row>
    <row r="1156" spans="1:22" x14ac:dyDescent="0.2">
      <c r="A1156"/>
      <c r="B1156">
        <v>24221</v>
      </c>
      <c r="C1156" t="s">
        <v>3273</v>
      </c>
      <c r="D1156" t="s">
        <v>920</v>
      </c>
      <c r="E1156" t="s">
        <v>1275</v>
      </c>
      <c r="F1156" t="s">
        <v>2335</v>
      </c>
      <c r="G1156">
        <v>3116.6470249200001</v>
      </c>
      <c r="H1156" t="s">
        <v>248</v>
      </c>
      <c r="Q1156">
        <v>3380.7982066899999</v>
      </c>
      <c r="R1156">
        <v>28609.310051100001</v>
      </c>
      <c r="S1156">
        <v>-14.5367196282</v>
      </c>
      <c r="T1156">
        <v>-113.213352864</v>
      </c>
      <c r="U1156">
        <v>0</v>
      </c>
      <c r="V1156">
        <v>0</v>
      </c>
    </row>
    <row r="1157" spans="1:22" x14ac:dyDescent="0.2">
      <c r="A1157"/>
      <c r="B1157">
        <v>24222</v>
      </c>
      <c r="C1157" t="s">
        <v>3274</v>
      </c>
      <c r="D1157" t="s">
        <v>920</v>
      </c>
      <c r="E1157" t="s">
        <v>1275</v>
      </c>
      <c r="F1157" t="s">
        <v>2335</v>
      </c>
      <c r="G1157">
        <v>3119.6068786300002</v>
      </c>
      <c r="H1157" t="s">
        <v>248</v>
      </c>
      <c r="Q1157">
        <v>3379.6313445000001</v>
      </c>
      <c r="R1157">
        <v>28606.589910999999</v>
      </c>
      <c r="S1157">
        <v>-14.5346443258</v>
      </c>
      <c r="T1157">
        <v>-113.22249479600001</v>
      </c>
      <c r="U1157">
        <v>0</v>
      </c>
      <c r="V1157">
        <v>0</v>
      </c>
    </row>
    <row r="1158" spans="1:22" x14ac:dyDescent="0.2">
      <c r="A1158"/>
      <c r="B1158">
        <v>24223</v>
      </c>
      <c r="C1158" t="s">
        <v>3275</v>
      </c>
      <c r="D1158" t="s">
        <v>920</v>
      </c>
      <c r="E1158" t="s">
        <v>1275</v>
      </c>
      <c r="F1158" t="s">
        <v>2335</v>
      </c>
      <c r="G1158">
        <v>3139.2603072500001</v>
      </c>
      <c r="H1158" t="s">
        <v>248</v>
      </c>
      <c r="Q1158">
        <v>3371.8734602200002</v>
      </c>
      <c r="R1158">
        <v>28588.532435500001</v>
      </c>
      <c r="S1158">
        <v>-14.5281718591</v>
      </c>
      <c r="T1158">
        <v>-113.27337485300001</v>
      </c>
      <c r="U1158">
        <v>0</v>
      </c>
      <c r="V1158">
        <v>0</v>
      </c>
    </row>
    <row r="1159" spans="1:22" x14ac:dyDescent="0.2">
      <c r="A1159"/>
      <c r="B1159">
        <v>24224</v>
      </c>
      <c r="C1159" t="s">
        <v>3276</v>
      </c>
      <c r="D1159" t="s">
        <v>920</v>
      </c>
      <c r="E1159" t="s">
        <v>1275</v>
      </c>
      <c r="F1159" t="s">
        <v>2335</v>
      </c>
      <c r="G1159">
        <v>3142.2201609600002</v>
      </c>
      <c r="H1159" t="s">
        <v>248</v>
      </c>
      <c r="Q1159">
        <v>3370.7038198700002</v>
      </c>
      <c r="R1159">
        <v>28585.813488200001</v>
      </c>
      <c r="S1159">
        <v>-14.5273340041</v>
      </c>
      <c r="T1159">
        <v>-113.27950145699999</v>
      </c>
      <c r="U1159">
        <v>0</v>
      </c>
      <c r="V1159">
        <v>0</v>
      </c>
    </row>
    <row r="1160" spans="1:22" x14ac:dyDescent="0.2">
      <c r="A1160"/>
      <c r="B1160">
        <v>24225</v>
      </c>
      <c r="C1160" t="s">
        <v>3277</v>
      </c>
      <c r="D1160" t="s">
        <v>920</v>
      </c>
      <c r="E1160" t="s">
        <v>1275</v>
      </c>
      <c r="F1160" t="s">
        <v>2335</v>
      </c>
      <c r="G1160">
        <v>3199.46373167</v>
      </c>
      <c r="H1160" t="s">
        <v>248</v>
      </c>
      <c r="Q1160">
        <v>3348.0506167499998</v>
      </c>
      <c r="R1160">
        <v>28533.2429782</v>
      </c>
      <c r="S1160">
        <v>-14.5181794488</v>
      </c>
      <c r="T1160">
        <v>-113.31890005699999</v>
      </c>
      <c r="U1160">
        <v>0</v>
      </c>
      <c r="V1160">
        <v>0</v>
      </c>
    </row>
    <row r="1161" spans="1:22" x14ac:dyDescent="0.2">
      <c r="A1161"/>
      <c r="B1161">
        <v>24226</v>
      </c>
      <c r="C1161" t="s">
        <v>3278</v>
      </c>
      <c r="D1161" t="s">
        <v>920</v>
      </c>
      <c r="E1161" t="s">
        <v>1275</v>
      </c>
      <c r="F1161" t="s">
        <v>2335</v>
      </c>
      <c r="G1161">
        <v>3234.0940200499999</v>
      </c>
      <c r="H1161" t="s">
        <v>248</v>
      </c>
      <c r="Q1161">
        <v>3334.3533751199998</v>
      </c>
      <c r="R1161">
        <v>28501.436652299999</v>
      </c>
      <c r="S1161">
        <v>-14.519149494500001</v>
      </c>
      <c r="T1161">
        <v>-113.269718247</v>
      </c>
      <c r="U1161">
        <v>0</v>
      </c>
      <c r="V1161">
        <v>0</v>
      </c>
    </row>
    <row r="1162" spans="1:22" x14ac:dyDescent="0.2">
      <c r="A1162"/>
      <c r="B1162">
        <v>24227</v>
      </c>
      <c r="C1162" t="s">
        <v>3279</v>
      </c>
      <c r="D1162" t="s">
        <v>920</v>
      </c>
      <c r="E1162" t="s">
        <v>1275</v>
      </c>
      <c r="F1162" t="s">
        <v>2335</v>
      </c>
      <c r="G1162">
        <v>3237.05387376</v>
      </c>
      <c r="H1162" t="s">
        <v>248</v>
      </c>
      <c r="Q1162">
        <v>3333.1842139599999</v>
      </c>
      <c r="R1162">
        <v>28498.717498800001</v>
      </c>
      <c r="S1162">
        <v>-14.5194599971</v>
      </c>
      <c r="T1162">
        <v>-113.26296128200001</v>
      </c>
      <c r="U1162">
        <v>0</v>
      </c>
      <c r="V1162">
        <v>0</v>
      </c>
    </row>
    <row r="1163" spans="1:22" x14ac:dyDescent="0.2">
      <c r="A1163"/>
      <c r="B1163">
        <v>24228</v>
      </c>
      <c r="C1163" t="s">
        <v>3280</v>
      </c>
      <c r="D1163" t="s">
        <v>920</v>
      </c>
      <c r="E1163" t="s">
        <v>1275</v>
      </c>
      <c r="F1163" t="s">
        <v>2335</v>
      </c>
      <c r="G1163">
        <v>3256.7073023799999</v>
      </c>
      <c r="H1163" t="s">
        <v>248</v>
      </c>
      <c r="Q1163">
        <v>3325.4302711199998</v>
      </c>
      <c r="R1163">
        <v>28480.6583297</v>
      </c>
      <c r="S1163">
        <v>-14.5224308438</v>
      </c>
      <c r="T1163">
        <v>-113.20789562500001</v>
      </c>
      <c r="U1163">
        <v>0</v>
      </c>
      <c r="V1163">
        <v>0</v>
      </c>
    </row>
    <row r="1164" spans="1:22" x14ac:dyDescent="0.2">
      <c r="A1164"/>
      <c r="B1164">
        <v>24229</v>
      </c>
      <c r="C1164" t="s">
        <v>3281</v>
      </c>
      <c r="D1164" t="s">
        <v>920</v>
      </c>
      <c r="E1164" t="s">
        <v>1275</v>
      </c>
      <c r="F1164" t="s">
        <v>2335</v>
      </c>
      <c r="G1164">
        <v>3259.6671560899999</v>
      </c>
      <c r="H1164" t="s">
        <v>248</v>
      </c>
      <c r="Q1164">
        <v>3324.2641175799999</v>
      </c>
      <c r="R1164">
        <v>28477.937884999999</v>
      </c>
      <c r="S1164">
        <v>-14.523015174499999</v>
      </c>
      <c r="T1164">
        <v>-113.198066548</v>
      </c>
      <c r="U1164">
        <v>0</v>
      </c>
      <c r="V1164">
        <v>0</v>
      </c>
    </row>
    <row r="1165" spans="1:22" x14ac:dyDescent="0.2">
      <c r="A1165"/>
      <c r="B1165">
        <v>24230</v>
      </c>
      <c r="C1165" t="s">
        <v>3282</v>
      </c>
      <c r="D1165" t="s">
        <v>920</v>
      </c>
      <c r="E1165" t="s">
        <v>1275</v>
      </c>
      <c r="F1165" t="s">
        <v>2335</v>
      </c>
      <c r="G1165">
        <v>3311.3856665399999</v>
      </c>
      <c r="H1165" t="s">
        <v>248</v>
      </c>
      <c r="Q1165">
        <v>3303.97203941</v>
      </c>
      <c r="R1165">
        <v>28430.3676839</v>
      </c>
      <c r="S1165">
        <v>-14.7785986318</v>
      </c>
      <c r="T1165">
        <v>-113.00742487399999</v>
      </c>
      <c r="U1165">
        <v>0</v>
      </c>
      <c r="V1165">
        <v>0</v>
      </c>
    </row>
    <row r="1166" spans="1:22" x14ac:dyDescent="0.2">
      <c r="A1166"/>
      <c r="B1166">
        <v>24231</v>
      </c>
      <c r="C1166" t="s">
        <v>3283</v>
      </c>
      <c r="D1166" t="s">
        <v>920</v>
      </c>
      <c r="E1166" t="s">
        <v>1275</v>
      </c>
      <c r="F1166" t="s">
        <v>2335</v>
      </c>
      <c r="G1166">
        <v>3389.74286037</v>
      </c>
      <c r="H1166" t="s">
        <v>248</v>
      </c>
      <c r="Q1166">
        <v>3274.4836850400002</v>
      </c>
      <c r="R1166">
        <v>28357.796049600001</v>
      </c>
      <c r="S1166">
        <v>-16.211189132000001</v>
      </c>
      <c r="T1166">
        <v>-110.428936483</v>
      </c>
      <c r="U1166">
        <v>0</v>
      </c>
      <c r="V1166">
        <v>0</v>
      </c>
    </row>
    <row r="1167" spans="1:22" x14ac:dyDescent="0.2">
      <c r="A1167"/>
      <c r="B1167">
        <v>24232</v>
      </c>
      <c r="C1167" t="s">
        <v>3284</v>
      </c>
      <c r="D1167" t="s">
        <v>920</v>
      </c>
      <c r="E1167" t="s">
        <v>1275</v>
      </c>
      <c r="F1167" t="s">
        <v>2335</v>
      </c>
      <c r="G1167">
        <v>3410.4618363200002</v>
      </c>
      <c r="H1167" t="s">
        <v>248</v>
      </c>
      <c r="Q1167">
        <v>3267.3624232500001</v>
      </c>
      <c r="R1167">
        <v>28338.343395399999</v>
      </c>
      <c r="S1167">
        <v>-16.6031592203</v>
      </c>
      <c r="T1167">
        <v>-109.80830394500001</v>
      </c>
      <c r="U1167">
        <v>0</v>
      </c>
      <c r="V1167">
        <v>0</v>
      </c>
    </row>
    <row r="1168" spans="1:22" x14ac:dyDescent="0.2">
      <c r="A1168"/>
      <c r="B1168">
        <v>24233</v>
      </c>
      <c r="C1168" t="s">
        <v>3285</v>
      </c>
      <c r="D1168" t="s">
        <v>920</v>
      </c>
      <c r="E1168" t="s">
        <v>1275</v>
      </c>
      <c r="F1168" t="s">
        <v>2335</v>
      </c>
      <c r="G1168">
        <v>3528.8559846399999</v>
      </c>
      <c r="H1168" t="s">
        <v>248</v>
      </c>
      <c r="Q1168">
        <v>3230.8799166700001</v>
      </c>
      <c r="R1168">
        <v>28225.797371699999</v>
      </c>
      <c r="S1168">
        <v>-18.639966279799999</v>
      </c>
      <c r="T1168">
        <v>-102.745074714</v>
      </c>
      <c r="U1168">
        <v>0</v>
      </c>
      <c r="V1168">
        <v>0</v>
      </c>
    </row>
    <row r="1169" spans="1:22" x14ac:dyDescent="0.2">
      <c r="A1169"/>
      <c r="B1169">
        <v>24234</v>
      </c>
      <c r="C1169" t="s">
        <v>3286</v>
      </c>
      <c r="D1169" t="s">
        <v>920</v>
      </c>
      <c r="E1169" t="s">
        <v>1275</v>
      </c>
      <c r="F1169" t="s">
        <v>2335</v>
      </c>
      <c r="G1169">
        <v>3726.17956516</v>
      </c>
      <c r="H1169" t="s">
        <v>248</v>
      </c>
      <c r="Q1169">
        <v>3204.4409853699999</v>
      </c>
      <c r="R1169">
        <v>28030.306508099999</v>
      </c>
      <c r="S1169">
        <v>-18.592930090399999</v>
      </c>
      <c r="T1169">
        <v>-97.131609996400002</v>
      </c>
      <c r="U1169">
        <v>0</v>
      </c>
      <c r="V1169">
        <v>0</v>
      </c>
    </row>
    <row r="1170" spans="1:22" x14ac:dyDescent="0.2">
      <c r="A1170"/>
      <c r="B1170">
        <v>24235</v>
      </c>
      <c r="C1170" t="s">
        <v>3287</v>
      </c>
      <c r="D1170" t="s">
        <v>920</v>
      </c>
      <c r="E1170" t="s">
        <v>1275</v>
      </c>
      <c r="F1170" t="s">
        <v>2335</v>
      </c>
      <c r="G1170">
        <v>3859.3729820100002</v>
      </c>
      <c r="H1170" t="s">
        <v>248</v>
      </c>
      <c r="Q1170">
        <v>3187.9189519500001</v>
      </c>
      <c r="R1170">
        <v>27898.141819799999</v>
      </c>
      <c r="S1170">
        <v>-18.5314318689</v>
      </c>
      <c r="T1170">
        <v>-97.118570568500004</v>
      </c>
      <c r="U1170">
        <v>0</v>
      </c>
      <c r="V1170">
        <v>0</v>
      </c>
    </row>
    <row r="1171" spans="1:22" x14ac:dyDescent="0.2">
      <c r="A1171"/>
      <c r="B1171">
        <v>24236</v>
      </c>
      <c r="C1171" t="s">
        <v>3288</v>
      </c>
      <c r="D1171" t="s">
        <v>920</v>
      </c>
      <c r="E1171" t="s">
        <v>1275</v>
      </c>
      <c r="F1171" t="s">
        <v>2335</v>
      </c>
      <c r="G1171">
        <v>4049.7902372200001</v>
      </c>
      <c r="H1171" t="s">
        <v>248</v>
      </c>
      <c r="Q1171">
        <v>3164.3676302399999</v>
      </c>
      <c r="R1171">
        <v>27709.186641299999</v>
      </c>
      <c r="S1171">
        <v>-18.453915879899998</v>
      </c>
      <c r="T1171">
        <v>-97.088340740000007</v>
      </c>
      <c r="U1171">
        <v>0</v>
      </c>
      <c r="V1171">
        <v>0</v>
      </c>
    </row>
    <row r="1172" spans="1:22" x14ac:dyDescent="0.2">
      <c r="A1172"/>
      <c r="B1172">
        <v>24237</v>
      </c>
      <c r="C1172" t="s">
        <v>3289</v>
      </c>
      <c r="D1172" t="s">
        <v>920</v>
      </c>
      <c r="E1172" t="s">
        <v>1275</v>
      </c>
      <c r="F1172" t="s">
        <v>2335</v>
      </c>
      <c r="G1172">
        <v>4168.1843855300003</v>
      </c>
      <c r="H1172" t="s">
        <v>248</v>
      </c>
      <c r="Q1172">
        <v>3149.8023771100002</v>
      </c>
      <c r="R1172">
        <v>27591.713082900002</v>
      </c>
      <c r="S1172">
        <v>-16.4323554544</v>
      </c>
      <c r="T1172">
        <v>-97.045613114099993</v>
      </c>
      <c r="U1172">
        <v>0</v>
      </c>
      <c r="V1172">
        <v>0</v>
      </c>
    </row>
    <row r="1173" spans="1:22" x14ac:dyDescent="0.2">
      <c r="A1173"/>
      <c r="B1173">
        <v>24238</v>
      </c>
      <c r="C1173" t="s">
        <v>3290</v>
      </c>
      <c r="D1173" t="s">
        <v>920</v>
      </c>
      <c r="E1173" t="s">
        <v>1275</v>
      </c>
      <c r="F1173" t="s">
        <v>2335</v>
      </c>
      <c r="G1173">
        <v>4188.90336149</v>
      </c>
      <c r="H1173" t="s">
        <v>248</v>
      </c>
      <c r="Q1173">
        <v>3147.26300425</v>
      </c>
      <c r="R1173">
        <v>27571.157018499998</v>
      </c>
      <c r="S1173">
        <v>-15.907231554899999</v>
      </c>
      <c r="T1173">
        <v>-97.039125973500006</v>
      </c>
      <c r="U1173">
        <v>0</v>
      </c>
      <c r="V1173">
        <v>0</v>
      </c>
    </row>
    <row r="1174" spans="1:22" x14ac:dyDescent="0.2">
      <c r="A1174"/>
      <c r="B1174">
        <v>24239</v>
      </c>
      <c r="C1174" t="s">
        <v>3291</v>
      </c>
      <c r="D1174" t="s">
        <v>920</v>
      </c>
      <c r="E1174" t="s">
        <v>1275</v>
      </c>
      <c r="F1174" t="s">
        <v>2335</v>
      </c>
      <c r="G1174">
        <v>4283.8949331499998</v>
      </c>
      <c r="H1174" t="s">
        <v>248</v>
      </c>
      <c r="Q1174">
        <v>3135.6296027399999</v>
      </c>
      <c r="R1174">
        <v>27476.8952364</v>
      </c>
      <c r="S1174">
        <v>-14.443622668</v>
      </c>
      <c r="T1174">
        <v>-97.047544342600006</v>
      </c>
      <c r="U1174">
        <v>0</v>
      </c>
      <c r="V1174">
        <v>0</v>
      </c>
    </row>
    <row r="1175" spans="1:22" x14ac:dyDescent="0.2">
      <c r="A1175"/>
      <c r="B1175">
        <v>24240</v>
      </c>
      <c r="C1175" t="s">
        <v>3292</v>
      </c>
      <c r="D1175" t="s">
        <v>920</v>
      </c>
      <c r="E1175" t="s">
        <v>1275</v>
      </c>
      <c r="F1175" t="s">
        <v>2335</v>
      </c>
      <c r="G1175">
        <v>4298.5560751800003</v>
      </c>
      <c r="H1175" t="s">
        <v>248</v>
      </c>
      <c r="Q1175">
        <v>3133.84451554</v>
      </c>
      <c r="R1175">
        <v>27462.3431905</v>
      </c>
      <c r="S1175">
        <v>-14.4571064955</v>
      </c>
      <c r="T1175">
        <v>-96.815152563400005</v>
      </c>
      <c r="U1175">
        <v>0</v>
      </c>
      <c r="V1175">
        <v>0</v>
      </c>
    </row>
    <row r="1176" spans="1:22" x14ac:dyDescent="0.2">
      <c r="A1176"/>
      <c r="B1176">
        <v>24241</v>
      </c>
      <c r="C1176" t="s">
        <v>3293</v>
      </c>
      <c r="D1176" t="s">
        <v>920</v>
      </c>
      <c r="E1176" t="s">
        <v>1275</v>
      </c>
      <c r="F1176" t="s">
        <v>2335</v>
      </c>
      <c r="G1176">
        <v>4301.5159288900004</v>
      </c>
      <c r="H1176" t="s">
        <v>248</v>
      </c>
      <c r="Q1176">
        <v>3133.4969856600001</v>
      </c>
      <c r="R1176">
        <v>27459.403811699998</v>
      </c>
      <c r="S1176">
        <v>-14.4591587448</v>
      </c>
      <c r="T1176">
        <v>-96.6644891774</v>
      </c>
      <c r="U1176">
        <v>0</v>
      </c>
      <c r="V1176">
        <v>0</v>
      </c>
    </row>
    <row r="1177" spans="1:22" x14ac:dyDescent="0.2">
      <c r="A1177"/>
      <c r="B1177">
        <v>24242</v>
      </c>
      <c r="C1177" t="s">
        <v>3294</v>
      </c>
      <c r="D1177" t="s">
        <v>920</v>
      </c>
      <c r="E1177" t="s">
        <v>1275</v>
      </c>
      <c r="F1177" t="s">
        <v>2335</v>
      </c>
      <c r="G1177">
        <v>4321.1693575099998</v>
      </c>
      <c r="H1177" t="s">
        <v>248</v>
      </c>
      <c r="Q1177">
        <v>3131.4511941800001</v>
      </c>
      <c r="R1177">
        <v>27439.857659599998</v>
      </c>
      <c r="S1177">
        <v>-14.462268225400001</v>
      </c>
      <c r="T1177">
        <v>-95.259052552</v>
      </c>
      <c r="U1177">
        <v>0</v>
      </c>
      <c r="V1177">
        <v>0</v>
      </c>
    </row>
    <row r="1178" spans="1:22" x14ac:dyDescent="0.2">
      <c r="A1178"/>
      <c r="B1178">
        <v>24243</v>
      </c>
      <c r="C1178" t="s">
        <v>3295</v>
      </c>
      <c r="D1178" t="s">
        <v>920</v>
      </c>
      <c r="E1178" t="s">
        <v>1275</v>
      </c>
      <c r="F1178" t="s">
        <v>2335</v>
      </c>
      <c r="G1178">
        <v>4324.1292112199999</v>
      </c>
      <c r="H1178" t="s">
        <v>248</v>
      </c>
      <c r="Q1178">
        <v>3131.1854722200001</v>
      </c>
      <c r="R1178">
        <v>27436.9097597</v>
      </c>
      <c r="S1178">
        <v>-14.461198723000001</v>
      </c>
      <c r="T1178">
        <v>-95.042289370000006</v>
      </c>
      <c r="U1178">
        <v>0</v>
      </c>
      <c r="V1178">
        <v>0</v>
      </c>
    </row>
    <row r="1179" spans="1:22" x14ac:dyDescent="0.2">
      <c r="A1179"/>
      <c r="B1179">
        <v>24244</v>
      </c>
      <c r="C1179" t="s">
        <v>3296</v>
      </c>
      <c r="D1179" t="s">
        <v>920</v>
      </c>
      <c r="E1179" t="s">
        <v>1275</v>
      </c>
      <c r="F1179" t="s">
        <v>2335</v>
      </c>
      <c r="G1179">
        <v>4381.3727819300002</v>
      </c>
      <c r="H1179" t="s">
        <v>248</v>
      </c>
      <c r="Q1179">
        <v>3127.7565790399999</v>
      </c>
      <c r="R1179">
        <v>27379.774469600001</v>
      </c>
      <c r="S1179">
        <v>-14.4555325656</v>
      </c>
      <c r="T1179">
        <v>-92.322525903900001</v>
      </c>
      <c r="U1179">
        <v>0</v>
      </c>
      <c r="V1179">
        <v>0</v>
      </c>
    </row>
    <row r="1180" spans="1:22" x14ac:dyDescent="0.2">
      <c r="A1180"/>
      <c r="B1180">
        <v>24245</v>
      </c>
      <c r="C1180" t="s">
        <v>3297</v>
      </c>
      <c r="D1180" t="s">
        <v>920</v>
      </c>
      <c r="E1180" t="s">
        <v>1275</v>
      </c>
      <c r="F1180" t="s">
        <v>2335</v>
      </c>
      <c r="G1180">
        <v>4416.0030703100001</v>
      </c>
      <c r="H1180" t="s">
        <v>248</v>
      </c>
      <c r="Q1180">
        <v>3126.4898097099999</v>
      </c>
      <c r="R1180">
        <v>27345.1674131</v>
      </c>
      <c r="S1180">
        <v>-14.462532356500001</v>
      </c>
      <c r="T1180">
        <v>-91.957183623500001</v>
      </c>
      <c r="U1180">
        <v>0</v>
      </c>
      <c r="V1180">
        <v>0</v>
      </c>
    </row>
    <row r="1181" spans="1:22" x14ac:dyDescent="0.2">
      <c r="A1181"/>
      <c r="B1181">
        <v>24246</v>
      </c>
      <c r="C1181" t="s">
        <v>3298</v>
      </c>
      <c r="D1181" t="s">
        <v>920</v>
      </c>
      <c r="E1181" t="s">
        <v>1275</v>
      </c>
      <c r="F1181" t="s">
        <v>2335</v>
      </c>
      <c r="G1181">
        <v>4418.9629240200002</v>
      </c>
      <c r="H1181" t="s">
        <v>248</v>
      </c>
      <c r="Q1181">
        <v>3126.3890825399999</v>
      </c>
      <c r="R1181">
        <v>27342.209273799999</v>
      </c>
      <c r="S1181">
        <v>-14.462055171799999</v>
      </c>
      <c r="T1181">
        <v>-91.943595488499994</v>
      </c>
      <c r="U1181">
        <v>0</v>
      </c>
      <c r="V1181">
        <v>0</v>
      </c>
    </row>
    <row r="1182" spans="1:22" x14ac:dyDescent="0.2">
      <c r="A1182"/>
      <c r="B1182">
        <v>24247</v>
      </c>
      <c r="C1182" t="s">
        <v>3299</v>
      </c>
      <c r="D1182" t="s">
        <v>920</v>
      </c>
      <c r="E1182" t="s">
        <v>1275</v>
      </c>
      <c r="F1182" t="s">
        <v>2335</v>
      </c>
      <c r="G1182">
        <v>4438.6163526399996</v>
      </c>
      <c r="H1182" t="s">
        <v>248</v>
      </c>
      <c r="Q1182">
        <v>3125.7315841200002</v>
      </c>
      <c r="R1182">
        <v>27322.566848900002</v>
      </c>
      <c r="S1182">
        <v>-14.4536435407</v>
      </c>
      <c r="T1182">
        <v>-91.905981774099999</v>
      </c>
      <c r="U1182">
        <v>0</v>
      </c>
      <c r="V1182">
        <v>0</v>
      </c>
    </row>
    <row r="1183" spans="1:22" x14ac:dyDescent="0.2">
      <c r="A1183"/>
      <c r="B1183">
        <v>24248</v>
      </c>
      <c r="C1183" t="s">
        <v>3300</v>
      </c>
      <c r="D1183" t="s">
        <v>920</v>
      </c>
      <c r="E1183" t="s">
        <v>1275</v>
      </c>
      <c r="F1183" t="s">
        <v>2335</v>
      </c>
      <c r="G1183">
        <v>4441.5762063399998</v>
      </c>
      <c r="H1183" t="s">
        <v>248</v>
      </c>
      <c r="Q1183">
        <v>3125.63309144</v>
      </c>
      <c r="R1183">
        <v>27319.608635000001</v>
      </c>
      <c r="S1183">
        <v>-14.451587101599999</v>
      </c>
      <c r="T1183">
        <v>-91.908240477000007</v>
      </c>
      <c r="U1183">
        <v>0</v>
      </c>
      <c r="V1183">
        <v>0</v>
      </c>
    </row>
    <row r="1184" spans="1:22" x14ac:dyDescent="0.2">
      <c r="A1184"/>
      <c r="B1184">
        <v>24249</v>
      </c>
      <c r="C1184" t="s">
        <v>3301</v>
      </c>
      <c r="D1184" t="s">
        <v>920</v>
      </c>
      <c r="E1184" t="s">
        <v>1275</v>
      </c>
      <c r="F1184" t="s">
        <v>2335</v>
      </c>
      <c r="G1184">
        <v>4493.2947168000001</v>
      </c>
      <c r="H1184" t="s">
        <v>248</v>
      </c>
      <c r="Q1184">
        <v>3124.1123497600001</v>
      </c>
      <c r="R1184">
        <v>27267.912842999998</v>
      </c>
      <c r="S1184">
        <v>-14.4614996049</v>
      </c>
      <c r="T1184">
        <v>-91.388617831100007</v>
      </c>
      <c r="U1184">
        <v>0</v>
      </c>
      <c r="V1184">
        <v>0</v>
      </c>
    </row>
    <row r="1185" spans="1:22" x14ac:dyDescent="0.2">
      <c r="A1185"/>
      <c r="B1185">
        <v>24250</v>
      </c>
      <c r="C1185" t="s">
        <v>3302</v>
      </c>
      <c r="D1185" t="s">
        <v>920</v>
      </c>
      <c r="E1185" t="s">
        <v>1275</v>
      </c>
      <c r="F1185" t="s">
        <v>2335</v>
      </c>
      <c r="G1185">
        <v>4571.7111077</v>
      </c>
      <c r="H1185" t="s">
        <v>248</v>
      </c>
      <c r="Q1185">
        <v>3127.71783095</v>
      </c>
      <c r="R1185">
        <v>27189.658194</v>
      </c>
      <c r="S1185">
        <v>-15.1064089855</v>
      </c>
      <c r="T1185">
        <v>-82.960201964500001</v>
      </c>
      <c r="U1185">
        <v>0</v>
      </c>
      <c r="V1185">
        <v>0</v>
      </c>
    </row>
    <row r="1186" spans="1:22" x14ac:dyDescent="0.2">
      <c r="A1186"/>
      <c r="B1186">
        <v>24251</v>
      </c>
      <c r="C1186" t="s">
        <v>3303</v>
      </c>
      <c r="D1186" t="s">
        <v>920</v>
      </c>
      <c r="E1186" t="s">
        <v>1275</v>
      </c>
      <c r="F1186" t="s">
        <v>2335</v>
      </c>
      <c r="G1186">
        <v>4592.4300836499997</v>
      </c>
      <c r="H1186" t="s">
        <v>248</v>
      </c>
      <c r="Q1186">
        <v>3130.6849966</v>
      </c>
      <c r="R1186">
        <v>27169.158064399999</v>
      </c>
      <c r="S1186">
        <v>-15.498775159899999</v>
      </c>
      <c r="T1186">
        <v>-80.564992522300003</v>
      </c>
      <c r="U1186">
        <v>0</v>
      </c>
      <c r="V1186">
        <v>0</v>
      </c>
    </row>
    <row r="1187" spans="1:22" x14ac:dyDescent="0.2">
      <c r="A1187"/>
      <c r="B1187">
        <v>24252</v>
      </c>
      <c r="C1187" t="s">
        <v>3304</v>
      </c>
      <c r="D1187" t="s">
        <v>920</v>
      </c>
      <c r="E1187" t="s">
        <v>1275</v>
      </c>
      <c r="F1187" t="s">
        <v>2335</v>
      </c>
      <c r="G1187">
        <v>4710.8242319700003</v>
      </c>
      <c r="H1187" t="s">
        <v>248</v>
      </c>
      <c r="Q1187">
        <v>3154.1783349000002</v>
      </c>
      <c r="R1187">
        <v>27053.186399800001</v>
      </c>
      <c r="S1187">
        <v>-17.845187104699999</v>
      </c>
      <c r="T1187">
        <v>-82.383592452800002</v>
      </c>
      <c r="U1187">
        <v>0</v>
      </c>
      <c r="V1187">
        <v>0</v>
      </c>
    </row>
    <row r="1188" spans="1:22" x14ac:dyDescent="0.2">
      <c r="A1188"/>
      <c r="B1188">
        <v>24253</v>
      </c>
      <c r="C1188" t="s">
        <v>3305</v>
      </c>
      <c r="D1188" t="s">
        <v>920</v>
      </c>
      <c r="E1188" t="s">
        <v>1275</v>
      </c>
      <c r="F1188" t="s">
        <v>2335</v>
      </c>
      <c r="G1188">
        <v>4868.6830963900002</v>
      </c>
      <c r="H1188" t="s">
        <v>248</v>
      </c>
      <c r="Q1188">
        <v>3150.5188487300002</v>
      </c>
      <c r="R1188">
        <v>26895.7664028</v>
      </c>
      <c r="S1188">
        <v>-18.5704230831</v>
      </c>
      <c r="T1188">
        <v>-94.657310623399994</v>
      </c>
      <c r="U1188">
        <v>0</v>
      </c>
      <c r="V1188">
        <v>0</v>
      </c>
    </row>
    <row r="1189" spans="1:22" x14ac:dyDescent="0.2">
      <c r="A1189"/>
      <c r="B1189">
        <v>24254</v>
      </c>
      <c r="C1189" t="s">
        <v>3306</v>
      </c>
      <c r="D1189" t="s">
        <v>920</v>
      </c>
      <c r="E1189" t="s">
        <v>1275</v>
      </c>
      <c r="F1189" t="s">
        <v>2335</v>
      </c>
      <c r="G1189">
        <v>5058.1137336900001</v>
      </c>
      <c r="H1189" t="s">
        <v>248</v>
      </c>
      <c r="Q1189">
        <v>3136.0405381999999</v>
      </c>
      <c r="R1189">
        <v>26706.913373399999</v>
      </c>
      <c r="S1189">
        <v>-17.552788009099999</v>
      </c>
      <c r="T1189">
        <v>-91.285271329799997</v>
      </c>
      <c r="U1189">
        <v>0</v>
      </c>
      <c r="V1189">
        <v>0</v>
      </c>
    </row>
    <row r="1190" spans="1:22" x14ac:dyDescent="0.2">
      <c r="A1190"/>
      <c r="B1190">
        <v>24255</v>
      </c>
      <c r="C1190" t="s">
        <v>3307</v>
      </c>
      <c r="D1190" t="s">
        <v>920</v>
      </c>
      <c r="E1190" t="s">
        <v>1275</v>
      </c>
      <c r="F1190" t="s">
        <v>2335</v>
      </c>
      <c r="G1190">
        <v>5176.5078819999999</v>
      </c>
      <c r="H1190" t="s">
        <v>248</v>
      </c>
      <c r="Q1190">
        <v>3143.7643905499999</v>
      </c>
      <c r="R1190">
        <v>26588.865076099999</v>
      </c>
      <c r="S1190">
        <v>-15.437411001999999</v>
      </c>
      <c r="T1190">
        <v>-84.770290972799998</v>
      </c>
      <c r="U1190">
        <v>0</v>
      </c>
      <c r="V1190">
        <v>0</v>
      </c>
    </row>
    <row r="1191" spans="1:22" x14ac:dyDescent="0.2">
      <c r="A1191"/>
      <c r="B1191">
        <v>24256</v>
      </c>
      <c r="C1191" t="s">
        <v>3308</v>
      </c>
      <c r="D1191" t="s">
        <v>920</v>
      </c>
      <c r="E1191" t="s">
        <v>1275</v>
      </c>
      <c r="F1191" t="s">
        <v>2335</v>
      </c>
      <c r="G1191">
        <v>5197.2268579600004</v>
      </c>
      <c r="H1191" t="s">
        <v>248</v>
      </c>
      <c r="Q1191">
        <v>3145.6525821199998</v>
      </c>
      <c r="R1191">
        <v>26568.235657199999</v>
      </c>
      <c r="S1191">
        <v>-15.0662334666</v>
      </c>
      <c r="T1191">
        <v>-84.770091465700006</v>
      </c>
      <c r="U1191">
        <v>0</v>
      </c>
      <c r="V1191">
        <v>0</v>
      </c>
    </row>
    <row r="1192" spans="1:22" x14ac:dyDescent="0.2">
      <c r="A1192"/>
      <c r="B1192">
        <v>24257</v>
      </c>
      <c r="C1192" t="s">
        <v>3309</v>
      </c>
      <c r="D1192" t="s">
        <v>920</v>
      </c>
      <c r="E1192" t="s">
        <v>1275</v>
      </c>
      <c r="F1192" t="s">
        <v>2335</v>
      </c>
      <c r="G1192">
        <v>5292.3072252299999</v>
      </c>
      <c r="H1192" t="s">
        <v>248</v>
      </c>
      <c r="Q1192">
        <v>3154.3313463899999</v>
      </c>
      <c r="R1192">
        <v>26473.563081600001</v>
      </c>
      <c r="S1192">
        <v>-13.6837049638</v>
      </c>
      <c r="T1192">
        <v>-84.751992605200002</v>
      </c>
      <c r="U1192">
        <v>0</v>
      </c>
      <c r="V1192">
        <v>0</v>
      </c>
    </row>
    <row r="1193" spans="1:22" x14ac:dyDescent="0.2">
      <c r="A1193"/>
      <c r="B1193">
        <v>24258</v>
      </c>
      <c r="C1193" t="s">
        <v>3310</v>
      </c>
      <c r="D1193" t="s">
        <v>920</v>
      </c>
      <c r="E1193" t="s">
        <v>1275</v>
      </c>
      <c r="F1193" t="s">
        <v>2335</v>
      </c>
      <c r="G1193">
        <v>5306.9683672600004</v>
      </c>
      <c r="H1193" t="s">
        <v>248</v>
      </c>
      <c r="Q1193">
        <v>3155.67273694</v>
      </c>
      <c r="R1193">
        <v>26458.963535499999</v>
      </c>
      <c r="S1193">
        <v>-13.6310537354</v>
      </c>
      <c r="T1193">
        <v>-84.748959703500006</v>
      </c>
      <c r="U1193">
        <v>0</v>
      </c>
      <c r="V1193">
        <v>0</v>
      </c>
    </row>
    <row r="1194" spans="1:22" x14ac:dyDescent="0.2">
      <c r="A1194"/>
      <c r="B1194">
        <v>24259</v>
      </c>
      <c r="C1194" t="s">
        <v>3311</v>
      </c>
      <c r="D1194" t="s">
        <v>920</v>
      </c>
      <c r="E1194" t="s">
        <v>1275</v>
      </c>
      <c r="F1194" t="s">
        <v>2335</v>
      </c>
      <c r="G1194">
        <v>5309.9282209700004</v>
      </c>
      <c r="H1194" t="s">
        <v>248</v>
      </c>
      <c r="Q1194">
        <v>3155.9436369099999</v>
      </c>
      <c r="R1194">
        <v>26456.016107899999</v>
      </c>
      <c r="S1194">
        <v>-13.6268893208</v>
      </c>
      <c r="T1194">
        <v>-84.748364733700001</v>
      </c>
      <c r="U1194">
        <v>0</v>
      </c>
      <c r="V1194">
        <v>0</v>
      </c>
    </row>
    <row r="1195" spans="1:22" x14ac:dyDescent="0.2">
      <c r="A1195"/>
      <c r="B1195">
        <v>24260</v>
      </c>
      <c r="C1195" t="s">
        <v>3312</v>
      </c>
      <c r="D1195" t="s">
        <v>920</v>
      </c>
      <c r="E1195" t="s">
        <v>1275</v>
      </c>
      <c r="F1195" t="s">
        <v>2335</v>
      </c>
      <c r="G1195">
        <v>5329.5816495899999</v>
      </c>
      <c r="H1195" t="s">
        <v>248</v>
      </c>
      <c r="Q1195">
        <v>3157.7431846899999</v>
      </c>
      <c r="R1195">
        <v>26436.445241599999</v>
      </c>
      <c r="S1195">
        <v>-13.630720391700001</v>
      </c>
      <c r="T1195">
        <v>-84.744409618299997</v>
      </c>
      <c r="U1195">
        <v>0</v>
      </c>
      <c r="V1195">
        <v>0</v>
      </c>
    </row>
    <row r="1196" spans="1:22" x14ac:dyDescent="0.2">
      <c r="A1196"/>
      <c r="B1196">
        <v>24261</v>
      </c>
      <c r="C1196" t="s">
        <v>3313</v>
      </c>
      <c r="D1196" t="s">
        <v>920</v>
      </c>
      <c r="E1196" t="s">
        <v>1275</v>
      </c>
      <c r="F1196" t="s">
        <v>2335</v>
      </c>
      <c r="G1196">
        <v>5332.5415032999999</v>
      </c>
      <c r="H1196" t="s">
        <v>248</v>
      </c>
      <c r="Q1196">
        <v>3158.0143196600002</v>
      </c>
      <c r="R1196">
        <v>26433.4978328</v>
      </c>
      <c r="S1196">
        <v>-13.6318233969</v>
      </c>
      <c r="T1196">
        <v>-84.743786123500001</v>
      </c>
      <c r="U1196">
        <v>0</v>
      </c>
      <c r="V1196">
        <v>0</v>
      </c>
    </row>
    <row r="1197" spans="1:22" x14ac:dyDescent="0.2">
      <c r="A1197"/>
      <c r="B1197">
        <v>24262</v>
      </c>
      <c r="C1197" t="s">
        <v>3314</v>
      </c>
      <c r="D1197" t="s">
        <v>920</v>
      </c>
      <c r="E1197" t="s">
        <v>1275</v>
      </c>
      <c r="F1197" t="s">
        <v>2335</v>
      </c>
      <c r="G1197">
        <v>5389.7850740100002</v>
      </c>
      <c r="H1197" t="s">
        <v>248</v>
      </c>
      <c r="Q1197">
        <v>3163.2649431499999</v>
      </c>
      <c r="R1197">
        <v>26376.4955773</v>
      </c>
      <c r="S1197">
        <v>-13.6452388453</v>
      </c>
      <c r="T1197">
        <v>-84.730068413400005</v>
      </c>
      <c r="U1197">
        <v>0</v>
      </c>
      <c r="V1197">
        <v>0</v>
      </c>
    </row>
    <row r="1198" spans="1:22" x14ac:dyDescent="0.2">
      <c r="A1198"/>
      <c r="B1198">
        <v>24263</v>
      </c>
      <c r="C1198" t="s">
        <v>3315</v>
      </c>
      <c r="D1198" t="s">
        <v>920</v>
      </c>
      <c r="E1198" t="s">
        <v>1275</v>
      </c>
      <c r="F1198" t="s">
        <v>2335</v>
      </c>
      <c r="G1198">
        <v>5424.4153623900002</v>
      </c>
      <c r="H1198" t="s">
        <v>248</v>
      </c>
      <c r="Q1198">
        <v>3166.4485671399998</v>
      </c>
      <c r="R1198">
        <v>26342.011937700001</v>
      </c>
      <c r="S1198">
        <v>-13.646045962200001</v>
      </c>
      <c r="T1198">
        <v>-84.720237794599996</v>
      </c>
      <c r="U1198">
        <v>0</v>
      </c>
      <c r="V1198">
        <v>0</v>
      </c>
    </row>
    <row r="1199" spans="1:22" x14ac:dyDescent="0.2">
      <c r="A1199"/>
      <c r="B1199">
        <v>24264</v>
      </c>
      <c r="C1199" t="s">
        <v>3316</v>
      </c>
      <c r="D1199" t="s">
        <v>920</v>
      </c>
      <c r="E1199" t="s">
        <v>1275</v>
      </c>
      <c r="F1199" t="s">
        <v>2335</v>
      </c>
      <c r="G1199">
        <v>5427.3752161000002</v>
      </c>
      <c r="H1199" t="s">
        <v>248</v>
      </c>
      <c r="Q1199">
        <v>3166.7209524999998</v>
      </c>
      <c r="R1199">
        <v>26339.064643999998</v>
      </c>
      <c r="S1199">
        <v>-13.645859359499999</v>
      </c>
      <c r="T1199">
        <v>-84.719344000099994</v>
      </c>
      <c r="U1199">
        <v>0</v>
      </c>
      <c r="V1199">
        <v>0</v>
      </c>
    </row>
    <row r="1200" spans="1:22" x14ac:dyDescent="0.2">
      <c r="A1200"/>
      <c r="B1200">
        <v>24265</v>
      </c>
      <c r="C1200" t="s">
        <v>3317</v>
      </c>
      <c r="D1200" t="s">
        <v>920</v>
      </c>
      <c r="E1200" t="s">
        <v>1275</v>
      </c>
      <c r="F1200" t="s">
        <v>2335</v>
      </c>
      <c r="G1200">
        <v>5447.0286447199996</v>
      </c>
      <c r="H1200" t="s">
        <v>248</v>
      </c>
      <c r="Q1200">
        <v>3168.5307836799998</v>
      </c>
      <c r="R1200">
        <v>26319.494724100001</v>
      </c>
      <c r="S1200">
        <v>-13.6435993859</v>
      </c>
      <c r="T1200">
        <v>-84.713195219200003</v>
      </c>
      <c r="U1200">
        <v>0</v>
      </c>
      <c r="V1200">
        <v>0</v>
      </c>
    </row>
    <row r="1201" spans="1:22" x14ac:dyDescent="0.2">
      <c r="A1201"/>
      <c r="B1201">
        <v>24266</v>
      </c>
      <c r="C1201" t="s">
        <v>3318</v>
      </c>
      <c r="D1201" t="s">
        <v>920</v>
      </c>
      <c r="E1201" t="s">
        <v>1275</v>
      </c>
      <c r="F1201" t="s">
        <v>2335</v>
      </c>
      <c r="G1201">
        <v>5449.9884984299997</v>
      </c>
      <c r="H1201" t="s">
        <v>248</v>
      </c>
      <c r="Q1201">
        <v>3168.8035329600002</v>
      </c>
      <c r="R1201">
        <v>26316.5474641</v>
      </c>
      <c r="S1201">
        <v>-13.6431052737</v>
      </c>
      <c r="T1201">
        <v>-84.712236971199999</v>
      </c>
      <c r="U1201">
        <v>0</v>
      </c>
      <c r="V1201">
        <v>0</v>
      </c>
    </row>
    <row r="1202" spans="1:22" x14ac:dyDescent="0.2">
      <c r="A1202"/>
      <c r="B1202">
        <v>24267</v>
      </c>
      <c r="C1202" t="s">
        <v>3319</v>
      </c>
      <c r="D1202" t="s">
        <v>920</v>
      </c>
      <c r="E1202" t="s">
        <v>1275</v>
      </c>
      <c r="F1202" t="s">
        <v>2335</v>
      </c>
      <c r="G1202">
        <v>5501.7070088800001</v>
      </c>
      <c r="H1202" t="s">
        <v>248</v>
      </c>
      <c r="Q1202">
        <v>3173.5777469599998</v>
      </c>
      <c r="R1202">
        <v>26265.0497851</v>
      </c>
      <c r="S1202">
        <v>-13.6279753341</v>
      </c>
      <c r="T1202">
        <v>-84.694131602300004</v>
      </c>
      <c r="U1202">
        <v>0</v>
      </c>
      <c r="V1202">
        <v>0</v>
      </c>
    </row>
    <row r="1203" spans="1:22" x14ac:dyDescent="0.2">
      <c r="A1203"/>
      <c r="B1203">
        <v>24268</v>
      </c>
      <c r="C1203" t="s">
        <v>3320</v>
      </c>
      <c r="D1203" t="s">
        <v>920</v>
      </c>
      <c r="E1203" t="s">
        <v>1275</v>
      </c>
      <c r="F1203" t="s">
        <v>2335</v>
      </c>
      <c r="G1203">
        <v>5580.0346041700004</v>
      </c>
      <c r="H1203" t="s">
        <v>248</v>
      </c>
      <c r="Q1203">
        <v>3180.84445241</v>
      </c>
      <c r="R1203">
        <v>26187.0602454</v>
      </c>
      <c r="S1203">
        <v>-13.7342164549</v>
      </c>
      <c r="T1203">
        <v>-84.642859878600007</v>
      </c>
      <c r="U1203">
        <v>0</v>
      </c>
      <c r="V1203">
        <v>0</v>
      </c>
    </row>
    <row r="1204" spans="1:22" x14ac:dyDescent="0.2">
      <c r="A1204"/>
      <c r="B1204">
        <v>24269</v>
      </c>
      <c r="C1204" t="s">
        <v>3321</v>
      </c>
      <c r="D1204" t="s">
        <v>920</v>
      </c>
      <c r="E1204" t="s">
        <v>1275</v>
      </c>
      <c r="F1204" t="s">
        <v>2335</v>
      </c>
      <c r="G1204">
        <v>5600.75358013</v>
      </c>
      <c r="H1204" t="s">
        <v>248</v>
      </c>
      <c r="Q1204">
        <v>3182.7887385399999</v>
      </c>
      <c r="R1204">
        <v>26166.433872500002</v>
      </c>
      <c r="S1204">
        <v>-13.951314529599999</v>
      </c>
      <c r="T1204">
        <v>-84.581878607899995</v>
      </c>
      <c r="U1204">
        <v>0</v>
      </c>
      <c r="V1204">
        <v>0</v>
      </c>
    </row>
    <row r="1205" spans="1:22" x14ac:dyDescent="0.2">
      <c r="A1205"/>
      <c r="B1205">
        <v>24270</v>
      </c>
      <c r="C1205" t="s">
        <v>3322</v>
      </c>
      <c r="D1205" t="s">
        <v>920</v>
      </c>
      <c r="E1205" t="s">
        <v>1275</v>
      </c>
      <c r="F1205" t="s">
        <v>2335</v>
      </c>
      <c r="G1205">
        <v>5719.1477284399998</v>
      </c>
      <c r="H1205" t="s">
        <v>248</v>
      </c>
      <c r="Q1205">
        <v>3194.4789585100002</v>
      </c>
      <c r="R1205">
        <v>26048.640479400001</v>
      </c>
      <c r="S1205">
        <v>-16.214299840599999</v>
      </c>
      <c r="T1205">
        <v>-84.138895871299994</v>
      </c>
      <c r="U1205">
        <v>0</v>
      </c>
      <c r="V1205">
        <v>0</v>
      </c>
    </row>
    <row r="1206" spans="1:22" x14ac:dyDescent="0.2">
      <c r="A1206"/>
      <c r="B1206">
        <v>24271</v>
      </c>
      <c r="C1206" t="s">
        <v>3323</v>
      </c>
      <c r="D1206" t="s">
        <v>920</v>
      </c>
      <c r="E1206" t="s">
        <v>1275</v>
      </c>
      <c r="F1206" t="s">
        <v>2335</v>
      </c>
      <c r="G1206">
        <v>5829.6489335300002</v>
      </c>
      <c r="H1206" t="s">
        <v>248</v>
      </c>
      <c r="Q1206">
        <v>3205.8082735799999</v>
      </c>
      <c r="R1206">
        <v>25938.739945400001</v>
      </c>
      <c r="S1206">
        <v>-18.195610017100002</v>
      </c>
      <c r="T1206">
        <v>-84.158820704299998</v>
      </c>
      <c r="U1206">
        <v>0</v>
      </c>
      <c r="V1206">
        <v>0</v>
      </c>
    </row>
    <row r="1207" spans="1:22" x14ac:dyDescent="0.2">
      <c r="A1207"/>
      <c r="B1207">
        <v>24272</v>
      </c>
      <c r="C1207" t="s">
        <v>3324</v>
      </c>
      <c r="D1207" t="s">
        <v>920</v>
      </c>
      <c r="E1207" t="s">
        <v>1275</v>
      </c>
      <c r="F1207" t="s">
        <v>2335</v>
      </c>
      <c r="G1207">
        <v>5948.0430818499999</v>
      </c>
      <c r="H1207" t="s">
        <v>248</v>
      </c>
      <c r="Q1207">
        <v>3217.4613531999998</v>
      </c>
      <c r="R1207">
        <v>25820.9226667</v>
      </c>
      <c r="S1207">
        <v>-18.230259176200001</v>
      </c>
      <c r="T1207">
        <v>-84.618752844400007</v>
      </c>
      <c r="U1207">
        <v>0</v>
      </c>
      <c r="V1207">
        <v>0</v>
      </c>
    </row>
    <row r="1208" spans="1:22" x14ac:dyDescent="0.2">
      <c r="A1208"/>
      <c r="B1208">
        <v>24273</v>
      </c>
      <c r="C1208" t="s">
        <v>3325</v>
      </c>
      <c r="D1208" t="s">
        <v>920</v>
      </c>
      <c r="E1208" t="s">
        <v>1275</v>
      </c>
      <c r="F1208" t="s">
        <v>2335</v>
      </c>
      <c r="G1208">
        <v>5968.7620577999996</v>
      </c>
      <c r="H1208" t="s">
        <v>248</v>
      </c>
      <c r="Q1208">
        <v>3219.38662785</v>
      </c>
      <c r="R1208">
        <v>25800.2955712</v>
      </c>
      <c r="S1208">
        <v>-17.928768126800001</v>
      </c>
      <c r="T1208">
        <v>-84.715978344899995</v>
      </c>
      <c r="U1208">
        <v>0</v>
      </c>
      <c r="V1208">
        <v>0</v>
      </c>
    </row>
    <row r="1209" spans="1:22" x14ac:dyDescent="0.2">
      <c r="A1209"/>
      <c r="B1209">
        <v>24274</v>
      </c>
      <c r="C1209" t="s">
        <v>3326</v>
      </c>
      <c r="D1209" t="s">
        <v>920</v>
      </c>
      <c r="E1209" t="s">
        <v>1275</v>
      </c>
      <c r="F1209" t="s">
        <v>2472</v>
      </c>
      <c r="G1209">
        <v>80.243425594900003</v>
      </c>
      <c r="H1209" t="s">
        <v>248</v>
      </c>
      <c r="Q1209">
        <v>3217.3035966900002</v>
      </c>
      <c r="R1209">
        <v>25709.494019900001</v>
      </c>
      <c r="S1209">
        <v>-15.807439245499999</v>
      </c>
      <c r="T1209">
        <v>-107.952646825</v>
      </c>
      <c r="U1209">
        <v>0</v>
      </c>
      <c r="V1209">
        <v>0</v>
      </c>
    </row>
    <row r="1210" spans="1:22" x14ac:dyDescent="0.2">
      <c r="A1210"/>
      <c r="B1210">
        <v>24275</v>
      </c>
      <c r="C1210" t="s">
        <v>3327</v>
      </c>
      <c r="D1210" t="s">
        <v>920</v>
      </c>
      <c r="E1210" t="s">
        <v>1275</v>
      </c>
      <c r="F1210" t="s">
        <v>2472</v>
      </c>
      <c r="G1210">
        <v>229.037079503</v>
      </c>
      <c r="H1210" t="s">
        <v>248</v>
      </c>
      <c r="Q1210">
        <v>3104.6397705499999</v>
      </c>
      <c r="R1210">
        <v>25625.981970500001</v>
      </c>
      <c r="S1210">
        <v>-12.231548907100001</v>
      </c>
      <c r="T1210">
        <v>-172.881600241</v>
      </c>
      <c r="U1210">
        <v>0</v>
      </c>
      <c r="V1210">
        <v>0</v>
      </c>
    </row>
    <row r="1211" spans="1:22" x14ac:dyDescent="0.2">
      <c r="A1211"/>
      <c r="B1211">
        <v>24276</v>
      </c>
      <c r="C1211" t="s">
        <v>3328</v>
      </c>
      <c r="D1211" t="s">
        <v>920</v>
      </c>
      <c r="E1211" t="s">
        <v>1275</v>
      </c>
      <c r="F1211" t="s">
        <v>2472</v>
      </c>
      <c r="G1211">
        <v>304.48538161200003</v>
      </c>
      <c r="H1211" t="s">
        <v>248</v>
      </c>
      <c r="Q1211">
        <v>3029.45806477</v>
      </c>
      <c r="R1211">
        <v>25619.8938437</v>
      </c>
      <c r="S1211">
        <v>-11.1478490355</v>
      </c>
      <c r="T1211">
        <v>-176.60958905300001</v>
      </c>
      <c r="U1211">
        <v>0</v>
      </c>
      <c r="V1211">
        <v>0</v>
      </c>
    </row>
    <row r="1212" spans="1:22" x14ac:dyDescent="0.2">
      <c r="A1212"/>
      <c r="B1212">
        <v>24277</v>
      </c>
      <c r="C1212" t="s">
        <v>3329</v>
      </c>
      <c r="D1212" t="s">
        <v>920</v>
      </c>
      <c r="E1212" t="s">
        <v>1275</v>
      </c>
      <c r="F1212" t="s">
        <v>2472</v>
      </c>
      <c r="G1212">
        <v>319.22587292499998</v>
      </c>
      <c r="H1212" t="s">
        <v>248</v>
      </c>
      <c r="Q1212">
        <v>3014.7401728999998</v>
      </c>
      <c r="R1212">
        <v>25619.078693399999</v>
      </c>
      <c r="S1212">
        <v>-11.1444718881</v>
      </c>
      <c r="T1212">
        <v>-177.04537821</v>
      </c>
      <c r="U1212">
        <v>0</v>
      </c>
      <c r="V1212">
        <v>0</v>
      </c>
    </row>
    <row r="1213" spans="1:22" x14ac:dyDescent="0.2">
      <c r="A1213"/>
      <c r="B1213">
        <v>24278</v>
      </c>
      <c r="C1213" t="s">
        <v>3330</v>
      </c>
      <c r="D1213" t="s">
        <v>920</v>
      </c>
      <c r="E1213" t="s">
        <v>1275</v>
      </c>
      <c r="F1213" t="s">
        <v>2472</v>
      </c>
      <c r="G1213">
        <v>322.20174600399997</v>
      </c>
      <c r="H1213" t="s">
        <v>248</v>
      </c>
      <c r="Q1213">
        <v>3011.7681412000002</v>
      </c>
      <c r="R1213">
        <v>25618.927551100001</v>
      </c>
      <c r="S1213">
        <v>-11.1460402655</v>
      </c>
      <c r="T1213">
        <v>-177.132133143</v>
      </c>
      <c r="U1213">
        <v>0</v>
      </c>
      <c r="V1213">
        <v>0</v>
      </c>
    </row>
    <row r="1214" spans="1:22" x14ac:dyDescent="0.2">
      <c r="A1214"/>
      <c r="B1214">
        <v>24279</v>
      </c>
      <c r="C1214" t="s">
        <v>3331</v>
      </c>
      <c r="D1214" t="s">
        <v>920</v>
      </c>
      <c r="E1214" t="s">
        <v>1275</v>
      </c>
      <c r="F1214" t="s">
        <v>2472</v>
      </c>
      <c r="G1214">
        <v>341.96154324299999</v>
      </c>
      <c r="H1214" t="s">
        <v>248</v>
      </c>
      <c r="Q1214">
        <v>2992.0284285399998</v>
      </c>
      <c r="R1214">
        <v>25618.038765699999</v>
      </c>
      <c r="S1214">
        <v>-11.1523364979</v>
      </c>
      <c r="T1214">
        <v>-177.71332485600001</v>
      </c>
      <c r="U1214">
        <v>0</v>
      </c>
      <c r="V1214">
        <v>0</v>
      </c>
    </row>
    <row r="1215" spans="1:22" x14ac:dyDescent="0.2">
      <c r="A1215"/>
      <c r="B1215">
        <v>24280</v>
      </c>
      <c r="C1215" t="s">
        <v>3332</v>
      </c>
      <c r="D1215" t="s">
        <v>920</v>
      </c>
      <c r="E1215" t="s">
        <v>1275</v>
      </c>
      <c r="F1215" t="s">
        <v>2472</v>
      </c>
      <c r="G1215">
        <v>344.937416321</v>
      </c>
      <c r="H1215" t="s">
        <v>248</v>
      </c>
      <c r="Q1215">
        <v>2989.0548348799998</v>
      </c>
      <c r="R1215">
        <v>25617.922320599999</v>
      </c>
      <c r="S1215">
        <v>-11.152664575899999</v>
      </c>
      <c r="T1215">
        <v>-177.80162766800001</v>
      </c>
      <c r="U1215">
        <v>0</v>
      </c>
      <c r="V1215">
        <v>0</v>
      </c>
    </row>
    <row r="1216" spans="1:22" x14ac:dyDescent="0.2">
      <c r="A1216"/>
      <c r="B1216">
        <v>24281</v>
      </c>
      <c r="C1216" t="s">
        <v>3333</v>
      </c>
      <c r="D1216" t="s">
        <v>920</v>
      </c>
      <c r="E1216" t="s">
        <v>1275</v>
      </c>
      <c r="F1216" t="s">
        <v>2472</v>
      </c>
      <c r="G1216">
        <v>402.49080165200002</v>
      </c>
      <c r="H1216" t="s">
        <v>248</v>
      </c>
      <c r="Q1216">
        <v>2931.51935551</v>
      </c>
      <c r="R1216">
        <v>25616.572565900002</v>
      </c>
      <c r="S1216">
        <v>-11.1577265356</v>
      </c>
      <c r="T1216">
        <v>-179.413158197</v>
      </c>
      <c r="U1216">
        <v>0</v>
      </c>
      <c r="V1216">
        <v>0</v>
      </c>
    </row>
    <row r="1217" spans="1:22" x14ac:dyDescent="0.2">
      <c r="A1217"/>
      <c r="B1217">
        <v>24282</v>
      </c>
      <c r="C1217" t="s">
        <v>3334</v>
      </c>
      <c r="D1217" t="s">
        <v>920</v>
      </c>
      <c r="E1217" t="s">
        <v>1275</v>
      </c>
      <c r="F1217" t="s">
        <v>2472</v>
      </c>
      <c r="G1217">
        <v>437.30851666699999</v>
      </c>
      <c r="H1217" t="s">
        <v>248</v>
      </c>
      <c r="Q1217">
        <v>2896.7030204600001</v>
      </c>
      <c r="R1217">
        <v>25616.263987400001</v>
      </c>
      <c r="S1217">
        <v>-11.143327103600001</v>
      </c>
      <c r="T1217">
        <v>-179.56367227300001</v>
      </c>
      <c r="U1217">
        <v>0</v>
      </c>
      <c r="V1217">
        <v>0</v>
      </c>
    </row>
    <row r="1218" spans="1:22" x14ac:dyDescent="0.2">
      <c r="A1218"/>
      <c r="B1218">
        <v>24283</v>
      </c>
      <c r="C1218" t="s">
        <v>3335</v>
      </c>
      <c r="D1218" t="s">
        <v>920</v>
      </c>
      <c r="E1218" t="s">
        <v>1275</v>
      </c>
      <c r="F1218" t="s">
        <v>2472</v>
      </c>
      <c r="G1218">
        <v>440.284389745</v>
      </c>
      <c r="H1218" t="s">
        <v>248</v>
      </c>
      <c r="Q1218">
        <v>2893.7272320500001</v>
      </c>
      <c r="R1218">
        <v>25616.241541200001</v>
      </c>
      <c r="S1218">
        <v>-11.1434699538</v>
      </c>
      <c r="T1218">
        <v>-179.571660151</v>
      </c>
      <c r="U1218">
        <v>0</v>
      </c>
      <c r="V1218">
        <v>0</v>
      </c>
    </row>
    <row r="1219" spans="1:22" x14ac:dyDescent="0.2">
      <c r="A1219"/>
      <c r="B1219">
        <v>24284</v>
      </c>
      <c r="C1219" t="s">
        <v>3336</v>
      </c>
      <c r="D1219" t="s">
        <v>920</v>
      </c>
      <c r="E1219" t="s">
        <v>1275</v>
      </c>
      <c r="F1219" t="s">
        <v>2472</v>
      </c>
      <c r="G1219">
        <v>460.04418698400002</v>
      </c>
      <c r="H1219" t="s">
        <v>248</v>
      </c>
      <c r="Q1219">
        <v>2873.9679656399999</v>
      </c>
      <c r="R1219">
        <v>25616.096906300001</v>
      </c>
      <c r="S1219">
        <v>-11.150421662399999</v>
      </c>
      <c r="T1219">
        <v>-179.575229906</v>
      </c>
      <c r="U1219">
        <v>0</v>
      </c>
      <c r="V1219">
        <v>0</v>
      </c>
    </row>
    <row r="1220" spans="1:22" x14ac:dyDescent="0.2">
      <c r="A1220"/>
      <c r="B1220">
        <v>24285</v>
      </c>
      <c r="C1220" t="s">
        <v>3337</v>
      </c>
      <c r="D1220" t="s">
        <v>920</v>
      </c>
      <c r="E1220" t="s">
        <v>1275</v>
      </c>
      <c r="F1220" t="s">
        <v>2472</v>
      </c>
      <c r="G1220">
        <v>463.02006006200003</v>
      </c>
      <c r="H1220" t="s">
        <v>248</v>
      </c>
      <c r="Q1220">
        <v>2870.9921762600002</v>
      </c>
      <c r="R1220">
        <v>25616.074673399999</v>
      </c>
      <c r="S1220">
        <v>-11.152372700300001</v>
      </c>
      <c r="T1220">
        <v>-179.568317256</v>
      </c>
      <c r="U1220">
        <v>0</v>
      </c>
      <c r="V1220">
        <v>0</v>
      </c>
    </row>
    <row r="1221" spans="1:22" x14ac:dyDescent="0.2">
      <c r="A1221"/>
      <c r="B1221">
        <v>24286</v>
      </c>
      <c r="C1221" t="s">
        <v>3338</v>
      </c>
      <c r="D1221" t="s">
        <v>920</v>
      </c>
      <c r="E1221" t="s">
        <v>1275</v>
      </c>
      <c r="F1221" t="s">
        <v>2472</v>
      </c>
      <c r="G1221">
        <v>515.01848231500003</v>
      </c>
      <c r="H1221" t="s">
        <v>248</v>
      </c>
      <c r="Q1221">
        <v>2818.9987622499998</v>
      </c>
      <c r="R1221">
        <v>25615.539043100001</v>
      </c>
      <c r="S1221">
        <v>-11.542870004799999</v>
      </c>
      <c r="T1221">
        <v>-179.16705354499999</v>
      </c>
      <c r="U1221">
        <v>0</v>
      </c>
      <c r="V1221">
        <v>0</v>
      </c>
    </row>
    <row r="1222" spans="1:22" x14ac:dyDescent="0.2">
      <c r="A1222"/>
      <c r="B1222">
        <v>24287</v>
      </c>
      <c r="C1222" t="s">
        <v>3339</v>
      </c>
      <c r="D1222" t="s">
        <v>920</v>
      </c>
      <c r="E1222" t="s">
        <v>1275</v>
      </c>
      <c r="F1222" t="s">
        <v>2472</v>
      </c>
      <c r="G1222">
        <v>564.57668864300001</v>
      </c>
      <c r="H1222" t="s">
        <v>248</v>
      </c>
      <c r="Q1222">
        <v>2769.7508159899999</v>
      </c>
      <c r="R1222">
        <v>25611.270500999999</v>
      </c>
      <c r="S1222">
        <v>-12.4947679075</v>
      </c>
      <c r="T1222">
        <v>-166.955776464</v>
      </c>
      <c r="U1222">
        <v>0</v>
      </c>
      <c r="V1222">
        <v>0</v>
      </c>
    </row>
    <row r="1223" spans="1:22" x14ac:dyDescent="0.2">
      <c r="A1223"/>
      <c r="B1223">
        <v>24288</v>
      </c>
      <c r="C1223" t="s">
        <v>3340</v>
      </c>
      <c r="D1223" t="s">
        <v>920</v>
      </c>
      <c r="E1223" t="s">
        <v>1275</v>
      </c>
      <c r="F1223" t="s">
        <v>2472</v>
      </c>
      <c r="G1223">
        <v>713.37034255100002</v>
      </c>
      <c r="H1223" t="s">
        <v>248</v>
      </c>
      <c r="Q1223">
        <v>2670.41445458</v>
      </c>
      <c r="R1223">
        <v>25512.277022400001</v>
      </c>
      <c r="S1223">
        <v>-15.359343040500001</v>
      </c>
      <c r="T1223">
        <v>-101.17210248000001</v>
      </c>
      <c r="U1223">
        <v>0</v>
      </c>
      <c r="V1223">
        <v>0</v>
      </c>
    </row>
    <row r="1224" spans="1:22" x14ac:dyDescent="0.2">
      <c r="A1224"/>
      <c r="B1224">
        <v>24289</v>
      </c>
      <c r="C1224" t="s">
        <v>3341</v>
      </c>
      <c r="D1224" t="s">
        <v>920</v>
      </c>
      <c r="E1224" t="s">
        <v>1275</v>
      </c>
      <c r="F1224" t="s">
        <v>2343</v>
      </c>
      <c r="G1224">
        <v>13.8268786094</v>
      </c>
      <c r="H1224" t="s">
        <v>248</v>
      </c>
      <c r="Q1224">
        <v>2668.9338489199999</v>
      </c>
      <c r="R1224">
        <v>25440.052201999999</v>
      </c>
      <c r="S1224">
        <v>-16.4118649314</v>
      </c>
      <c r="T1224">
        <v>-87.998958688000002</v>
      </c>
      <c r="U1224">
        <v>0</v>
      </c>
      <c r="V1224">
        <v>0</v>
      </c>
    </row>
    <row r="1225" spans="1:22" x14ac:dyDescent="0.2">
      <c r="A1225"/>
      <c r="B1225">
        <v>24290</v>
      </c>
      <c r="C1225" t="s">
        <v>3342</v>
      </c>
      <c r="D1225" t="s">
        <v>920</v>
      </c>
      <c r="E1225" t="s">
        <v>1275</v>
      </c>
      <c r="F1225" t="s">
        <v>2343</v>
      </c>
      <c r="G1225">
        <v>34.181904953599997</v>
      </c>
      <c r="H1225" t="s">
        <v>248</v>
      </c>
      <c r="Q1225">
        <v>2669.6521855699998</v>
      </c>
      <c r="R1225">
        <v>25419.710088799999</v>
      </c>
      <c r="S1225">
        <v>-16.504104114899999</v>
      </c>
      <c r="T1225">
        <v>-87.961639056500005</v>
      </c>
      <c r="U1225">
        <v>0</v>
      </c>
      <c r="V1225">
        <v>0</v>
      </c>
    </row>
    <row r="1226" spans="1:22" x14ac:dyDescent="0.2">
      <c r="A1226"/>
      <c r="B1226">
        <v>24291</v>
      </c>
      <c r="C1226" t="s">
        <v>3343</v>
      </c>
      <c r="D1226" t="s">
        <v>920</v>
      </c>
      <c r="E1226" t="s">
        <v>1275</v>
      </c>
      <c r="F1226" t="s">
        <v>2343</v>
      </c>
      <c r="G1226">
        <v>95.246983986199993</v>
      </c>
      <c r="H1226" t="s">
        <v>248</v>
      </c>
      <c r="Q1226">
        <v>2671.8270713000002</v>
      </c>
      <c r="R1226">
        <v>25358.685949300001</v>
      </c>
      <c r="S1226">
        <v>-16.090198146599999</v>
      </c>
      <c r="T1226">
        <v>-87.963144535300003</v>
      </c>
      <c r="U1226">
        <v>0</v>
      </c>
      <c r="V1226">
        <v>0</v>
      </c>
    </row>
    <row r="1227" spans="1:22" x14ac:dyDescent="0.2">
      <c r="A1227"/>
      <c r="B1227">
        <v>24292</v>
      </c>
      <c r="C1227" t="s">
        <v>3344</v>
      </c>
      <c r="D1227" t="s">
        <v>920</v>
      </c>
      <c r="E1227" t="s">
        <v>1275</v>
      </c>
      <c r="F1227" t="s">
        <v>2343</v>
      </c>
      <c r="G1227">
        <v>211.561420239</v>
      </c>
      <c r="H1227" t="s">
        <v>248</v>
      </c>
      <c r="Q1227">
        <v>2675.9414824</v>
      </c>
      <c r="R1227">
        <v>25242.4563175</v>
      </c>
      <c r="S1227">
        <v>-14.4248056263</v>
      </c>
      <c r="T1227">
        <v>-87.9833392468</v>
      </c>
      <c r="U1227">
        <v>0</v>
      </c>
      <c r="V1227">
        <v>0</v>
      </c>
    </row>
    <row r="1228" spans="1:22" x14ac:dyDescent="0.2">
      <c r="A1228"/>
      <c r="B1228">
        <v>24293</v>
      </c>
      <c r="C1228" t="s">
        <v>3345</v>
      </c>
      <c r="D1228" t="s">
        <v>920</v>
      </c>
      <c r="E1228" t="s">
        <v>1275</v>
      </c>
      <c r="F1228" t="s">
        <v>2343</v>
      </c>
      <c r="G1228">
        <v>231.91644658300001</v>
      </c>
      <c r="H1228" t="s">
        <v>248</v>
      </c>
      <c r="Q1228">
        <v>2676.6570718100002</v>
      </c>
      <c r="R1228">
        <v>25222.114563899999</v>
      </c>
      <c r="S1228">
        <v>-14.258757147600001</v>
      </c>
      <c r="T1228">
        <v>-87.987162574500005</v>
      </c>
      <c r="U1228">
        <v>0</v>
      </c>
      <c r="V1228">
        <v>0</v>
      </c>
    </row>
    <row r="1229" spans="1:22" x14ac:dyDescent="0.2">
      <c r="A1229"/>
      <c r="B1229">
        <v>24294</v>
      </c>
      <c r="C1229" t="s">
        <v>3346</v>
      </c>
      <c r="D1229" t="s">
        <v>920</v>
      </c>
      <c r="E1229" t="s">
        <v>1275</v>
      </c>
      <c r="F1229" t="s">
        <v>2343</v>
      </c>
      <c r="G1229">
        <v>325.472024809</v>
      </c>
      <c r="H1229" t="s">
        <v>248</v>
      </c>
      <c r="Q1229">
        <v>2679.9300906399999</v>
      </c>
      <c r="R1229">
        <v>25128.616468299999</v>
      </c>
      <c r="S1229">
        <v>-14.150036784399999</v>
      </c>
      <c r="T1229">
        <v>-88.001795908800005</v>
      </c>
      <c r="U1229">
        <v>0</v>
      </c>
      <c r="V1229">
        <v>0</v>
      </c>
    </row>
    <row r="1230" spans="1:22" x14ac:dyDescent="0.2">
      <c r="A1230"/>
      <c r="B1230">
        <v>24295</v>
      </c>
      <c r="C1230" t="s">
        <v>3347</v>
      </c>
      <c r="D1230" t="s">
        <v>920</v>
      </c>
      <c r="E1230" t="s">
        <v>1275</v>
      </c>
      <c r="F1230" t="s">
        <v>2343</v>
      </c>
      <c r="G1230">
        <v>339.87562916500002</v>
      </c>
      <c r="H1230" t="s">
        <v>248</v>
      </c>
      <c r="Q1230">
        <v>2680.43212765</v>
      </c>
      <c r="R1230">
        <v>25114.221615900002</v>
      </c>
      <c r="S1230">
        <v>-14.151145742900001</v>
      </c>
      <c r="T1230">
        <v>-88.003273760400006</v>
      </c>
      <c r="U1230">
        <v>0</v>
      </c>
      <c r="V1230">
        <v>0</v>
      </c>
    </row>
    <row r="1231" spans="1:22" x14ac:dyDescent="0.2">
      <c r="A1231"/>
      <c r="B1231">
        <v>24296</v>
      </c>
      <c r="C1231" t="s">
        <v>3348</v>
      </c>
      <c r="D1231" t="s">
        <v>920</v>
      </c>
      <c r="E1231" t="s">
        <v>1275</v>
      </c>
      <c r="F1231" t="s">
        <v>2343</v>
      </c>
      <c r="G1231">
        <v>342.78349007100002</v>
      </c>
      <c r="H1231" t="s">
        <v>248</v>
      </c>
      <c r="Q1231">
        <v>2680.5334375699999</v>
      </c>
      <c r="R1231">
        <v>25111.3155204</v>
      </c>
      <c r="S1231">
        <v>-14.1514950299</v>
      </c>
      <c r="T1231">
        <v>-88.003545008000003</v>
      </c>
      <c r="U1231">
        <v>0</v>
      </c>
      <c r="V1231">
        <v>0</v>
      </c>
    </row>
    <row r="1232" spans="1:22" x14ac:dyDescent="0.2">
      <c r="A1232"/>
      <c r="B1232">
        <v>24297</v>
      </c>
      <c r="C1232" t="s">
        <v>3349</v>
      </c>
      <c r="D1232" t="s">
        <v>920</v>
      </c>
      <c r="E1232" t="s">
        <v>1275</v>
      </c>
      <c r="F1232" t="s">
        <v>2343</v>
      </c>
      <c r="G1232">
        <v>362.09168648899998</v>
      </c>
      <c r="H1232" t="s">
        <v>248</v>
      </c>
      <c r="Q1232">
        <v>2681.2058143200002</v>
      </c>
      <c r="R1232">
        <v>25092.019035000001</v>
      </c>
      <c r="S1232">
        <v>-14.154882903700001</v>
      </c>
      <c r="T1232">
        <v>-88.005115104799998</v>
      </c>
      <c r="U1232">
        <v>0</v>
      </c>
      <c r="V1232">
        <v>0</v>
      </c>
    </row>
    <row r="1233" spans="1:22" x14ac:dyDescent="0.2">
      <c r="A1233"/>
      <c r="B1233">
        <v>24298</v>
      </c>
      <c r="C1233" t="s">
        <v>3350</v>
      </c>
      <c r="D1233" t="s">
        <v>920</v>
      </c>
      <c r="E1233" t="s">
        <v>1275</v>
      </c>
      <c r="F1233" t="s">
        <v>2343</v>
      </c>
      <c r="G1233">
        <v>364.99954739499998</v>
      </c>
      <c r="H1233" t="s">
        <v>248</v>
      </c>
      <c r="Q1233">
        <v>2681.3070326100001</v>
      </c>
      <c r="R1233">
        <v>25089.112936400001</v>
      </c>
      <c r="S1233">
        <v>-14.1555540606</v>
      </c>
      <c r="T1233">
        <v>-88.005316777900006</v>
      </c>
      <c r="U1233">
        <v>0</v>
      </c>
      <c r="V1233">
        <v>0</v>
      </c>
    </row>
    <row r="1234" spans="1:22" x14ac:dyDescent="0.2">
      <c r="A1234"/>
      <c r="B1234">
        <v>24299</v>
      </c>
      <c r="C1234" t="s">
        <v>3351</v>
      </c>
      <c r="D1234" t="s">
        <v>920</v>
      </c>
      <c r="E1234" t="s">
        <v>1275</v>
      </c>
      <c r="F1234" t="s">
        <v>2343</v>
      </c>
      <c r="G1234">
        <v>421.23757732299998</v>
      </c>
      <c r="H1234" t="s">
        <v>248</v>
      </c>
      <c r="Q1234">
        <v>2683.2631158899999</v>
      </c>
      <c r="R1234">
        <v>25032.908938299999</v>
      </c>
      <c r="S1234">
        <v>-14.173877473099999</v>
      </c>
      <c r="T1234">
        <v>-88.008077766200003</v>
      </c>
      <c r="U1234">
        <v>0</v>
      </c>
      <c r="V1234">
        <v>0</v>
      </c>
    </row>
    <row r="1235" spans="1:22" x14ac:dyDescent="0.2">
      <c r="A1235"/>
      <c r="B1235">
        <v>24300</v>
      </c>
      <c r="C1235" t="s">
        <v>3352</v>
      </c>
      <c r="D1235" t="s">
        <v>920</v>
      </c>
      <c r="E1235" t="s">
        <v>1275</v>
      </c>
      <c r="F1235" t="s">
        <v>2343</v>
      </c>
      <c r="G1235">
        <v>455.25954992700002</v>
      </c>
      <c r="H1235" t="s">
        <v>248</v>
      </c>
      <c r="Q1235">
        <v>2684.4445042799998</v>
      </c>
      <c r="R1235">
        <v>24998.9074836</v>
      </c>
      <c r="S1235">
        <v>-14.1722387061</v>
      </c>
      <c r="T1235">
        <v>-88.012606420599994</v>
      </c>
      <c r="U1235">
        <v>0</v>
      </c>
      <c r="V1235">
        <v>0</v>
      </c>
    </row>
    <row r="1236" spans="1:22" x14ac:dyDescent="0.2">
      <c r="A1236"/>
      <c r="B1236">
        <v>24301</v>
      </c>
      <c r="C1236" t="s">
        <v>3353</v>
      </c>
      <c r="D1236" t="s">
        <v>920</v>
      </c>
      <c r="E1236" t="s">
        <v>1275</v>
      </c>
      <c r="F1236" t="s">
        <v>2343</v>
      </c>
      <c r="G1236">
        <v>458.16741083400001</v>
      </c>
      <c r="H1236" t="s">
        <v>248</v>
      </c>
      <c r="Q1236">
        <v>2684.5453338500001</v>
      </c>
      <c r="R1236">
        <v>24996.001371499999</v>
      </c>
      <c r="S1236">
        <v>-14.1713594026</v>
      </c>
      <c r="T1236">
        <v>-88.013158614600002</v>
      </c>
      <c r="U1236">
        <v>0</v>
      </c>
      <c r="V1236">
        <v>0</v>
      </c>
    </row>
    <row r="1237" spans="1:22" x14ac:dyDescent="0.2">
      <c r="A1237"/>
      <c r="B1237">
        <v>24302</v>
      </c>
      <c r="C1237" t="s">
        <v>3354</v>
      </c>
      <c r="D1237" t="s">
        <v>920</v>
      </c>
      <c r="E1237" t="s">
        <v>1275</v>
      </c>
      <c r="F1237" t="s">
        <v>2343</v>
      </c>
      <c r="G1237">
        <v>477.47560725199997</v>
      </c>
      <c r="H1237" t="s">
        <v>248</v>
      </c>
      <c r="Q1237">
        <v>2685.2140521299998</v>
      </c>
      <c r="R1237">
        <v>24976.704760799999</v>
      </c>
      <c r="S1237">
        <v>-14.1625679737</v>
      </c>
      <c r="T1237">
        <v>-88.017484786300002</v>
      </c>
      <c r="U1237">
        <v>0</v>
      </c>
      <c r="V1237">
        <v>0</v>
      </c>
    </row>
    <row r="1238" spans="1:22" x14ac:dyDescent="0.2">
      <c r="A1238"/>
      <c r="B1238">
        <v>24303</v>
      </c>
      <c r="C1238" t="s">
        <v>3355</v>
      </c>
      <c r="D1238" t="s">
        <v>920</v>
      </c>
      <c r="E1238" t="s">
        <v>1275</v>
      </c>
      <c r="F1238" t="s">
        <v>2343</v>
      </c>
      <c r="G1238">
        <v>480.38346815800003</v>
      </c>
      <c r="H1238" t="s">
        <v>248</v>
      </c>
      <c r="Q1238">
        <v>2685.31462921</v>
      </c>
      <c r="R1238">
        <v>24973.7986403</v>
      </c>
      <c r="S1238">
        <v>-14.160799256500001</v>
      </c>
      <c r="T1238">
        <v>-88.018235656000002</v>
      </c>
      <c r="U1238">
        <v>0</v>
      </c>
      <c r="V1238">
        <v>0</v>
      </c>
    </row>
    <row r="1239" spans="1:22" x14ac:dyDescent="0.2">
      <c r="A1239"/>
      <c r="B1239">
        <v>24304</v>
      </c>
      <c r="C1239" t="s">
        <v>3356</v>
      </c>
      <c r="D1239" t="s">
        <v>920</v>
      </c>
      <c r="E1239" t="s">
        <v>1275</v>
      </c>
      <c r="F1239" t="s">
        <v>2343</v>
      </c>
      <c r="G1239">
        <v>531.19349106100003</v>
      </c>
      <c r="H1239" t="s">
        <v>248</v>
      </c>
      <c r="Q1239">
        <v>2687.0681097400002</v>
      </c>
      <c r="R1239">
        <v>24923.019270500001</v>
      </c>
      <c r="S1239">
        <v>-14.300050150800001</v>
      </c>
      <c r="T1239">
        <v>-88.021009469999996</v>
      </c>
      <c r="U1239">
        <v>0</v>
      </c>
      <c r="V1239">
        <v>0</v>
      </c>
    </row>
    <row r="1240" spans="1:22" x14ac:dyDescent="0.2">
      <c r="A1240"/>
      <c r="B1240">
        <v>24305</v>
      </c>
      <c r="C1240" t="s">
        <v>3357</v>
      </c>
      <c r="D1240" t="s">
        <v>920</v>
      </c>
      <c r="E1240" t="s">
        <v>1275</v>
      </c>
      <c r="F1240" t="s">
        <v>2343</v>
      </c>
      <c r="G1240">
        <v>607.99979046600004</v>
      </c>
      <c r="H1240" t="s">
        <v>248</v>
      </c>
      <c r="Q1240">
        <v>2689.7235842199998</v>
      </c>
      <c r="R1240">
        <v>24846.268670099998</v>
      </c>
      <c r="S1240">
        <v>-15.4849565502</v>
      </c>
      <c r="T1240">
        <v>-88.021502937400001</v>
      </c>
      <c r="U1240">
        <v>0</v>
      </c>
      <c r="V1240">
        <v>0</v>
      </c>
    </row>
    <row r="1241" spans="1:22" x14ac:dyDescent="0.2">
      <c r="A1241"/>
      <c r="B1241">
        <v>24306</v>
      </c>
      <c r="C1241" t="s">
        <v>3358</v>
      </c>
      <c r="D1241" t="s">
        <v>920</v>
      </c>
      <c r="E1241" t="s">
        <v>1275</v>
      </c>
      <c r="F1241" t="s">
        <v>2343</v>
      </c>
      <c r="G1241">
        <v>628.35481680999999</v>
      </c>
      <c r="H1241" t="s">
        <v>248</v>
      </c>
      <c r="Q1241">
        <v>2690.42580348</v>
      </c>
      <c r="R1241">
        <v>24825.929899700001</v>
      </c>
      <c r="S1241">
        <v>-15.895324240700001</v>
      </c>
      <c r="T1241">
        <v>-88.023476503599994</v>
      </c>
      <c r="U1241">
        <v>0</v>
      </c>
      <c r="V1241">
        <v>0</v>
      </c>
    </row>
    <row r="1242" spans="1:22" x14ac:dyDescent="0.2">
      <c r="A1242"/>
      <c r="B1242">
        <v>24307</v>
      </c>
      <c r="C1242" t="s">
        <v>3359</v>
      </c>
      <c r="D1242" t="s">
        <v>920</v>
      </c>
      <c r="E1242" t="s">
        <v>1275</v>
      </c>
      <c r="F1242" t="s">
        <v>2343</v>
      </c>
      <c r="G1242">
        <v>744.66925306300004</v>
      </c>
      <c r="H1242" t="s">
        <v>248</v>
      </c>
      <c r="Q1242">
        <v>2694.4373562699998</v>
      </c>
      <c r="R1242">
        <v>24709.706782000001</v>
      </c>
      <c r="S1242">
        <v>-18.156392047899999</v>
      </c>
      <c r="T1242">
        <v>-88.028630752500007</v>
      </c>
      <c r="U1242">
        <v>0</v>
      </c>
      <c r="V1242">
        <v>0</v>
      </c>
    </row>
    <row r="1243" spans="1:22" x14ac:dyDescent="0.2">
      <c r="A1243"/>
      <c r="B1243">
        <v>24308</v>
      </c>
      <c r="C1243" t="s">
        <v>3360</v>
      </c>
      <c r="D1243" t="s">
        <v>920</v>
      </c>
      <c r="E1243" t="s">
        <v>1275</v>
      </c>
      <c r="F1243" t="s">
        <v>2343</v>
      </c>
      <c r="G1243">
        <v>884.11087639100003</v>
      </c>
      <c r="H1243" t="s">
        <v>248</v>
      </c>
      <c r="Q1243">
        <v>2699.2363115899998</v>
      </c>
      <c r="R1243">
        <v>24570.351169000001</v>
      </c>
      <c r="S1243">
        <v>-18.8812193845</v>
      </c>
      <c r="T1243">
        <v>-88.021040527599993</v>
      </c>
      <c r="U1243">
        <v>0</v>
      </c>
      <c r="V1243">
        <v>0</v>
      </c>
    </row>
    <row r="1244" spans="1:22" x14ac:dyDescent="0.2">
      <c r="A1244"/>
      <c r="B1244">
        <v>24309</v>
      </c>
      <c r="C1244" t="s">
        <v>3361</v>
      </c>
      <c r="D1244" t="s">
        <v>920</v>
      </c>
      <c r="E1244" t="s">
        <v>1275</v>
      </c>
      <c r="F1244" t="s">
        <v>2343</v>
      </c>
      <c r="G1244">
        <v>926.35240249000003</v>
      </c>
      <c r="H1244" t="s">
        <v>248</v>
      </c>
      <c r="Q1244">
        <v>2700.6959435200001</v>
      </c>
      <c r="R1244">
        <v>24528.138030599999</v>
      </c>
      <c r="S1244">
        <v>-18.383697743100001</v>
      </c>
      <c r="T1244">
        <v>-88.018441284900007</v>
      </c>
      <c r="U1244">
        <v>0</v>
      </c>
      <c r="V1244">
        <v>0</v>
      </c>
    </row>
    <row r="1245" spans="1:22" x14ac:dyDescent="0.2">
      <c r="A1245"/>
      <c r="B1245">
        <v>24310</v>
      </c>
      <c r="C1245" t="s">
        <v>3362</v>
      </c>
      <c r="D1245" t="s">
        <v>920</v>
      </c>
      <c r="E1245" t="s">
        <v>1275</v>
      </c>
      <c r="F1245" t="s">
        <v>2343</v>
      </c>
      <c r="G1245">
        <v>980.05090055999995</v>
      </c>
      <c r="H1245" t="s">
        <v>248</v>
      </c>
      <c r="Q1245">
        <v>2701.4445323300001</v>
      </c>
      <c r="R1245">
        <v>24474.4702058</v>
      </c>
      <c r="S1245">
        <v>-17.325291351299999</v>
      </c>
      <c r="T1245">
        <v>-92.122190932600006</v>
      </c>
      <c r="U1245">
        <v>0</v>
      </c>
      <c r="V1245">
        <v>0</v>
      </c>
    </row>
    <row r="1246" spans="1:22" x14ac:dyDescent="0.2">
      <c r="A1246"/>
      <c r="B1246">
        <v>24311</v>
      </c>
      <c r="C1246" t="s">
        <v>3363</v>
      </c>
      <c r="D1246" t="s">
        <v>920</v>
      </c>
      <c r="E1246" t="s">
        <v>1275</v>
      </c>
      <c r="F1246" t="s">
        <v>2343</v>
      </c>
      <c r="G1246">
        <v>1063.9620734499999</v>
      </c>
      <c r="H1246" t="s">
        <v>248</v>
      </c>
      <c r="Q1246">
        <v>2690.1486961000001</v>
      </c>
      <c r="R1246">
        <v>24391.4741163</v>
      </c>
      <c r="S1246">
        <v>-15.680979220499999</v>
      </c>
      <c r="T1246">
        <v>-103.172386616</v>
      </c>
      <c r="U1246">
        <v>0</v>
      </c>
      <c r="V1246">
        <v>0</v>
      </c>
    </row>
    <row r="1247" spans="1:22" x14ac:dyDescent="0.2">
      <c r="A1247"/>
      <c r="B1247">
        <v>24312</v>
      </c>
      <c r="C1247" t="s">
        <v>3364</v>
      </c>
      <c r="D1247" t="s">
        <v>920</v>
      </c>
      <c r="E1247" t="s">
        <v>1275</v>
      </c>
      <c r="F1247" t="s">
        <v>2343</v>
      </c>
      <c r="G1247">
        <v>1219.61986776</v>
      </c>
      <c r="H1247" t="s">
        <v>248</v>
      </c>
      <c r="Q1247">
        <v>2653.9409382499998</v>
      </c>
      <c r="R1247">
        <v>24240.1166706</v>
      </c>
      <c r="S1247">
        <v>-12.6387239559</v>
      </c>
      <c r="T1247">
        <v>-103.511412701</v>
      </c>
      <c r="U1247">
        <v>0</v>
      </c>
      <c r="V1247">
        <v>0</v>
      </c>
    </row>
    <row r="1248" spans="1:22" x14ac:dyDescent="0.2">
      <c r="A1248"/>
      <c r="B1248">
        <v>24313</v>
      </c>
      <c r="C1248" t="s">
        <v>3365</v>
      </c>
      <c r="D1248" t="s">
        <v>920</v>
      </c>
      <c r="E1248" t="s">
        <v>1275</v>
      </c>
      <c r="F1248" t="s">
        <v>2345</v>
      </c>
      <c r="G1248">
        <v>43.106579140999997</v>
      </c>
      <c r="H1248" t="s">
        <v>248</v>
      </c>
      <c r="Q1248">
        <v>2626.2337784299998</v>
      </c>
      <c r="R1248">
        <v>24124.847174099999</v>
      </c>
      <c r="S1248">
        <v>-10.3260549105</v>
      </c>
      <c r="T1248">
        <v>-103.469838055</v>
      </c>
      <c r="U1248">
        <v>0</v>
      </c>
      <c r="V1248">
        <v>0</v>
      </c>
    </row>
    <row r="1249" spans="1:22" x14ac:dyDescent="0.2">
      <c r="A1249"/>
      <c r="B1249">
        <v>24314</v>
      </c>
      <c r="C1249" t="s">
        <v>3366</v>
      </c>
      <c r="D1249" t="s">
        <v>920</v>
      </c>
      <c r="E1249" t="s">
        <v>1275</v>
      </c>
      <c r="F1249" t="s">
        <v>2345</v>
      </c>
      <c r="G1249">
        <v>64.588263098400006</v>
      </c>
      <c r="H1249" t="s">
        <v>248</v>
      </c>
      <c r="Q1249">
        <v>2621.23953562</v>
      </c>
      <c r="R1249">
        <v>24103.958290899998</v>
      </c>
      <c r="S1249">
        <v>-9.9079491393900003</v>
      </c>
      <c r="T1249">
        <v>-103.42009790199999</v>
      </c>
      <c r="U1249">
        <v>0</v>
      </c>
      <c r="V1249">
        <v>0</v>
      </c>
    </row>
    <row r="1250" spans="1:22" x14ac:dyDescent="0.2">
      <c r="A1250"/>
      <c r="B1250">
        <v>24315</v>
      </c>
      <c r="C1250" t="s">
        <v>3367</v>
      </c>
      <c r="D1250" t="s">
        <v>920</v>
      </c>
      <c r="E1250" t="s">
        <v>1275</v>
      </c>
      <c r="F1250" t="s">
        <v>2345</v>
      </c>
      <c r="G1250">
        <v>220.43276552200001</v>
      </c>
      <c r="H1250" t="s">
        <v>248</v>
      </c>
      <c r="Q1250">
        <v>2619.63031219</v>
      </c>
      <c r="R1250">
        <v>23950.230611300001</v>
      </c>
      <c r="S1250">
        <v>-6.9222539581399998</v>
      </c>
      <c r="T1250">
        <v>-85.075966923799996</v>
      </c>
      <c r="U1250">
        <v>0</v>
      </c>
      <c r="V1250">
        <v>0</v>
      </c>
    </row>
    <row r="1251" spans="1:22" x14ac:dyDescent="0.2">
      <c r="A1251"/>
      <c r="B1251">
        <v>24316</v>
      </c>
      <c r="C1251" t="s">
        <v>3368</v>
      </c>
      <c r="D1251" t="s">
        <v>920</v>
      </c>
      <c r="E1251" t="s">
        <v>1275</v>
      </c>
      <c r="F1251" t="s">
        <v>2345</v>
      </c>
      <c r="G1251">
        <v>298.23737894099997</v>
      </c>
      <c r="H1251" t="s">
        <v>248</v>
      </c>
      <c r="Q1251">
        <v>2610.0385659600001</v>
      </c>
      <c r="R1251">
        <v>23873.5814809</v>
      </c>
      <c r="S1251">
        <v>-6.60948228046</v>
      </c>
      <c r="T1251">
        <v>-105.274061898</v>
      </c>
      <c r="U1251">
        <v>0</v>
      </c>
      <c r="V1251">
        <v>0</v>
      </c>
    </row>
    <row r="1252" spans="1:22" x14ac:dyDescent="0.2">
      <c r="A1252"/>
      <c r="B1252">
        <v>24317</v>
      </c>
      <c r="C1252" t="s">
        <v>3369</v>
      </c>
      <c r="D1252" t="s">
        <v>920</v>
      </c>
      <c r="E1252" t="s">
        <v>1275</v>
      </c>
      <c r="F1252" t="s">
        <v>2345</v>
      </c>
      <c r="G1252">
        <v>313.43822768400003</v>
      </c>
      <c r="H1252" t="s">
        <v>248</v>
      </c>
      <c r="Q1252">
        <v>2606.0337831400002</v>
      </c>
      <c r="R1252">
        <v>23858.917664299999</v>
      </c>
      <c r="S1252">
        <v>-6.6090926448899996</v>
      </c>
      <c r="T1252">
        <v>-105.276403626</v>
      </c>
      <c r="U1252">
        <v>0</v>
      </c>
      <c r="V1252">
        <v>0</v>
      </c>
    </row>
    <row r="1253" spans="1:22" x14ac:dyDescent="0.2">
      <c r="A1253"/>
      <c r="B1253">
        <v>24318</v>
      </c>
      <c r="C1253" t="s">
        <v>3370</v>
      </c>
      <c r="D1253" t="s">
        <v>920</v>
      </c>
      <c r="E1253" t="s">
        <v>1275</v>
      </c>
      <c r="F1253" t="s">
        <v>2345</v>
      </c>
      <c r="G1253">
        <v>316.50703967800001</v>
      </c>
      <c r="H1253" t="s">
        <v>248</v>
      </c>
      <c r="Q1253">
        <v>2605.2252169899998</v>
      </c>
      <c r="R1253">
        <v>23855.957288000001</v>
      </c>
      <c r="S1253">
        <v>-6.60901411578</v>
      </c>
      <c r="T1253">
        <v>-105.276723631</v>
      </c>
      <c r="U1253">
        <v>0</v>
      </c>
      <c r="V1253">
        <v>0</v>
      </c>
    </row>
    <row r="1254" spans="1:22" x14ac:dyDescent="0.2">
      <c r="A1254"/>
      <c r="B1254">
        <v>24319</v>
      </c>
      <c r="C1254" t="s">
        <v>3371</v>
      </c>
      <c r="D1254" t="s">
        <v>920</v>
      </c>
      <c r="E1254" t="s">
        <v>1275</v>
      </c>
      <c r="F1254" t="s">
        <v>2345</v>
      </c>
      <c r="G1254">
        <v>336.88395131800002</v>
      </c>
      <c r="H1254" t="s">
        <v>248</v>
      </c>
      <c r="Q1254">
        <v>2599.8560784299998</v>
      </c>
      <c r="R1254">
        <v>23836.3004602</v>
      </c>
      <c r="S1254">
        <v>-6.6084940950500002</v>
      </c>
      <c r="T1254">
        <v>-105.277546817</v>
      </c>
      <c r="U1254">
        <v>0</v>
      </c>
      <c r="V1254">
        <v>0</v>
      </c>
    </row>
    <row r="1255" spans="1:22" x14ac:dyDescent="0.2">
      <c r="A1255"/>
      <c r="B1255">
        <v>24320</v>
      </c>
      <c r="C1255" t="s">
        <v>3372</v>
      </c>
      <c r="D1255" t="s">
        <v>920</v>
      </c>
      <c r="E1255" t="s">
        <v>1275</v>
      </c>
      <c r="F1255" t="s">
        <v>2345</v>
      </c>
      <c r="G1255">
        <v>339.95276331100001</v>
      </c>
      <c r="H1255" t="s">
        <v>248</v>
      </c>
      <c r="Q1255">
        <v>2599.0474633399999</v>
      </c>
      <c r="R1255">
        <v>23833.340097299999</v>
      </c>
      <c r="S1255">
        <v>-6.6084159831599996</v>
      </c>
      <c r="T1255">
        <v>-105.27747476</v>
      </c>
      <c r="U1255">
        <v>0</v>
      </c>
      <c r="V1255">
        <v>0</v>
      </c>
    </row>
    <row r="1256" spans="1:22" x14ac:dyDescent="0.2">
      <c r="A1256"/>
      <c r="B1256">
        <v>24321</v>
      </c>
      <c r="C1256" t="s">
        <v>3373</v>
      </c>
      <c r="D1256" t="s">
        <v>920</v>
      </c>
      <c r="E1256" t="s">
        <v>1275</v>
      </c>
      <c r="F1256" t="s">
        <v>2345</v>
      </c>
      <c r="G1256">
        <v>399.30358727399999</v>
      </c>
      <c r="H1256" t="s">
        <v>248</v>
      </c>
      <c r="Q1256">
        <v>2583.4130287600001</v>
      </c>
      <c r="R1256">
        <v>23776.085536400002</v>
      </c>
      <c r="S1256">
        <v>-6.6069151382099998</v>
      </c>
      <c r="T1256">
        <v>-105.26598776199999</v>
      </c>
      <c r="U1256">
        <v>0</v>
      </c>
      <c r="V1256">
        <v>0</v>
      </c>
    </row>
    <row r="1257" spans="1:22" x14ac:dyDescent="0.2">
      <c r="A1257"/>
      <c r="B1257">
        <v>24322</v>
      </c>
      <c r="C1257" t="s">
        <v>3374</v>
      </c>
      <c r="D1257" t="s">
        <v>920</v>
      </c>
      <c r="E1257" t="s">
        <v>1275</v>
      </c>
      <c r="F1257" t="s">
        <v>2345</v>
      </c>
      <c r="G1257">
        <v>435.208687602</v>
      </c>
      <c r="H1257" t="s">
        <v>248</v>
      </c>
      <c r="Q1257">
        <v>2573.9637643400001</v>
      </c>
      <c r="R1257">
        <v>23741.446142299999</v>
      </c>
      <c r="S1257">
        <v>-6.6060164193800004</v>
      </c>
      <c r="T1257">
        <v>-105.249720209</v>
      </c>
      <c r="U1257">
        <v>0</v>
      </c>
      <c r="V1257">
        <v>0</v>
      </c>
    </row>
    <row r="1258" spans="1:22" x14ac:dyDescent="0.2">
      <c r="A1258"/>
      <c r="B1258">
        <v>24323</v>
      </c>
      <c r="C1258" t="s">
        <v>3375</v>
      </c>
      <c r="D1258" t="s">
        <v>920</v>
      </c>
      <c r="E1258" t="s">
        <v>1275</v>
      </c>
      <c r="F1258" t="s">
        <v>2345</v>
      </c>
      <c r="G1258">
        <v>438.27749959599998</v>
      </c>
      <c r="H1258" t="s">
        <v>248</v>
      </c>
      <c r="Q1258">
        <v>2573.15662957</v>
      </c>
      <c r="R1258">
        <v>23738.4853754</v>
      </c>
      <c r="S1258">
        <v>-6.6059399168099997</v>
      </c>
      <c r="T1258">
        <v>-105.24800395699999</v>
      </c>
      <c r="U1258">
        <v>0</v>
      </c>
      <c r="V1258">
        <v>0</v>
      </c>
    </row>
    <row r="1259" spans="1:22" x14ac:dyDescent="0.2">
      <c r="A1259"/>
      <c r="B1259">
        <v>24324</v>
      </c>
      <c r="C1259" t="s">
        <v>3376</v>
      </c>
      <c r="D1259" t="s">
        <v>920</v>
      </c>
      <c r="E1259" t="s">
        <v>1275</v>
      </c>
      <c r="F1259" t="s">
        <v>2345</v>
      </c>
      <c r="G1259">
        <v>458.65441123599999</v>
      </c>
      <c r="H1259" t="s">
        <v>248</v>
      </c>
      <c r="Q1259">
        <v>2567.7996644099999</v>
      </c>
      <c r="R1259">
        <v>23718.825226699999</v>
      </c>
      <c r="S1259">
        <v>-6.60543333694</v>
      </c>
      <c r="T1259">
        <v>-105.23530640200001</v>
      </c>
      <c r="U1259">
        <v>0</v>
      </c>
      <c r="V1259">
        <v>0</v>
      </c>
    </row>
    <row r="1260" spans="1:22" x14ac:dyDescent="0.2">
      <c r="A1260"/>
      <c r="B1260">
        <v>24325</v>
      </c>
      <c r="C1260" t="s">
        <v>3377</v>
      </c>
      <c r="D1260" t="s">
        <v>920</v>
      </c>
      <c r="E1260" t="s">
        <v>1275</v>
      </c>
      <c r="F1260" t="s">
        <v>2345</v>
      </c>
      <c r="G1260">
        <v>461.72322322999997</v>
      </c>
      <c r="H1260" t="s">
        <v>248</v>
      </c>
      <c r="Q1260">
        <v>2566.9932846400002</v>
      </c>
      <c r="R1260">
        <v>23715.864254100001</v>
      </c>
      <c r="S1260">
        <v>-6.6053572218100003</v>
      </c>
      <c r="T1260">
        <v>-105.233198089</v>
      </c>
      <c r="U1260">
        <v>0</v>
      </c>
      <c r="V1260">
        <v>0</v>
      </c>
    </row>
    <row r="1261" spans="1:22" x14ac:dyDescent="0.2">
      <c r="A1261"/>
      <c r="B1261">
        <v>24326</v>
      </c>
      <c r="C1261" t="s">
        <v>3378</v>
      </c>
      <c r="D1261" t="s">
        <v>920</v>
      </c>
      <c r="E1261" t="s">
        <v>1275</v>
      </c>
      <c r="F1261" t="s">
        <v>2345</v>
      </c>
      <c r="G1261">
        <v>515.34559813700002</v>
      </c>
      <c r="H1261" t="s">
        <v>248</v>
      </c>
      <c r="Q1261">
        <v>2552.9290030699999</v>
      </c>
      <c r="R1261">
        <v>23664.1192443</v>
      </c>
      <c r="S1261">
        <v>-6.6405307206700002</v>
      </c>
      <c r="T1261">
        <v>-104.579441575</v>
      </c>
      <c r="U1261">
        <v>0</v>
      </c>
      <c r="V1261">
        <v>0</v>
      </c>
    </row>
    <row r="1262" spans="1:22" x14ac:dyDescent="0.2">
      <c r="A1262"/>
      <c r="B1262">
        <v>24327</v>
      </c>
      <c r="C1262" t="s">
        <v>3379</v>
      </c>
      <c r="D1262" t="s">
        <v>920</v>
      </c>
      <c r="E1262" t="s">
        <v>1275</v>
      </c>
      <c r="F1262" t="s">
        <v>2345</v>
      </c>
      <c r="G1262">
        <v>566.45154720799997</v>
      </c>
      <c r="H1262" t="s">
        <v>248</v>
      </c>
      <c r="Q1262">
        <v>2545.3960556400002</v>
      </c>
      <c r="R1262">
        <v>23613.655385099999</v>
      </c>
      <c r="S1262">
        <v>-7.1720113341399996</v>
      </c>
      <c r="T1262">
        <v>-93.614613849600005</v>
      </c>
      <c r="U1262">
        <v>0</v>
      </c>
      <c r="V1262">
        <v>0</v>
      </c>
    </row>
    <row r="1263" spans="1:22" x14ac:dyDescent="0.2">
      <c r="A1263"/>
      <c r="B1263">
        <v>24328</v>
      </c>
      <c r="C1263" t="s">
        <v>3380</v>
      </c>
      <c r="D1263" t="s">
        <v>920</v>
      </c>
      <c r="E1263" t="s">
        <v>1275</v>
      </c>
      <c r="F1263" t="s">
        <v>2345</v>
      </c>
      <c r="G1263">
        <v>621.06617132700001</v>
      </c>
      <c r="H1263" t="s">
        <v>248</v>
      </c>
      <c r="Q1263">
        <v>2544.1311179099998</v>
      </c>
      <c r="R1263">
        <v>23559.072085399999</v>
      </c>
      <c r="S1263">
        <v>-8.18034682521</v>
      </c>
      <c r="T1263">
        <v>-90.541278503300006</v>
      </c>
      <c r="U1263">
        <v>0</v>
      </c>
      <c r="V1263">
        <v>0</v>
      </c>
    </row>
    <row r="1264" spans="1:22" x14ac:dyDescent="0.2">
      <c r="A1264"/>
      <c r="B1264">
        <v>24329</v>
      </c>
      <c r="C1264" t="s">
        <v>3381</v>
      </c>
      <c r="D1264" t="s">
        <v>920</v>
      </c>
      <c r="E1264" t="s">
        <v>1275</v>
      </c>
      <c r="F1264" t="s">
        <v>2354</v>
      </c>
      <c r="G1264">
        <v>40.416092649900001</v>
      </c>
      <c r="H1264" t="s">
        <v>248</v>
      </c>
      <c r="Q1264">
        <v>2543.7418148100001</v>
      </c>
      <c r="R1264">
        <v>23517.693005900001</v>
      </c>
      <c r="S1264">
        <v>-8.9399771247299995</v>
      </c>
      <c r="T1264">
        <v>-90.554630572600004</v>
      </c>
      <c r="U1264">
        <v>0</v>
      </c>
      <c r="V1264">
        <v>0</v>
      </c>
    </row>
    <row r="1265" spans="1:22" x14ac:dyDescent="0.2">
      <c r="A1265"/>
      <c r="B1265">
        <v>24330</v>
      </c>
      <c r="C1265" t="s">
        <v>3382</v>
      </c>
      <c r="D1265" t="s">
        <v>920</v>
      </c>
      <c r="E1265" t="s">
        <v>1275</v>
      </c>
      <c r="F1265" t="s">
        <v>2354</v>
      </c>
      <c r="G1265">
        <v>56.414922916599998</v>
      </c>
      <c r="H1265" t="s">
        <v>248</v>
      </c>
      <c r="Q1265">
        <v>2543.5771992499999</v>
      </c>
      <c r="R1265">
        <v>23501.697693800001</v>
      </c>
      <c r="S1265">
        <v>-9.2322497306700004</v>
      </c>
      <c r="T1265">
        <v>-90.633048660599997</v>
      </c>
      <c r="U1265">
        <v>0</v>
      </c>
      <c r="V1265">
        <v>0</v>
      </c>
    </row>
    <row r="1266" spans="1:22" x14ac:dyDescent="0.2">
      <c r="A1266"/>
      <c r="B1266">
        <v>24331</v>
      </c>
      <c r="C1266" t="s">
        <v>3383</v>
      </c>
      <c r="D1266" t="s">
        <v>920</v>
      </c>
      <c r="E1266" t="s">
        <v>1275</v>
      </c>
      <c r="F1266" t="s">
        <v>2354</v>
      </c>
      <c r="G1266">
        <v>154.75439962300001</v>
      </c>
      <c r="H1266" t="s">
        <v>248</v>
      </c>
      <c r="Q1266">
        <v>2537.6070951500001</v>
      </c>
      <c r="R1266">
        <v>23403.767096399999</v>
      </c>
      <c r="S1266">
        <v>-11.025315836700001</v>
      </c>
      <c r="T1266">
        <v>-103.28134899299999</v>
      </c>
      <c r="U1266">
        <v>0</v>
      </c>
      <c r="V1266">
        <v>0</v>
      </c>
    </row>
    <row r="1267" spans="1:22" x14ac:dyDescent="0.2">
      <c r="A1267"/>
      <c r="B1267">
        <v>24332</v>
      </c>
      <c r="C1267" t="s">
        <v>3384</v>
      </c>
      <c r="D1267" t="s">
        <v>920</v>
      </c>
      <c r="E1267" t="s">
        <v>1275</v>
      </c>
      <c r="F1267" t="s">
        <v>2354</v>
      </c>
      <c r="G1267">
        <v>203.246092312</v>
      </c>
      <c r="H1267" t="s">
        <v>248</v>
      </c>
      <c r="Q1267">
        <v>2521.1333163899999</v>
      </c>
      <c r="R1267">
        <v>23358.266931300001</v>
      </c>
      <c r="S1267">
        <v>-11.9235262746</v>
      </c>
      <c r="T1267">
        <v>-114.76812029</v>
      </c>
      <c r="U1267">
        <v>0</v>
      </c>
      <c r="V1267">
        <v>0</v>
      </c>
    </row>
    <row r="1268" spans="1:22" x14ac:dyDescent="0.2">
      <c r="A1268"/>
      <c r="B1268">
        <v>24333</v>
      </c>
      <c r="C1268" t="s">
        <v>3385</v>
      </c>
      <c r="D1268" t="s">
        <v>920</v>
      </c>
      <c r="E1268" t="s">
        <v>1275</v>
      </c>
      <c r="F1268" t="s">
        <v>2354</v>
      </c>
      <c r="G1268">
        <v>238.16925323699999</v>
      </c>
      <c r="H1268" t="s">
        <v>248</v>
      </c>
      <c r="Q1268">
        <v>2506.2490025799998</v>
      </c>
      <c r="R1268">
        <v>23326.680907000002</v>
      </c>
      <c r="S1268">
        <v>-12.5535874024</v>
      </c>
      <c r="T1268">
        <v>-115.188230465</v>
      </c>
      <c r="U1268">
        <v>0</v>
      </c>
      <c r="V1268">
        <v>0</v>
      </c>
    </row>
    <row r="1269" spans="1:22" x14ac:dyDescent="0.2">
      <c r="A1269"/>
      <c r="B1269">
        <v>24334</v>
      </c>
      <c r="C1269" t="s">
        <v>3386</v>
      </c>
      <c r="D1269" t="s">
        <v>920</v>
      </c>
      <c r="E1269" t="s">
        <v>1275</v>
      </c>
      <c r="F1269" t="s">
        <v>2354</v>
      </c>
      <c r="G1269">
        <v>286.65332743599998</v>
      </c>
      <c r="H1269" t="s">
        <v>248</v>
      </c>
      <c r="Q1269">
        <v>2487.2198633500002</v>
      </c>
      <c r="R1269">
        <v>23282.1115771</v>
      </c>
      <c r="S1269">
        <v>-13.4338255673</v>
      </c>
      <c r="T1269">
        <v>-110.573343204</v>
      </c>
      <c r="U1269">
        <v>0</v>
      </c>
      <c r="V1269">
        <v>0</v>
      </c>
    </row>
    <row r="1270" spans="1:22" x14ac:dyDescent="0.2">
      <c r="A1270"/>
      <c r="B1270">
        <v>24335</v>
      </c>
      <c r="C1270" t="s">
        <v>3387</v>
      </c>
      <c r="D1270" t="s">
        <v>920</v>
      </c>
      <c r="E1270" t="s">
        <v>1275</v>
      </c>
      <c r="F1270" t="s">
        <v>2486</v>
      </c>
      <c r="G1270">
        <v>34.6</v>
      </c>
      <c r="H1270" t="s">
        <v>248</v>
      </c>
      <c r="Q1270">
        <v>3381.6357504299999</v>
      </c>
      <c r="R1270">
        <v>32301.868145500001</v>
      </c>
      <c r="S1270">
        <v>-10.7889013741</v>
      </c>
      <c r="T1270">
        <v>-100.90275771899999</v>
      </c>
      <c r="U1270">
        <v>0</v>
      </c>
      <c r="V1270">
        <v>0</v>
      </c>
    </row>
    <row r="1271" spans="1:22" x14ac:dyDescent="0.2">
      <c r="A1271"/>
      <c r="B1271">
        <v>24336</v>
      </c>
      <c r="C1271" t="s">
        <v>3388</v>
      </c>
      <c r="D1271" t="s">
        <v>920</v>
      </c>
      <c r="E1271" t="s">
        <v>1275</v>
      </c>
      <c r="F1271" t="s">
        <v>1921</v>
      </c>
      <c r="G1271">
        <v>28.65</v>
      </c>
      <c r="H1271" t="s">
        <v>248</v>
      </c>
      <c r="Q1271">
        <v>3369.3450265699998</v>
      </c>
      <c r="R1271">
        <v>32238.794796999999</v>
      </c>
      <c r="S1271">
        <v>-10.791545669</v>
      </c>
      <c r="T1271">
        <v>-101.246923072</v>
      </c>
      <c r="U1271">
        <v>0</v>
      </c>
      <c r="V1271">
        <v>0</v>
      </c>
    </row>
    <row r="1272" spans="1:22" x14ac:dyDescent="0.2">
      <c r="A1272"/>
      <c r="B1272">
        <v>24337</v>
      </c>
      <c r="C1272" t="s">
        <v>3389</v>
      </c>
      <c r="D1272" t="s">
        <v>920</v>
      </c>
      <c r="E1272" t="s">
        <v>1275</v>
      </c>
      <c r="F1272" t="s">
        <v>1921</v>
      </c>
      <c r="G1272">
        <v>43.51</v>
      </c>
      <c r="H1272" t="s">
        <v>248</v>
      </c>
      <c r="Q1272">
        <v>3366.3909014800001</v>
      </c>
      <c r="R1272">
        <v>32224.231434900001</v>
      </c>
      <c r="S1272">
        <v>-10.7872816826</v>
      </c>
      <c r="T1272">
        <v>-101.704465183</v>
      </c>
      <c r="U1272">
        <v>0</v>
      </c>
      <c r="V1272">
        <v>0</v>
      </c>
    </row>
    <row r="1273" spans="1:22" x14ac:dyDescent="0.2">
      <c r="A1273"/>
      <c r="B1273">
        <v>24338</v>
      </c>
      <c r="C1273" t="s">
        <v>3390</v>
      </c>
      <c r="D1273" t="s">
        <v>920</v>
      </c>
      <c r="E1273" t="s">
        <v>1275</v>
      </c>
      <c r="F1273" t="s">
        <v>1921</v>
      </c>
      <c r="G1273">
        <v>46.51</v>
      </c>
      <c r="H1273" t="s">
        <v>248</v>
      </c>
      <c r="Q1273">
        <v>3365.7797499799999</v>
      </c>
      <c r="R1273">
        <v>32221.294345900002</v>
      </c>
      <c r="S1273">
        <v>-10.7869090654</v>
      </c>
      <c r="T1273">
        <v>-101.80464325</v>
      </c>
      <c r="U1273">
        <v>0</v>
      </c>
      <c r="V1273">
        <v>0</v>
      </c>
    </row>
    <row r="1274" spans="1:22" x14ac:dyDescent="0.2">
      <c r="A1274"/>
      <c r="B1274">
        <v>24339</v>
      </c>
      <c r="C1274" t="s">
        <v>3391</v>
      </c>
      <c r="D1274" t="s">
        <v>920</v>
      </c>
      <c r="E1274" t="s">
        <v>1275</v>
      </c>
      <c r="F1274" t="s">
        <v>1921</v>
      </c>
      <c r="G1274">
        <v>66.430000000000007</v>
      </c>
      <c r="H1274" t="s">
        <v>248</v>
      </c>
      <c r="Q1274">
        <v>3361.5867127199999</v>
      </c>
      <c r="R1274">
        <v>32201.8207778</v>
      </c>
      <c r="S1274">
        <v>-10.7892527602</v>
      </c>
      <c r="T1274">
        <v>-102.497416942</v>
      </c>
      <c r="U1274">
        <v>0</v>
      </c>
      <c r="V1274">
        <v>0</v>
      </c>
    </row>
    <row r="1275" spans="1:22" x14ac:dyDescent="0.2">
      <c r="A1275"/>
      <c r="B1275">
        <v>24340</v>
      </c>
      <c r="C1275" t="s">
        <v>3392</v>
      </c>
      <c r="D1275" t="s">
        <v>920</v>
      </c>
      <c r="E1275" t="s">
        <v>1275</v>
      </c>
      <c r="F1275" t="s">
        <v>1921</v>
      </c>
      <c r="G1275">
        <v>69.430000000000007</v>
      </c>
      <c r="H1275" t="s">
        <v>248</v>
      </c>
      <c r="Q1275">
        <v>3360.9354284000001</v>
      </c>
      <c r="R1275">
        <v>32198.892326500001</v>
      </c>
      <c r="S1275">
        <v>-10.7899143456</v>
      </c>
      <c r="T1275">
        <v>-102.57650466600001</v>
      </c>
      <c r="U1275">
        <v>0</v>
      </c>
      <c r="V1275">
        <v>0</v>
      </c>
    </row>
    <row r="1276" spans="1:22" x14ac:dyDescent="0.2">
      <c r="A1276"/>
      <c r="B1276">
        <v>24341</v>
      </c>
      <c r="C1276" t="s">
        <v>3393</v>
      </c>
      <c r="D1276" t="s">
        <v>920</v>
      </c>
      <c r="E1276" t="s">
        <v>1275</v>
      </c>
      <c r="F1276" t="s">
        <v>1921</v>
      </c>
      <c r="G1276">
        <v>127.45</v>
      </c>
      <c r="H1276" t="s">
        <v>248</v>
      </c>
      <c r="Q1276">
        <v>3347.9907043399999</v>
      </c>
      <c r="R1276">
        <v>32142.334955400001</v>
      </c>
      <c r="S1276">
        <v>-10.7922374763</v>
      </c>
      <c r="T1276">
        <v>-103.080993753</v>
      </c>
      <c r="U1276">
        <v>0</v>
      </c>
      <c r="V1276">
        <v>0</v>
      </c>
    </row>
    <row r="1277" spans="1:22" x14ac:dyDescent="0.2">
      <c r="A1277"/>
      <c r="B1277">
        <v>24342</v>
      </c>
      <c r="C1277" t="s">
        <v>3394</v>
      </c>
      <c r="D1277" t="s">
        <v>920</v>
      </c>
      <c r="E1277" t="s">
        <v>1275</v>
      </c>
      <c r="F1277" t="s">
        <v>1921</v>
      </c>
      <c r="G1277">
        <v>162.55000000000001</v>
      </c>
      <c r="H1277" t="s">
        <v>248</v>
      </c>
      <c r="Q1277">
        <v>3339.9887106900001</v>
      </c>
      <c r="R1277">
        <v>32108.1592781</v>
      </c>
      <c r="S1277">
        <v>-10.7919268299</v>
      </c>
      <c r="T1277">
        <v>-103.27515053400001</v>
      </c>
      <c r="U1277">
        <v>0</v>
      </c>
      <c r="V1277">
        <v>0</v>
      </c>
    </row>
    <row r="1278" spans="1:22" x14ac:dyDescent="0.2">
      <c r="A1278"/>
      <c r="B1278">
        <v>24343</v>
      </c>
      <c r="C1278" t="s">
        <v>3395</v>
      </c>
      <c r="D1278" t="s">
        <v>920</v>
      </c>
      <c r="E1278" t="s">
        <v>1275</v>
      </c>
      <c r="F1278" t="s">
        <v>1921</v>
      </c>
      <c r="G1278">
        <v>165.55</v>
      </c>
      <c r="H1278" t="s">
        <v>248</v>
      </c>
      <c r="Q1278">
        <v>3339.29940403</v>
      </c>
      <c r="R1278">
        <v>32105.2395425</v>
      </c>
      <c r="S1278">
        <v>-10.7919097876</v>
      </c>
      <c r="T1278">
        <v>-103.291781679</v>
      </c>
      <c r="U1278">
        <v>0</v>
      </c>
      <c r="V1278">
        <v>0</v>
      </c>
    </row>
    <row r="1279" spans="1:22" x14ac:dyDescent="0.2">
      <c r="A1279"/>
      <c r="B1279">
        <v>24344</v>
      </c>
      <c r="C1279" t="s">
        <v>3396</v>
      </c>
      <c r="D1279" t="s">
        <v>920</v>
      </c>
      <c r="E1279" t="s">
        <v>1275</v>
      </c>
      <c r="F1279" t="s">
        <v>1921</v>
      </c>
      <c r="G1279">
        <v>185.47</v>
      </c>
      <c r="H1279" t="s">
        <v>248</v>
      </c>
      <c r="Q1279">
        <v>3334.7008967699999</v>
      </c>
      <c r="R1279">
        <v>32085.8575919</v>
      </c>
      <c r="S1279">
        <v>-10.7918346047</v>
      </c>
      <c r="T1279">
        <v>-103.40235847</v>
      </c>
      <c r="U1279">
        <v>0</v>
      </c>
      <c r="V1279">
        <v>0</v>
      </c>
    </row>
    <row r="1280" spans="1:22" x14ac:dyDescent="0.2">
      <c r="A1280"/>
      <c r="B1280">
        <v>24345</v>
      </c>
      <c r="C1280" t="s">
        <v>3397</v>
      </c>
      <c r="D1280" t="s">
        <v>920</v>
      </c>
      <c r="E1280" t="s">
        <v>1275</v>
      </c>
      <c r="F1280" t="s">
        <v>1921</v>
      </c>
      <c r="G1280">
        <v>188.47</v>
      </c>
      <c r="H1280" t="s">
        <v>248</v>
      </c>
      <c r="Q1280">
        <v>3334.0051082999998</v>
      </c>
      <c r="R1280">
        <v>32082.939394100002</v>
      </c>
      <c r="S1280">
        <v>-10.7918290019</v>
      </c>
      <c r="T1280">
        <v>-103.419033588</v>
      </c>
      <c r="U1280">
        <v>0</v>
      </c>
      <c r="V1280">
        <v>0</v>
      </c>
    </row>
    <row r="1281" spans="1:22" x14ac:dyDescent="0.2">
      <c r="A1281"/>
      <c r="B1281">
        <v>24346</v>
      </c>
      <c r="C1281" t="s">
        <v>3398</v>
      </c>
      <c r="D1281" t="s">
        <v>920</v>
      </c>
      <c r="E1281" t="s">
        <v>1275</v>
      </c>
      <c r="F1281" t="s">
        <v>1921</v>
      </c>
      <c r="G1281">
        <v>240.89</v>
      </c>
      <c r="H1281" t="s">
        <v>248</v>
      </c>
      <c r="Q1281">
        <v>3321.7100655600002</v>
      </c>
      <c r="R1281">
        <v>32031.981741399999</v>
      </c>
      <c r="S1281">
        <v>-10.791972770199999</v>
      </c>
      <c r="T1281">
        <v>-103.71133240100001</v>
      </c>
      <c r="U1281">
        <v>0</v>
      </c>
      <c r="V1281">
        <v>0</v>
      </c>
    </row>
    <row r="1282" spans="1:22" x14ac:dyDescent="0.2">
      <c r="A1282"/>
      <c r="B1282">
        <v>24347</v>
      </c>
      <c r="C1282" t="s">
        <v>3399</v>
      </c>
      <c r="D1282" t="s">
        <v>920</v>
      </c>
      <c r="E1282" t="s">
        <v>1275</v>
      </c>
      <c r="F1282" t="s">
        <v>1921</v>
      </c>
      <c r="G1282">
        <v>290.85000000000002</v>
      </c>
      <c r="H1282" t="s">
        <v>248</v>
      </c>
      <c r="Q1282">
        <v>3309.7495033199998</v>
      </c>
      <c r="R1282">
        <v>31983.4746123</v>
      </c>
      <c r="S1282">
        <v>-10.7925352862</v>
      </c>
      <c r="T1282">
        <v>-103.991549545</v>
      </c>
      <c r="U1282">
        <v>0</v>
      </c>
      <c r="V1282">
        <v>0</v>
      </c>
    </row>
    <row r="1283" spans="1:22" x14ac:dyDescent="0.2">
      <c r="A1283"/>
      <c r="B1283">
        <v>24348</v>
      </c>
      <c r="C1283" t="s">
        <v>3400</v>
      </c>
      <c r="D1283" t="s">
        <v>920</v>
      </c>
      <c r="E1283" t="s">
        <v>1275</v>
      </c>
      <c r="F1283" t="s">
        <v>2360</v>
      </c>
      <c r="G1283">
        <v>57.8</v>
      </c>
      <c r="H1283" t="s">
        <v>248</v>
      </c>
      <c r="Q1283">
        <v>3279.7252853700002</v>
      </c>
      <c r="R1283">
        <v>31862.810310000001</v>
      </c>
      <c r="S1283">
        <v>-10.790462487499999</v>
      </c>
      <c r="T1283">
        <v>-102.28212434</v>
      </c>
      <c r="U1283">
        <v>0</v>
      </c>
      <c r="V1283">
        <v>0</v>
      </c>
    </row>
    <row r="1284" spans="1:22" x14ac:dyDescent="0.2">
      <c r="A1284"/>
      <c r="B1284">
        <v>24349</v>
      </c>
      <c r="C1284" t="s">
        <v>3401</v>
      </c>
      <c r="D1284" t="s">
        <v>920</v>
      </c>
      <c r="E1284" t="s">
        <v>1275</v>
      </c>
      <c r="F1284" t="s">
        <v>2360</v>
      </c>
      <c r="G1284">
        <v>78.8</v>
      </c>
      <c r="H1284" t="s">
        <v>248</v>
      </c>
      <c r="Q1284">
        <v>3275.39172349</v>
      </c>
      <c r="R1284">
        <v>31842.262463300001</v>
      </c>
      <c r="S1284">
        <v>-10.791031582700001</v>
      </c>
      <c r="T1284">
        <v>-101.535810037</v>
      </c>
      <c r="U1284">
        <v>0</v>
      </c>
      <c r="V1284">
        <v>0</v>
      </c>
    </row>
    <row r="1285" spans="1:22" x14ac:dyDescent="0.2">
      <c r="A1285"/>
      <c r="B1285">
        <v>24350</v>
      </c>
      <c r="C1285" t="s">
        <v>3402</v>
      </c>
      <c r="D1285" t="s">
        <v>920</v>
      </c>
      <c r="E1285" t="s">
        <v>1275</v>
      </c>
      <c r="F1285" t="s">
        <v>2360</v>
      </c>
      <c r="G1285">
        <v>112.8</v>
      </c>
      <c r="H1285" t="s">
        <v>248</v>
      </c>
      <c r="Q1285">
        <v>3268.9456117099999</v>
      </c>
      <c r="R1285">
        <v>31808.879767900002</v>
      </c>
      <c r="S1285">
        <v>-10.790728598499999</v>
      </c>
      <c r="T1285">
        <v>-100.32120209199999</v>
      </c>
      <c r="U1285">
        <v>0</v>
      </c>
      <c r="V1285">
        <v>0</v>
      </c>
    </row>
    <row r="1286" spans="1:22" x14ac:dyDescent="0.2">
      <c r="A1286"/>
      <c r="B1286">
        <v>24351</v>
      </c>
      <c r="C1286" t="s">
        <v>3403</v>
      </c>
      <c r="D1286" t="s">
        <v>920</v>
      </c>
      <c r="E1286" t="s">
        <v>1275</v>
      </c>
      <c r="F1286" t="s">
        <v>2360</v>
      </c>
      <c r="G1286">
        <v>161.47999999999999</v>
      </c>
      <c r="H1286" t="s">
        <v>248</v>
      </c>
      <c r="Q1286">
        <v>3260.95645414</v>
      </c>
      <c r="R1286">
        <v>31760.861740200002</v>
      </c>
      <c r="S1286">
        <v>-10.787659530599999</v>
      </c>
      <c r="T1286">
        <v>-98.5686320951</v>
      </c>
      <c r="U1286">
        <v>0</v>
      </c>
      <c r="V1286">
        <v>0</v>
      </c>
    </row>
    <row r="1287" spans="1:22" x14ac:dyDescent="0.2">
      <c r="A1287"/>
      <c r="B1287">
        <v>24352</v>
      </c>
      <c r="C1287" t="s">
        <v>3404</v>
      </c>
      <c r="D1287" t="s">
        <v>920</v>
      </c>
      <c r="E1287" t="s">
        <v>1275</v>
      </c>
      <c r="F1287" t="s">
        <v>2360</v>
      </c>
      <c r="G1287">
        <v>229.61</v>
      </c>
      <c r="H1287" t="s">
        <v>248</v>
      </c>
      <c r="Q1287">
        <v>3252.2610486399999</v>
      </c>
      <c r="R1287">
        <v>31693.294241299998</v>
      </c>
      <c r="S1287">
        <v>-10.785030716</v>
      </c>
      <c r="T1287">
        <v>-96.099048542199995</v>
      </c>
      <c r="U1287">
        <v>0</v>
      </c>
      <c r="V1287">
        <v>0</v>
      </c>
    </row>
    <row r="1288" spans="1:22" x14ac:dyDescent="0.2">
      <c r="A1288"/>
      <c r="B1288">
        <v>24353</v>
      </c>
      <c r="C1288" t="s">
        <v>3405</v>
      </c>
      <c r="D1288" t="s">
        <v>920</v>
      </c>
      <c r="E1288" t="s">
        <v>1275</v>
      </c>
      <c r="F1288" t="s">
        <v>2360</v>
      </c>
      <c r="G1288">
        <v>273.49</v>
      </c>
      <c r="H1288" t="s">
        <v>248</v>
      </c>
      <c r="Q1288">
        <v>3248.1982929400001</v>
      </c>
      <c r="R1288">
        <v>31649.604095499999</v>
      </c>
      <c r="S1288">
        <v>-10.801334070599999</v>
      </c>
      <c r="T1288">
        <v>-94.568987993199997</v>
      </c>
      <c r="U1288">
        <v>0</v>
      </c>
      <c r="V1288">
        <v>0</v>
      </c>
    </row>
    <row r="1289" spans="1:22" x14ac:dyDescent="0.2">
      <c r="A1289"/>
      <c r="B1289">
        <v>24354</v>
      </c>
      <c r="C1289" t="s">
        <v>3406</v>
      </c>
      <c r="D1289" t="s">
        <v>920</v>
      </c>
      <c r="E1289" t="s">
        <v>1275</v>
      </c>
      <c r="F1289" t="s">
        <v>2360</v>
      </c>
      <c r="G1289">
        <v>334.91</v>
      </c>
      <c r="H1289" t="s">
        <v>248</v>
      </c>
      <c r="Q1289">
        <v>3243.5583766599998</v>
      </c>
      <c r="R1289">
        <v>31588.3597243</v>
      </c>
      <c r="S1289">
        <v>-10.789124342599999</v>
      </c>
      <c r="T1289">
        <v>-94.123699426100004</v>
      </c>
      <c r="U1289">
        <v>0</v>
      </c>
      <c r="V1289">
        <v>0</v>
      </c>
    </row>
    <row r="1290" spans="1:22" x14ac:dyDescent="0.2">
      <c r="A1290"/>
      <c r="B1290">
        <v>24355</v>
      </c>
      <c r="C1290" t="s">
        <v>3407</v>
      </c>
      <c r="D1290" t="s">
        <v>1924</v>
      </c>
      <c r="E1290" t="s">
        <v>1275</v>
      </c>
      <c r="F1290" t="s">
        <v>1923</v>
      </c>
      <c r="G1290">
        <v>60.08</v>
      </c>
      <c r="H1290" t="s">
        <v>248</v>
      </c>
      <c r="Q1290">
        <v>3233.3315420099998</v>
      </c>
      <c r="R1290">
        <v>31462.707382799999</v>
      </c>
      <c r="S1290">
        <v>-11.296411836000001</v>
      </c>
      <c r="T1290">
        <v>-97.756995750300007</v>
      </c>
      <c r="U1290">
        <v>0</v>
      </c>
      <c r="V1290">
        <v>0</v>
      </c>
    </row>
    <row r="1291" spans="1:22" x14ac:dyDescent="0.2">
      <c r="A1291"/>
      <c r="B1291">
        <v>24356</v>
      </c>
      <c r="C1291" t="s">
        <v>3408</v>
      </c>
      <c r="D1291" t="s">
        <v>1924</v>
      </c>
      <c r="E1291" t="s">
        <v>1275</v>
      </c>
      <c r="F1291" t="s">
        <v>1923</v>
      </c>
      <c r="G1291">
        <v>176.45</v>
      </c>
      <c r="H1291" t="s">
        <v>248</v>
      </c>
      <c r="Q1291">
        <v>3178.41048933</v>
      </c>
      <c r="R1291">
        <v>31363.430808100002</v>
      </c>
      <c r="S1291">
        <v>-13.3892075084</v>
      </c>
      <c r="T1291">
        <v>-141.216912286</v>
      </c>
      <c r="U1291">
        <v>0</v>
      </c>
      <c r="V1291">
        <v>0</v>
      </c>
    </row>
    <row r="1292" spans="1:22" x14ac:dyDescent="0.2">
      <c r="A1292"/>
      <c r="B1292">
        <v>24357</v>
      </c>
      <c r="C1292" t="s">
        <v>3409</v>
      </c>
      <c r="D1292" t="s">
        <v>1924</v>
      </c>
      <c r="E1292" t="s">
        <v>1275</v>
      </c>
      <c r="F1292" t="s">
        <v>1923</v>
      </c>
      <c r="G1292">
        <v>272.97000000000003</v>
      </c>
      <c r="H1292" t="s">
        <v>248</v>
      </c>
      <c r="Q1292">
        <v>3093.7489046999999</v>
      </c>
      <c r="R1292">
        <v>31317.514183800002</v>
      </c>
      <c r="S1292">
        <v>-15.082376843800001</v>
      </c>
      <c r="T1292">
        <v>-154.66493704600001</v>
      </c>
      <c r="U1292">
        <v>0</v>
      </c>
      <c r="V1292">
        <v>0</v>
      </c>
    </row>
    <row r="1293" spans="1:22" x14ac:dyDescent="0.2">
      <c r="A1293"/>
      <c r="B1293">
        <v>24358</v>
      </c>
      <c r="C1293" t="s">
        <v>3410</v>
      </c>
      <c r="D1293" t="s">
        <v>920</v>
      </c>
      <c r="E1293" t="s">
        <v>1275</v>
      </c>
      <c r="F1293" t="s">
        <v>1923</v>
      </c>
      <c r="G1293">
        <v>293.97000000000003</v>
      </c>
      <c r="H1293" t="s">
        <v>248</v>
      </c>
      <c r="Q1293">
        <v>3074.74658783</v>
      </c>
      <c r="R1293">
        <v>31308.5822257</v>
      </c>
      <c r="S1293">
        <v>-15.444799122099999</v>
      </c>
      <c r="T1293">
        <v>-154.918436813</v>
      </c>
      <c r="U1293">
        <v>0</v>
      </c>
      <c r="V1293">
        <v>0</v>
      </c>
    </row>
    <row r="1294" spans="1:22" x14ac:dyDescent="0.2">
      <c r="A1294"/>
      <c r="B1294">
        <v>24359</v>
      </c>
      <c r="C1294" t="s">
        <v>3411</v>
      </c>
      <c r="D1294" t="s">
        <v>920</v>
      </c>
      <c r="E1294" t="s">
        <v>1275</v>
      </c>
      <c r="F1294" t="s">
        <v>1923</v>
      </c>
      <c r="G1294">
        <v>314.97000000000003</v>
      </c>
      <c r="H1294" t="s">
        <v>248</v>
      </c>
      <c r="Q1294">
        <v>3055.7319965500001</v>
      </c>
      <c r="R1294">
        <v>31299.676582399999</v>
      </c>
      <c r="S1294">
        <v>-15.8118669426</v>
      </c>
      <c r="T1294">
        <v>-154.83611026599999</v>
      </c>
      <c r="U1294">
        <v>0</v>
      </c>
      <c r="V1294">
        <v>0</v>
      </c>
    </row>
    <row r="1295" spans="1:22" x14ac:dyDescent="0.2">
      <c r="A1295"/>
      <c r="B1295">
        <v>24360</v>
      </c>
      <c r="C1295" t="s">
        <v>3412</v>
      </c>
      <c r="D1295" t="s">
        <v>1924</v>
      </c>
      <c r="E1295" t="s">
        <v>1275</v>
      </c>
      <c r="F1295" t="s">
        <v>1922</v>
      </c>
      <c r="G1295">
        <v>238.45</v>
      </c>
      <c r="H1295" t="s">
        <v>248</v>
      </c>
      <c r="Q1295">
        <v>3197.02871516</v>
      </c>
      <c r="R1295">
        <v>31373.7408344</v>
      </c>
      <c r="S1295">
        <v>-13.015897647099999</v>
      </c>
      <c r="T1295">
        <v>-133.970378133</v>
      </c>
      <c r="U1295">
        <v>0</v>
      </c>
      <c r="V1295">
        <v>0</v>
      </c>
    </row>
    <row r="1296" spans="1:22" x14ac:dyDescent="0.2">
      <c r="A1296"/>
      <c r="B1296">
        <v>24361</v>
      </c>
      <c r="C1296" t="s">
        <v>3413</v>
      </c>
      <c r="D1296" t="s">
        <v>1924</v>
      </c>
      <c r="E1296" t="s">
        <v>1275</v>
      </c>
      <c r="F1296" t="s">
        <v>1922</v>
      </c>
      <c r="G1296">
        <v>325.01</v>
      </c>
      <c r="H1296" t="s">
        <v>248</v>
      </c>
      <c r="Q1296">
        <v>3124.5110596200002</v>
      </c>
      <c r="R1296">
        <v>31327.384872400002</v>
      </c>
      <c r="S1296">
        <v>-14.5218102929</v>
      </c>
      <c r="T1296">
        <v>-153.56342641399999</v>
      </c>
      <c r="U1296">
        <v>0</v>
      </c>
      <c r="V1296">
        <v>0</v>
      </c>
    </row>
    <row r="1297" spans="1:22" x14ac:dyDescent="0.2">
      <c r="A1297"/>
      <c r="B1297">
        <v>24362</v>
      </c>
      <c r="C1297" t="s">
        <v>3414</v>
      </c>
      <c r="D1297" t="s">
        <v>1924</v>
      </c>
      <c r="E1297" t="s">
        <v>1275</v>
      </c>
      <c r="F1297" t="s">
        <v>1922</v>
      </c>
      <c r="G1297">
        <v>354.82</v>
      </c>
      <c r="H1297" t="s">
        <v>248</v>
      </c>
      <c r="Q1297">
        <v>3097.6738049300002</v>
      </c>
      <c r="R1297">
        <v>31314.419220799999</v>
      </c>
      <c r="S1297">
        <v>-15.034334208700001</v>
      </c>
      <c r="T1297">
        <v>-154.63743856299999</v>
      </c>
      <c r="U1297">
        <v>0</v>
      </c>
      <c r="V1297">
        <v>0</v>
      </c>
    </row>
    <row r="1298" spans="1:22" x14ac:dyDescent="0.2">
      <c r="A1298"/>
      <c r="B1298">
        <v>24363</v>
      </c>
      <c r="C1298" t="s">
        <v>3415</v>
      </c>
      <c r="D1298" t="s">
        <v>920</v>
      </c>
      <c r="E1298" t="s">
        <v>1275</v>
      </c>
      <c r="F1298" t="s">
        <v>1922</v>
      </c>
      <c r="G1298">
        <v>375.82</v>
      </c>
      <c r="H1298" t="s">
        <v>248</v>
      </c>
      <c r="Q1298">
        <v>3078.6826400899999</v>
      </c>
      <c r="R1298">
        <v>31305.464111000001</v>
      </c>
      <c r="S1298">
        <v>-15.410234429899999</v>
      </c>
      <c r="T1298">
        <v>-154.811823637</v>
      </c>
      <c r="U1298">
        <v>0</v>
      </c>
      <c r="V1298">
        <v>0</v>
      </c>
    </row>
    <row r="1299" spans="1:22" x14ac:dyDescent="0.2">
      <c r="A1299"/>
      <c r="B1299">
        <v>24364</v>
      </c>
      <c r="C1299" t="s">
        <v>3416</v>
      </c>
      <c r="D1299" t="s">
        <v>920</v>
      </c>
      <c r="E1299" t="s">
        <v>1275</v>
      </c>
      <c r="F1299" t="s">
        <v>1922</v>
      </c>
      <c r="G1299">
        <v>396.82</v>
      </c>
      <c r="H1299" t="s">
        <v>248</v>
      </c>
      <c r="Q1299">
        <v>3059.6976777199998</v>
      </c>
      <c r="R1299">
        <v>31296.495877400001</v>
      </c>
      <c r="S1299">
        <v>-15.7857058304</v>
      </c>
      <c r="T1299">
        <v>-154.53507997200001</v>
      </c>
      <c r="U1299">
        <v>0</v>
      </c>
      <c r="V1299">
        <v>0</v>
      </c>
    </row>
    <row r="1300" spans="1:22" x14ac:dyDescent="0.2">
      <c r="A1300"/>
      <c r="B1300">
        <v>24365</v>
      </c>
      <c r="C1300" t="s">
        <v>3417</v>
      </c>
      <c r="D1300" t="s">
        <v>920</v>
      </c>
      <c r="E1300" t="s">
        <v>1275</v>
      </c>
      <c r="F1300" t="s">
        <v>1915</v>
      </c>
      <c r="G1300">
        <v>106.66612236</v>
      </c>
      <c r="H1300" t="s">
        <v>248</v>
      </c>
      <c r="Q1300">
        <v>7088.4383615899997</v>
      </c>
      <c r="R1300">
        <v>37064.144989499997</v>
      </c>
      <c r="S1300">
        <v>-9.3303331048999993</v>
      </c>
      <c r="T1300">
        <v>53.217440557400003</v>
      </c>
      <c r="U1300">
        <v>0</v>
      </c>
      <c r="V1300">
        <v>0</v>
      </c>
    </row>
    <row r="1301" spans="1:22" x14ac:dyDescent="0.2">
      <c r="A1301"/>
      <c r="B1301">
        <v>24366</v>
      </c>
      <c r="C1301" t="s">
        <v>3418</v>
      </c>
      <c r="D1301" t="s">
        <v>920</v>
      </c>
      <c r="E1301" t="s">
        <v>1275</v>
      </c>
      <c r="F1301" t="s">
        <v>1915</v>
      </c>
      <c r="G1301">
        <v>127.195758228</v>
      </c>
      <c r="H1301" t="s">
        <v>248</v>
      </c>
      <c r="Q1301">
        <v>7100.7251588099998</v>
      </c>
      <c r="R1301">
        <v>37080.590711600002</v>
      </c>
      <c r="S1301">
        <v>-9.52623917869</v>
      </c>
      <c r="T1301">
        <v>53.255995076300003</v>
      </c>
      <c r="U1301">
        <v>0</v>
      </c>
      <c r="V1301">
        <v>0</v>
      </c>
    </row>
    <row r="1302" spans="1:22" x14ac:dyDescent="0.2">
      <c r="A1302"/>
      <c r="B1302">
        <v>24367</v>
      </c>
      <c r="C1302" t="s">
        <v>3419</v>
      </c>
      <c r="D1302" t="s">
        <v>920</v>
      </c>
      <c r="E1302" t="s">
        <v>1275</v>
      </c>
      <c r="F1302" t="s">
        <v>1915</v>
      </c>
      <c r="G1302">
        <v>252.563401261</v>
      </c>
      <c r="H1302" t="s">
        <v>248</v>
      </c>
      <c r="Q1302">
        <v>7170.9660449700004</v>
      </c>
      <c r="R1302">
        <v>37184.044850300001</v>
      </c>
      <c r="S1302">
        <v>-11.280000878199999</v>
      </c>
      <c r="T1302">
        <v>66.896980611100005</v>
      </c>
      <c r="U1302">
        <v>0</v>
      </c>
      <c r="V1302">
        <v>0</v>
      </c>
    </row>
    <row r="1303" spans="1:22" x14ac:dyDescent="0.2">
      <c r="A1303"/>
      <c r="B1303">
        <v>24368</v>
      </c>
      <c r="C1303" t="s">
        <v>3420</v>
      </c>
      <c r="D1303" t="s">
        <v>920</v>
      </c>
      <c r="E1303" t="s">
        <v>1275</v>
      </c>
      <c r="F1303" t="s">
        <v>1915</v>
      </c>
      <c r="G1303">
        <v>337.18460510599999</v>
      </c>
      <c r="H1303" t="s">
        <v>248</v>
      </c>
      <c r="Q1303">
        <v>7186.3002949600004</v>
      </c>
      <c r="R1303">
        <v>37266.564681900003</v>
      </c>
      <c r="S1303">
        <v>-12.4639741699</v>
      </c>
      <c r="T1303">
        <v>92.098603570700007</v>
      </c>
      <c r="U1303">
        <v>0</v>
      </c>
      <c r="V1303">
        <v>0</v>
      </c>
    </row>
    <row r="1304" spans="1:22" x14ac:dyDescent="0.2">
      <c r="A1304"/>
      <c r="B1304">
        <v>24369</v>
      </c>
      <c r="C1304" t="s">
        <v>3421</v>
      </c>
      <c r="D1304" t="s">
        <v>920</v>
      </c>
      <c r="E1304" t="s">
        <v>1275</v>
      </c>
      <c r="F1304" t="s">
        <v>1915</v>
      </c>
      <c r="G1304">
        <v>396.30995640600003</v>
      </c>
      <c r="H1304" t="s">
        <v>248</v>
      </c>
      <c r="Q1304">
        <v>7175.0931462199997</v>
      </c>
      <c r="R1304">
        <v>37324.3715075</v>
      </c>
      <c r="S1304">
        <v>-13.284147012</v>
      </c>
      <c r="T1304">
        <v>109.86167254599999</v>
      </c>
      <c r="U1304">
        <v>0</v>
      </c>
      <c r="V1304">
        <v>0</v>
      </c>
    </row>
    <row r="1305" spans="1:22" x14ac:dyDescent="0.2">
      <c r="A1305"/>
      <c r="B1305">
        <v>24370</v>
      </c>
      <c r="C1305" t="s">
        <v>3422</v>
      </c>
      <c r="D1305" t="s">
        <v>920</v>
      </c>
      <c r="E1305" t="s">
        <v>1275</v>
      </c>
      <c r="F1305" t="s">
        <v>1915</v>
      </c>
      <c r="G1305">
        <v>456.35425331099998</v>
      </c>
      <c r="H1305" t="s">
        <v>248</v>
      </c>
      <c r="Q1305">
        <v>7146.2337533299997</v>
      </c>
      <c r="R1305">
        <v>37376.743961200002</v>
      </c>
      <c r="S1305">
        <v>-14.0004467921</v>
      </c>
      <c r="T1305">
        <v>127.62048156199999</v>
      </c>
      <c r="U1305">
        <v>0</v>
      </c>
      <c r="V1305">
        <v>0</v>
      </c>
    </row>
    <row r="1306" spans="1:22" x14ac:dyDescent="0.2">
      <c r="A1306"/>
      <c r="B1306">
        <v>24371</v>
      </c>
      <c r="C1306" t="s">
        <v>3423</v>
      </c>
      <c r="D1306" t="s">
        <v>920</v>
      </c>
      <c r="E1306" t="s">
        <v>1275</v>
      </c>
      <c r="F1306" t="s">
        <v>1915</v>
      </c>
      <c r="G1306">
        <v>489.88599189500002</v>
      </c>
      <c r="H1306" t="s">
        <v>248</v>
      </c>
      <c r="Q1306">
        <v>7123.5278518799996</v>
      </c>
      <c r="R1306">
        <v>37401.355218600002</v>
      </c>
      <c r="S1306">
        <v>-14.1469376555</v>
      </c>
      <c r="T1306">
        <v>137.98420984099999</v>
      </c>
      <c r="U1306">
        <v>0</v>
      </c>
      <c r="V1306">
        <v>0</v>
      </c>
    </row>
    <row r="1307" spans="1:22" x14ac:dyDescent="0.2">
      <c r="A1307"/>
      <c r="B1307">
        <v>24372</v>
      </c>
      <c r="C1307" t="s">
        <v>3424</v>
      </c>
      <c r="D1307" t="s">
        <v>920</v>
      </c>
      <c r="E1307" t="s">
        <v>1275</v>
      </c>
      <c r="F1307" t="s">
        <v>1915</v>
      </c>
      <c r="G1307">
        <v>607.19819685499999</v>
      </c>
      <c r="H1307" t="s">
        <v>248</v>
      </c>
      <c r="Q1307">
        <v>7026.1873630199998</v>
      </c>
      <c r="R1307">
        <v>37466.584375699997</v>
      </c>
      <c r="S1307">
        <v>-14.154368695500001</v>
      </c>
      <c r="T1307">
        <v>149.92255345500001</v>
      </c>
      <c r="U1307">
        <v>0</v>
      </c>
      <c r="V1307">
        <v>0</v>
      </c>
    </row>
    <row r="1308" spans="1:22" x14ac:dyDescent="0.2">
      <c r="A1308"/>
      <c r="B1308">
        <v>24373</v>
      </c>
      <c r="C1308" t="s">
        <v>3425</v>
      </c>
      <c r="D1308" t="s">
        <v>920</v>
      </c>
      <c r="E1308" t="s">
        <v>1275</v>
      </c>
      <c r="F1308" t="s">
        <v>1915</v>
      </c>
      <c r="G1308">
        <v>627.72783272300001</v>
      </c>
      <c r="H1308" t="s">
        <v>248</v>
      </c>
      <c r="Q1308">
        <v>7008.3186895199997</v>
      </c>
      <c r="R1308">
        <v>37476.691894099997</v>
      </c>
      <c r="S1308">
        <v>-14.1541618767</v>
      </c>
      <c r="T1308">
        <v>151.08789097499999</v>
      </c>
      <c r="U1308">
        <v>0</v>
      </c>
      <c r="V1308">
        <v>0</v>
      </c>
    </row>
    <row r="1309" spans="1:22" x14ac:dyDescent="0.2">
      <c r="A1309"/>
      <c r="B1309">
        <v>24374</v>
      </c>
      <c r="C1309" t="s">
        <v>3426</v>
      </c>
      <c r="D1309" t="s">
        <v>920</v>
      </c>
      <c r="E1309" t="s">
        <v>1275</v>
      </c>
      <c r="F1309" t="s">
        <v>1915</v>
      </c>
      <c r="G1309">
        <v>721.21588405900002</v>
      </c>
      <c r="H1309" t="s">
        <v>248</v>
      </c>
      <c r="Q1309">
        <v>6924.5026124300002</v>
      </c>
      <c r="R1309">
        <v>37518.026907699998</v>
      </c>
      <c r="S1309">
        <v>-14.153622411900001</v>
      </c>
      <c r="T1309">
        <v>156.41642158600001</v>
      </c>
      <c r="U1309">
        <v>0</v>
      </c>
      <c r="V1309">
        <v>0</v>
      </c>
    </row>
    <row r="1310" spans="1:22" x14ac:dyDescent="0.2">
      <c r="A1310"/>
      <c r="B1310">
        <v>24375</v>
      </c>
      <c r="C1310" t="s">
        <v>3427</v>
      </c>
      <c r="D1310" t="s">
        <v>920</v>
      </c>
      <c r="E1310" t="s">
        <v>1275</v>
      </c>
      <c r="F1310" t="s">
        <v>1915</v>
      </c>
      <c r="G1310">
        <v>735.74304543999995</v>
      </c>
      <c r="H1310" t="s">
        <v>248</v>
      </c>
      <c r="Q1310">
        <v>6911.1471123399997</v>
      </c>
      <c r="R1310">
        <v>37523.742267200003</v>
      </c>
      <c r="S1310">
        <v>-14.153597813799999</v>
      </c>
      <c r="T1310">
        <v>157.24763497399999</v>
      </c>
      <c r="U1310">
        <v>0</v>
      </c>
      <c r="V1310">
        <v>0</v>
      </c>
    </row>
    <row r="1311" spans="1:22" x14ac:dyDescent="0.2">
      <c r="A1311"/>
      <c r="B1311">
        <v>24376</v>
      </c>
      <c r="C1311" t="s">
        <v>3428</v>
      </c>
      <c r="D1311" t="s">
        <v>920</v>
      </c>
      <c r="E1311" t="s">
        <v>1275</v>
      </c>
      <c r="F1311" t="s">
        <v>1915</v>
      </c>
      <c r="G1311">
        <v>738.67585056400003</v>
      </c>
      <c r="H1311" t="s">
        <v>248</v>
      </c>
      <c r="Q1311">
        <v>6908.4408653</v>
      </c>
      <c r="R1311">
        <v>37524.872562099998</v>
      </c>
      <c r="S1311">
        <v>-14.153594779500001</v>
      </c>
      <c r="T1311">
        <v>157.41554862000001</v>
      </c>
      <c r="U1311">
        <v>0</v>
      </c>
      <c r="V1311">
        <v>0</v>
      </c>
    </row>
    <row r="1312" spans="1:22" x14ac:dyDescent="0.2">
      <c r="A1312"/>
      <c r="B1312">
        <v>24377</v>
      </c>
      <c r="C1312" t="s">
        <v>3429</v>
      </c>
      <c r="D1312" t="s">
        <v>920</v>
      </c>
      <c r="E1312" t="s">
        <v>1275</v>
      </c>
      <c r="F1312" t="s">
        <v>1915</v>
      </c>
      <c r="G1312">
        <v>758.14967658700004</v>
      </c>
      <c r="H1312" t="s">
        <v>248</v>
      </c>
      <c r="Q1312">
        <v>6890.3887300099996</v>
      </c>
      <c r="R1312">
        <v>37532.175871300002</v>
      </c>
      <c r="S1312">
        <v>-14.153591110100001</v>
      </c>
      <c r="T1312">
        <v>158.53138785100001</v>
      </c>
      <c r="U1312">
        <v>0</v>
      </c>
      <c r="V1312">
        <v>0</v>
      </c>
    </row>
    <row r="1313" spans="1:22" x14ac:dyDescent="0.2">
      <c r="A1313"/>
      <c r="B1313">
        <v>24378</v>
      </c>
      <c r="C1313" t="s">
        <v>3430</v>
      </c>
      <c r="D1313" t="s">
        <v>920</v>
      </c>
      <c r="E1313" t="s">
        <v>1275</v>
      </c>
      <c r="F1313" t="s">
        <v>1915</v>
      </c>
      <c r="G1313">
        <v>761.08248171100001</v>
      </c>
      <c r="H1313" t="s">
        <v>248</v>
      </c>
      <c r="Q1313">
        <v>6887.6578367700004</v>
      </c>
      <c r="R1313">
        <v>37533.245245899998</v>
      </c>
      <c r="S1313">
        <v>-14.1535930379</v>
      </c>
      <c r="T1313">
        <v>158.69957035799999</v>
      </c>
      <c r="U1313">
        <v>0</v>
      </c>
      <c r="V1313">
        <v>0</v>
      </c>
    </row>
    <row r="1314" spans="1:22" x14ac:dyDescent="0.2">
      <c r="A1314"/>
      <c r="B1314">
        <v>24379</v>
      </c>
      <c r="C1314" t="s">
        <v>3431</v>
      </c>
      <c r="D1314" t="s">
        <v>920</v>
      </c>
      <c r="E1314" t="s">
        <v>1275</v>
      </c>
      <c r="F1314" t="s">
        <v>1915</v>
      </c>
      <c r="G1314">
        <v>817.80293280900003</v>
      </c>
      <c r="H1314" t="s">
        <v>248</v>
      </c>
      <c r="Q1314">
        <v>6834.2549811999997</v>
      </c>
      <c r="R1314">
        <v>37552.336525899998</v>
      </c>
      <c r="S1314">
        <v>-14.153758032900001</v>
      </c>
      <c r="T1314">
        <v>161.95914173599999</v>
      </c>
      <c r="U1314">
        <v>0</v>
      </c>
      <c r="V1314">
        <v>0</v>
      </c>
    </row>
    <row r="1315" spans="1:22" x14ac:dyDescent="0.2">
      <c r="A1315"/>
      <c r="B1315">
        <v>24380</v>
      </c>
      <c r="C1315" t="s">
        <v>3432</v>
      </c>
      <c r="D1315" t="s">
        <v>920</v>
      </c>
      <c r="E1315" t="s">
        <v>1275</v>
      </c>
      <c r="F1315" t="s">
        <v>1915</v>
      </c>
      <c r="G1315">
        <v>852.11675276000005</v>
      </c>
      <c r="H1315" t="s">
        <v>248</v>
      </c>
      <c r="Q1315">
        <v>6801.4586441299998</v>
      </c>
      <c r="R1315">
        <v>37562.423334699997</v>
      </c>
      <c r="S1315">
        <v>-14.1558504</v>
      </c>
      <c r="T1315">
        <v>163.629512076</v>
      </c>
      <c r="U1315">
        <v>0</v>
      </c>
      <c r="V1315">
        <v>0</v>
      </c>
    </row>
    <row r="1316" spans="1:22" x14ac:dyDescent="0.2">
      <c r="A1316"/>
      <c r="B1316">
        <v>24381</v>
      </c>
      <c r="C1316" t="s">
        <v>3433</v>
      </c>
      <c r="D1316" t="s">
        <v>920</v>
      </c>
      <c r="E1316" t="s">
        <v>1275</v>
      </c>
      <c r="F1316" t="s">
        <v>1915</v>
      </c>
      <c r="G1316">
        <v>855.04955788400002</v>
      </c>
      <c r="H1316" t="s">
        <v>248</v>
      </c>
      <c r="Q1316">
        <v>6798.6444451400002</v>
      </c>
      <c r="R1316">
        <v>37563.248943099999</v>
      </c>
      <c r="S1316">
        <v>-14.1565464672</v>
      </c>
      <c r="T1316">
        <v>163.66900639100001</v>
      </c>
      <c r="U1316">
        <v>0</v>
      </c>
      <c r="V1316">
        <v>0</v>
      </c>
    </row>
    <row r="1317" spans="1:22" x14ac:dyDescent="0.2">
      <c r="A1317"/>
      <c r="B1317">
        <v>24382</v>
      </c>
      <c r="C1317" t="s">
        <v>3434</v>
      </c>
      <c r="D1317" t="s">
        <v>920</v>
      </c>
      <c r="E1317" t="s">
        <v>1275</v>
      </c>
      <c r="F1317" t="s">
        <v>1915</v>
      </c>
      <c r="G1317">
        <v>874.52338390700004</v>
      </c>
      <c r="H1317" t="s">
        <v>248</v>
      </c>
      <c r="Q1317">
        <v>6779.9467262199996</v>
      </c>
      <c r="R1317">
        <v>37568.691814700003</v>
      </c>
      <c r="S1317">
        <v>-14.1517369511</v>
      </c>
      <c r="T1317">
        <v>163.84747681900001</v>
      </c>
      <c r="U1317">
        <v>0</v>
      </c>
      <c r="V1317">
        <v>0</v>
      </c>
    </row>
    <row r="1318" spans="1:22" x14ac:dyDescent="0.2">
      <c r="A1318"/>
      <c r="B1318">
        <v>24383</v>
      </c>
      <c r="C1318" t="s">
        <v>3435</v>
      </c>
      <c r="D1318" t="s">
        <v>920</v>
      </c>
      <c r="E1318" t="s">
        <v>1275</v>
      </c>
      <c r="F1318" t="s">
        <v>1915</v>
      </c>
      <c r="G1318">
        <v>877.45618903100001</v>
      </c>
      <c r="H1318" t="s">
        <v>248</v>
      </c>
      <c r="Q1318">
        <v>6777.1295863300002</v>
      </c>
      <c r="R1318">
        <v>37569.507329200002</v>
      </c>
      <c r="S1318">
        <v>-14.1495781464</v>
      </c>
      <c r="T1318">
        <v>163.86231777</v>
      </c>
      <c r="U1318">
        <v>0</v>
      </c>
      <c r="V1318">
        <v>0</v>
      </c>
    </row>
    <row r="1319" spans="1:22" x14ac:dyDescent="0.2">
      <c r="A1319"/>
      <c r="B1319">
        <v>24384</v>
      </c>
      <c r="C1319" t="s">
        <v>3436</v>
      </c>
      <c r="D1319" t="s">
        <v>920</v>
      </c>
      <c r="E1319" t="s">
        <v>1275</v>
      </c>
      <c r="F1319" t="s">
        <v>1915</v>
      </c>
      <c r="G1319">
        <v>928.702070564</v>
      </c>
      <c r="H1319" t="s">
        <v>248</v>
      </c>
      <c r="Q1319">
        <v>6727.9130909599999</v>
      </c>
      <c r="R1319">
        <v>37583.785350099999</v>
      </c>
      <c r="S1319">
        <v>-14.0505785548</v>
      </c>
      <c r="T1319">
        <v>163.67458600000001</v>
      </c>
      <c r="U1319">
        <v>0</v>
      </c>
      <c r="V1319">
        <v>0</v>
      </c>
    </row>
    <row r="1320" spans="1:22" x14ac:dyDescent="0.2">
      <c r="A1320"/>
      <c r="B1320">
        <v>24385</v>
      </c>
      <c r="C1320" t="s">
        <v>3437</v>
      </c>
      <c r="D1320" t="s">
        <v>920</v>
      </c>
      <c r="E1320" t="s">
        <v>1275</v>
      </c>
      <c r="F1320" t="s">
        <v>1915</v>
      </c>
      <c r="G1320">
        <v>1008.01489713</v>
      </c>
      <c r="H1320" t="s">
        <v>248</v>
      </c>
      <c r="Q1320">
        <v>6652.4705513400004</v>
      </c>
      <c r="R1320">
        <v>37608.180716299998</v>
      </c>
      <c r="S1320">
        <v>-13.805472419000001</v>
      </c>
      <c r="T1320">
        <v>159.19190133000001</v>
      </c>
      <c r="U1320">
        <v>0</v>
      </c>
      <c r="V1320">
        <v>0</v>
      </c>
    </row>
    <row r="1321" spans="1:22" x14ac:dyDescent="0.2">
      <c r="A1321"/>
      <c r="B1321">
        <v>24386</v>
      </c>
      <c r="C1321" t="s">
        <v>3438</v>
      </c>
      <c r="D1321" t="s">
        <v>920</v>
      </c>
      <c r="E1321" t="s">
        <v>1275</v>
      </c>
      <c r="F1321" t="s">
        <v>1915</v>
      </c>
      <c r="G1321">
        <v>1028.544533</v>
      </c>
      <c r="H1321" t="s">
        <v>248</v>
      </c>
      <c r="Q1321">
        <v>6633.3717846</v>
      </c>
      <c r="R1321">
        <v>37615.709781199999</v>
      </c>
      <c r="S1321">
        <v>-13.764567373</v>
      </c>
      <c r="T1321">
        <v>158.05905536</v>
      </c>
      <c r="U1321">
        <v>0</v>
      </c>
      <c r="V1321">
        <v>0</v>
      </c>
    </row>
    <row r="1322" spans="1:22" x14ac:dyDescent="0.2">
      <c r="A1322"/>
      <c r="B1322">
        <v>24387</v>
      </c>
      <c r="C1322" t="s">
        <v>3439</v>
      </c>
      <c r="D1322" t="s">
        <v>920</v>
      </c>
      <c r="E1322" t="s">
        <v>1275</v>
      </c>
      <c r="F1322" t="s">
        <v>1915</v>
      </c>
      <c r="G1322">
        <v>1155.6327550399999</v>
      </c>
      <c r="H1322" t="s">
        <v>248</v>
      </c>
      <c r="Q1322">
        <v>6512.7552457199999</v>
      </c>
      <c r="R1322">
        <v>37655.038355600002</v>
      </c>
      <c r="S1322">
        <v>-12.844730871699999</v>
      </c>
      <c r="T1322">
        <v>168.36515933499999</v>
      </c>
      <c r="U1322">
        <v>0</v>
      </c>
      <c r="V1322">
        <v>0</v>
      </c>
    </row>
    <row r="1323" spans="1:22" x14ac:dyDescent="0.2">
      <c r="A1323"/>
      <c r="B1323">
        <v>24388</v>
      </c>
      <c r="C1323" t="s">
        <v>3440</v>
      </c>
      <c r="D1323" t="s">
        <v>920</v>
      </c>
      <c r="E1323" t="s">
        <v>1275</v>
      </c>
      <c r="F1323" t="s">
        <v>1915</v>
      </c>
      <c r="G1323">
        <v>1351.1530966400001</v>
      </c>
      <c r="H1323" t="s">
        <v>248</v>
      </c>
      <c r="Q1323">
        <v>6319.2446344800001</v>
      </c>
      <c r="R1323">
        <v>37682.393420200002</v>
      </c>
      <c r="S1323">
        <v>-8.0628297435499992</v>
      </c>
      <c r="T1323">
        <v>172.40573408399999</v>
      </c>
      <c r="U1323">
        <v>0</v>
      </c>
      <c r="V1323">
        <v>0</v>
      </c>
    </row>
    <row r="1324" spans="1:22" x14ac:dyDescent="0.2">
      <c r="A1324"/>
      <c r="B1324">
        <v>24389</v>
      </c>
      <c r="C1324" t="s">
        <v>3441</v>
      </c>
      <c r="D1324" t="s">
        <v>920</v>
      </c>
      <c r="E1324" t="s">
        <v>1275</v>
      </c>
      <c r="F1324" t="s">
        <v>1915</v>
      </c>
      <c r="G1324">
        <v>1546.67343824</v>
      </c>
      <c r="H1324" t="s">
        <v>248</v>
      </c>
      <c r="Q1324">
        <v>6125.5086557100003</v>
      </c>
      <c r="R1324">
        <v>37708.4765959</v>
      </c>
      <c r="S1324">
        <v>-4.8293733143999997</v>
      </c>
      <c r="T1324">
        <v>172.207893044</v>
      </c>
      <c r="U1324">
        <v>0</v>
      </c>
      <c r="V1324">
        <v>0</v>
      </c>
    </row>
    <row r="1325" spans="1:22" x14ac:dyDescent="0.2">
      <c r="A1325"/>
      <c r="B1325">
        <v>24390</v>
      </c>
      <c r="C1325" t="s">
        <v>3442</v>
      </c>
      <c r="D1325" t="s">
        <v>920</v>
      </c>
      <c r="E1325" t="s">
        <v>1275</v>
      </c>
      <c r="F1325" t="s">
        <v>1915</v>
      </c>
      <c r="G1325">
        <v>1742.1937798399999</v>
      </c>
      <c r="H1325" t="s">
        <v>248</v>
      </c>
      <c r="Q1325">
        <v>5933.1771307600002</v>
      </c>
      <c r="R1325">
        <v>37742.651344600003</v>
      </c>
      <c r="S1325">
        <v>-7.0192526070700003</v>
      </c>
      <c r="T1325">
        <v>174.026453858</v>
      </c>
      <c r="U1325">
        <v>0</v>
      </c>
      <c r="V1325">
        <v>0</v>
      </c>
    </row>
    <row r="1326" spans="1:22" x14ac:dyDescent="0.2">
      <c r="A1326"/>
      <c r="B1326">
        <v>24391</v>
      </c>
      <c r="C1326" t="s">
        <v>3443</v>
      </c>
      <c r="D1326" t="s">
        <v>920</v>
      </c>
      <c r="E1326" t="s">
        <v>1275</v>
      </c>
      <c r="F1326" t="s">
        <v>1915</v>
      </c>
      <c r="G1326">
        <v>1937.7141214400001</v>
      </c>
      <c r="H1326" t="s">
        <v>248</v>
      </c>
      <c r="Q1326">
        <v>5738.2843448000003</v>
      </c>
      <c r="R1326">
        <v>37748.541296900003</v>
      </c>
      <c r="S1326">
        <v>-11.5771309777</v>
      </c>
      <c r="T1326">
        <v>-173.558228109</v>
      </c>
      <c r="U1326">
        <v>0</v>
      </c>
      <c r="V1326">
        <v>0</v>
      </c>
    </row>
    <row r="1327" spans="1:22" x14ac:dyDescent="0.2">
      <c r="A1327"/>
      <c r="B1327">
        <v>24392</v>
      </c>
      <c r="C1327" t="s">
        <v>3444</v>
      </c>
      <c r="D1327" t="s">
        <v>920</v>
      </c>
      <c r="E1327" t="s">
        <v>1275</v>
      </c>
      <c r="F1327" t="s">
        <v>1915</v>
      </c>
      <c r="G1327">
        <v>2133.2344630399998</v>
      </c>
      <c r="H1327" t="s">
        <v>248</v>
      </c>
      <c r="Q1327">
        <v>5550.0092651200002</v>
      </c>
      <c r="R1327">
        <v>37698.047830099997</v>
      </c>
      <c r="S1327">
        <v>-10.8825951845</v>
      </c>
      <c r="T1327">
        <v>-160.05452672600001</v>
      </c>
      <c r="U1327">
        <v>0</v>
      </c>
      <c r="V1327">
        <v>0</v>
      </c>
    </row>
    <row r="1328" spans="1:22" x14ac:dyDescent="0.2">
      <c r="A1328"/>
      <c r="B1328">
        <v>24393</v>
      </c>
      <c r="C1328" t="s">
        <v>3445</v>
      </c>
      <c r="D1328" t="s">
        <v>920</v>
      </c>
      <c r="E1328" t="s">
        <v>1275</v>
      </c>
      <c r="F1328" t="s">
        <v>1915</v>
      </c>
      <c r="G1328">
        <v>2260.3226850800002</v>
      </c>
      <c r="H1328" t="s">
        <v>248</v>
      </c>
      <c r="Q1328">
        <v>5433.7639774700001</v>
      </c>
      <c r="R1328">
        <v>37647.284458399998</v>
      </c>
      <c r="S1328">
        <v>-10.0771348507</v>
      </c>
      <c r="T1328">
        <v>-149.16284662000001</v>
      </c>
      <c r="U1328">
        <v>0</v>
      </c>
      <c r="V1328">
        <v>0</v>
      </c>
    </row>
    <row r="1329" spans="1:22" x14ac:dyDescent="0.2">
      <c r="A1329"/>
      <c r="B1329">
        <v>24394</v>
      </c>
      <c r="C1329" t="s">
        <v>3446</v>
      </c>
      <c r="D1329" t="s">
        <v>920</v>
      </c>
      <c r="E1329" t="s">
        <v>1275</v>
      </c>
      <c r="F1329" t="s">
        <v>1915</v>
      </c>
      <c r="G1329">
        <v>2280.8523209499999</v>
      </c>
      <c r="H1329" t="s">
        <v>248</v>
      </c>
      <c r="Q1329">
        <v>5416.2705802600003</v>
      </c>
      <c r="R1329">
        <v>37636.540317500003</v>
      </c>
      <c r="S1329">
        <v>-10.0723375213</v>
      </c>
      <c r="T1329">
        <v>-148.04477951600001</v>
      </c>
      <c r="U1329">
        <v>0</v>
      </c>
      <c r="V1329">
        <v>0</v>
      </c>
    </row>
    <row r="1330" spans="1:22" x14ac:dyDescent="0.2">
      <c r="A1330"/>
      <c r="B1330">
        <v>24395</v>
      </c>
      <c r="C1330" t="s">
        <v>3447</v>
      </c>
      <c r="D1330" t="s">
        <v>920</v>
      </c>
      <c r="E1330" t="s">
        <v>1275</v>
      </c>
      <c r="F1330" t="s">
        <v>1915</v>
      </c>
      <c r="G1330">
        <v>2373.4312027000001</v>
      </c>
      <c r="H1330" t="s">
        <v>248</v>
      </c>
      <c r="Q1330">
        <v>5338.1802531399999</v>
      </c>
      <c r="R1330">
        <v>37586.814311800001</v>
      </c>
      <c r="S1330">
        <v>-10.0797785636</v>
      </c>
      <c r="T1330">
        <v>-147.122192506</v>
      </c>
      <c r="U1330">
        <v>0</v>
      </c>
      <c r="V1330">
        <v>0</v>
      </c>
    </row>
    <row r="1331" spans="1:22" x14ac:dyDescent="0.2">
      <c r="A1331"/>
      <c r="B1331">
        <v>24396</v>
      </c>
      <c r="C1331" t="s">
        <v>3448</v>
      </c>
      <c r="D1331" t="s">
        <v>920</v>
      </c>
      <c r="E1331" t="s">
        <v>1275</v>
      </c>
      <c r="F1331" t="s">
        <v>1915</v>
      </c>
      <c r="G1331">
        <v>2387.9583640800001</v>
      </c>
      <c r="H1331" t="s">
        <v>248</v>
      </c>
      <c r="Q1331">
        <v>5326.0053952300004</v>
      </c>
      <c r="R1331">
        <v>37578.889012</v>
      </c>
      <c r="S1331">
        <v>-10.089077706699999</v>
      </c>
      <c r="T1331">
        <v>-146.739492407</v>
      </c>
      <c r="U1331">
        <v>0</v>
      </c>
      <c r="V1331">
        <v>0</v>
      </c>
    </row>
    <row r="1332" spans="1:22" x14ac:dyDescent="0.2">
      <c r="A1332"/>
      <c r="B1332">
        <v>24397</v>
      </c>
      <c r="C1332" t="s">
        <v>3449</v>
      </c>
      <c r="D1332" t="s">
        <v>920</v>
      </c>
      <c r="E1332" t="s">
        <v>1275</v>
      </c>
      <c r="F1332" t="s">
        <v>1915</v>
      </c>
      <c r="G1332">
        <v>2390.8911692000001</v>
      </c>
      <c r="H1332" t="s">
        <v>248</v>
      </c>
      <c r="Q1332">
        <v>5323.5542424200003</v>
      </c>
      <c r="R1332">
        <v>37577.278672599998</v>
      </c>
      <c r="S1332">
        <v>-10.090073110000001</v>
      </c>
      <c r="T1332">
        <v>-146.65234457400001</v>
      </c>
      <c r="U1332">
        <v>0</v>
      </c>
      <c r="V1332">
        <v>0</v>
      </c>
    </row>
    <row r="1333" spans="1:22" x14ac:dyDescent="0.2">
      <c r="A1333"/>
      <c r="B1333">
        <v>24398</v>
      </c>
      <c r="C1333" t="s">
        <v>3450</v>
      </c>
      <c r="D1333" t="s">
        <v>920</v>
      </c>
      <c r="E1333" t="s">
        <v>1275</v>
      </c>
      <c r="F1333" t="s">
        <v>1915</v>
      </c>
      <c r="G1333">
        <v>2410.3649952199999</v>
      </c>
      <c r="H1333" t="s">
        <v>248</v>
      </c>
      <c r="Q1333">
        <v>5307.3467652199997</v>
      </c>
      <c r="R1333">
        <v>37566.483148799998</v>
      </c>
      <c r="S1333">
        <v>-10.0891673305</v>
      </c>
      <c r="T1333">
        <v>-145.98943623900001</v>
      </c>
      <c r="U1333">
        <v>0</v>
      </c>
      <c r="V1333">
        <v>0</v>
      </c>
    </row>
    <row r="1334" spans="1:22" x14ac:dyDescent="0.2">
      <c r="A1334"/>
      <c r="B1334">
        <v>24399</v>
      </c>
      <c r="C1334" t="s">
        <v>3451</v>
      </c>
      <c r="D1334" t="s">
        <v>920</v>
      </c>
      <c r="E1334" t="s">
        <v>1275</v>
      </c>
      <c r="F1334" t="s">
        <v>1915</v>
      </c>
      <c r="G1334">
        <v>2470.0182514500002</v>
      </c>
      <c r="H1334" t="s">
        <v>248</v>
      </c>
      <c r="Q1334">
        <v>5258.7611340699996</v>
      </c>
      <c r="R1334">
        <v>37531.884979399998</v>
      </c>
      <c r="S1334">
        <v>-10.079140157399999</v>
      </c>
      <c r="T1334">
        <v>-142.882029918</v>
      </c>
      <c r="U1334">
        <v>0</v>
      </c>
      <c r="V1334">
        <v>0</v>
      </c>
    </row>
    <row r="1335" spans="1:22" x14ac:dyDescent="0.2">
      <c r="A1335"/>
      <c r="B1335">
        <v>24400</v>
      </c>
      <c r="C1335" t="s">
        <v>3452</v>
      </c>
      <c r="D1335" t="s">
        <v>920</v>
      </c>
      <c r="E1335" t="s">
        <v>1275</v>
      </c>
      <c r="F1335" t="s">
        <v>1915</v>
      </c>
      <c r="G1335">
        <v>2504.3320714000001</v>
      </c>
      <c r="H1335" t="s">
        <v>248</v>
      </c>
      <c r="Q1335">
        <v>5231.7200750100001</v>
      </c>
      <c r="R1335">
        <v>37510.762633099999</v>
      </c>
      <c r="S1335">
        <v>-10.0747553253</v>
      </c>
      <c r="T1335">
        <v>-141.604044423</v>
      </c>
      <c r="U1335">
        <v>0</v>
      </c>
      <c r="V1335">
        <v>0</v>
      </c>
    </row>
    <row r="1336" spans="1:22" x14ac:dyDescent="0.2">
      <c r="A1336"/>
      <c r="B1336">
        <v>24401</v>
      </c>
      <c r="C1336" t="s">
        <v>3453</v>
      </c>
      <c r="D1336" t="s">
        <v>920</v>
      </c>
      <c r="E1336" t="s">
        <v>1275</v>
      </c>
      <c r="F1336" t="s">
        <v>1915</v>
      </c>
      <c r="G1336">
        <v>2526.7387025399998</v>
      </c>
      <c r="H1336" t="s">
        <v>248</v>
      </c>
      <c r="Q1336">
        <v>5214.1587813899996</v>
      </c>
      <c r="R1336">
        <v>37496.846636900002</v>
      </c>
      <c r="S1336">
        <v>-10.1131494481</v>
      </c>
      <c r="T1336">
        <v>-141.59268940300001</v>
      </c>
      <c r="U1336">
        <v>0</v>
      </c>
      <c r="V1336">
        <v>0</v>
      </c>
    </row>
    <row r="1337" spans="1:22" x14ac:dyDescent="0.2">
      <c r="A1337"/>
      <c r="B1337">
        <v>24402</v>
      </c>
      <c r="C1337" t="s">
        <v>3454</v>
      </c>
      <c r="D1337" t="s">
        <v>920</v>
      </c>
      <c r="E1337" t="s">
        <v>1275</v>
      </c>
      <c r="F1337" t="s">
        <v>1915</v>
      </c>
      <c r="G1337">
        <v>2529.6715076700002</v>
      </c>
      <c r="H1337" t="s">
        <v>248</v>
      </c>
      <c r="Q1337">
        <v>5211.8607005900003</v>
      </c>
      <c r="R1337">
        <v>37495.024579800003</v>
      </c>
      <c r="S1337">
        <v>-10.129820976</v>
      </c>
      <c r="T1337">
        <v>-141.588273528</v>
      </c>
      <c r="U1337">
        <v>0</v>
      </c>
      <c r="V1337">
        <v>0</v>
      </c>
    </row>
    <row r="1338" spans="1:22" x14ac:dyDescent="0.2">
      <c r="A1338"/>
      <c r="B1338">
        <v>24403</v>
      </c>
      <c r="C1338" t="s">
        <v>3455</v>
      </c>
      <c r="D1338" t="s">
        <v>920</v>
      </c>
      <c r="E1338" t="s">
        <v>1275</v>
      </c>
      <c r="F1338" t="s">
        <v>1915</v>
      </c>
      <c r="G1338">
        <v>2659.1841819400001</v>
      </c>
      <c r="H1338" t="s">
        <v>248</v>
      </c>
      <c r="Q1338">
        <v>5111.3724022599999</v>
      </c>
      <c r="R1338">
        <v>37413.397907999999</v>
      </c>
      <c r="S1338">
        <v>-12.8355092602</v>
      </c>
      <c r="T1338">
        <v>-138.18979989799999</v>
      </c>
      <c r="U1338">
        <v>0</v>
      </c>
      <c r="V1338">
        <v>0</v>
      </c>
    </row>
    <row r="1339" spans="1:22" x14ac:dyDescent="0.2">
      <c r="A1339"/>
      <c r="B1339">
        <v>24404</v>
      </c>
      <c r="C1339" t="s">
        <v>3456</v>
      </c>
      <c r="D1339" t="s">
        <v>920</v>
      </c>
      <c r="E1339" t="s">
        <v>1275</v>
      </c>
      <c r="F1339" t="s">
        <v>1915</v>
      </c>
      <c r="G1339">
        <v>2679.7138178099999</v>
      </c>
      <c r="H1339" t="s">
        <v>248</v>
      </c>
      <c r="Q1339">
        <v>5096.2547674999996</v>
      </c>
      <c r="R1339">
        <v>37399.518528599998</v>
      </c>
      <c r="S1339">
        <v>-13.347552564900001</v>
      </c>
      <c r="T1339">
        <v>-136.700679127</v>
      </c>
      <c r="U1339">
        <v>0</v>
      </c>
      <c r="V1339">
        <v>0</v>
      </c>
    </row>
    <row r="1340" spans="1:22" x14ac:dyDescent="0.2">
      <c r="A1340"/>
      <c r="B1340">
        <v>24405</v>
      </c>
      <c r="C1340" t="s">
        <v>3457</v>
      </c>
      <c r="D1340" t="s">
        <v>920</v>
      </c>
      <c r="E1340" t="s">
        <v>1275</v>
      </c>
      <c r="F1340" t="s">
        <v>1915</v>
      </c>
      <c r="G1340">
        <v>2797.0260227700001</v>
      </c>
      <c r="H1340" t="s">
        <v>248</v>
      </c>
      <c r="Q1340">
        <v>5017.16231229</v>
      </c>
      <c r="R1340">
        <v>37313.071444900001</v>
      </c>
      <c r="S1340">
        <v>-16.2587553523</v>
      </c>
      <c r="T1340">
        <v>-128.53759921700001</v>
      </c>
      <c r="U1340">
        <v>0</v>
      </c>
      <c r="V1340">
        <v>0</v>
      </c>
    </row>
    <row r="1341" spans="1:22" x14ac:dyDescent="0.2">
      <c r="A1341"/>
      <c r="B1341">
        <v>24406</v>
      </c>
      <c r="C1341" t="s">
        <v>3458</v>
      </c>
      <c r="D1341" t="s">
        <v>920</v>
      </c>
      <c r="E1341" t="s">
        <v>1275</v>
      </c>
      <c r="F1341" t="s">
        <v>1915</v>
      </c>
      <c r="G1341">
        <v>2992.54636437</v>
      </c>
      <c r="H1341" t="s">
        <v>248</v>
      </c>
      <c r="Q1341">
        <v>4901.7235110299998</v>
      </c>
      <c r="R1341">
        <v>37155.560030300003</v>
      </c>
      <c r="S1341">
        <v>-17.487576844100001</v>
      </c>
      <c r="T1341">
        <v>-120.991476711</v>
      </c>
      <c r="U1341">
        <v>0</v>
      </c>
      <c r="V1341">
        <v>0</v>
      </c>
    </row>
    <row r="1342" spans="1:22" x14ac:dyDescent="0.2">
      <c r="A1342"/>
      <c r="B1342">
        <v>24407</v>
      </c>
      <c r="C1342" t="s">
        <v>3459</v>
      </c>
      <c r="D1342" t="s">
        <v>920</v>
      </c>
      <c r="E1342" t="s">
        <v>1275</v>
      </c>
      <c r="F1342" t="s">
        <v>1915</v>
      </c>
      <c r="G1342">
        <v>3084.4409249199998</v>
      </c>
      <c r="H1342" t="s">
        <v>248</v>
      </c>
      <c r="Q1342">
        <v>4855.00446311</v>
      </c>
      <c r="R1342">
        <v>37076.449962400002</v>
      </c>
      <c r="S1342">
        <v>-15.6477971009</v>
      </c>
      <c r="T1342">
        <v>-120.231569572</v>
      </c>
      <c r="U1342">
        <v>0</v>
      </c>
      <c r="V1342">
        <v>0</v>
      </c>
    </row>
    <row r="1343" spans="1:22" x14ac:dyDescent="0.2">
      <c r="A1343"/>
      <c r="B1343">
        <v>24408</v>
      </c>
      <c r="C1343" t="s">
        <v>3460</v>
      </c>
      <c r="D1343" t="s">
        <v>920</v>
      </c>
      <c r="E1343" t="s">
        <v>1275</v>
      </c>
      <c r="F1343" t="s">
        <v>1915</v>
      </c>
      <c r="G1343">
        <v>3201.75312988</v>
      </c>
      <c r="H1343" t="s">
        <v>248</v>
      </c>
      <c r="Q1343">
        <v>4799.1203547499999</v>
      </c>
      <c r="R1343">
        <v>36973.439633499998</v>
      </c>
      <c r="S1343">
        <v>-13.650110876299999</v>
      </c>
      <c r="T1343">
        <v>-113.07292832900001</v>
      </c>
      <c r="U1343">
        <v>0</v>
      </c>
      <c r="V1343">
        <v>0</v>
      </c>
    </row>
    <row r="1344" spans="1:22" x14ac:dyDescent="0.2">
      <c r="A1344"/>
      <c r="B1344">
        <v>24409</v>
      </c>
      <c r="C1344" t="s">
        <v>3461</v>
      </c>
      <c r="D1344" t="s">
        <v>920</v>
      </c>
      <c r="E1344" t="s">
        <v>1275</v>
      </c>
      <c r="F1344" t="s">
        <v>1915</v>
      </c>
      <c r="G1344">
        <v>3222.2827657500002</v>
      </c>
      <c r="H1344" t="s">
        <v>248</v>
      </c>
      <c r="Q1344">
        <v>4791.3673323499997</v>
      </c>
      <c r="R1344">
        <v>36954.431204499997</v>
      </c>
      <c r="S1344">
        <v>-13.5753337017</v>
      </c>
      <c r="T1344">
        <v>-111.39567022599999</v>
      </c>
      <c r="U1344">
        <v>0</v>
      </c>
      <c r="V1344">
        <v>0</v>
      </c>
    </row>
    <row r="1345" spans="1:22" x14ac:dyDescent="0.2">
      <c r="A1345"/>
      <c r="B1345">
        <v>24410</v>
      </c>
      <c r="C1345" t="s">
        <v>3462</v>
      </c>
      <c r="D1345" t="s">
        <v>920</v>
      </c>
      <c r="E1345" t="s">
        <v>1275</v>
      </c>
      <c r="F1345" t="s">
        <v>1915</v>
      </c>
      <c r="G1345">
        <v>3314.9398556400001</v>
      </c>
      <c r="H1345" t="s">
        <v>248</v>
      </c>
      <c r="Q1345">
        <v>4759.9486571300004</v>
      </c>
      <c r="R1345">
        <v>36867.269239399997</v>
      </c>
      <c r="S1345">
        <v>-13.5817803418</v>
      </c>
      <c r="T1345">
        <v>-108.679551386</v>
      </c>
      <c r="U1345">
        <v>0</v>
      </c>
      <c r="V1345">
        <v>0</v>
      </c>
    </row>
    <row r="1346" spans="1:22" x14ac:dyDescent="0.2">
      <c r="A1346"/>
      <c r="B1346">
        <v>24411</v>
      </c>
      <c r="C1346" t="s">
        <v>3463</v>
      </c>
      <c r="D1346" t="s">
        <v>920</v>
      </c>
      <c r="E1346" t="s">
        <v>1275</v>
      </c>
      <c r="F1346" t="s">
        <v>1915</v>
      </c>
      <c r="G1346">
        <v>3329.4670170200002</v>
      </c>
      <c r="H1346" t="s">
        <v>248</v>
      </c>
      <c r="Q1346">
        <v>4755.3638218699998</v>
      </c>
      <c r="R1346">
        <v>36853.484611599997</v>
      </c>
      <c r="S1346">
        <v>-13.583260084799999</v>
      </c>
      <c r="T1346">
        <v>-108.110037359</v>
      </c>
      <c r="U1346">
        <v>0</v>
      </c>
      <c r="V1346">
        <v>0</v>
      </c>
    </row>
    <row r="1347" spans="1:22" x14ac:dyDescent="0.2">
      <c r="A1347"/>
      <c r="B1347">
        <v>24412</v>
      </c>
      <c r="C1347" t="s">
        <v>3464</v>
      </c>
      <c r="D1347" t="s">
        <v>920</v>
      </c>
      <c r="E1347" t="s">
        <v>1275</v>
      </c>
      <c r="F1347" t="s">
        <v>1915</v>
      </c>
      <c r="G1347">
        <v>3332.3998221400002</v>
      </c>
      <c r="H1347" t="s">
        <v>248</v>
      </c>
      <c r="Q1347">
        <v>4754.45506406</v>
      </c>
      <c r="R1347">
        <v>36850.696152800003</v>
      </c>
      <c r="S1347">
        <v>-13.5833880093</v>
      </c>
      <c r="T1347">
        <v>-107.991297183</v>
      </c>
      <c r="U1347">
        <v>0</v>
      </c>
      <c r="V1347">
        <v>0</v>
      </c>
    </row>
    <row r="1348" spans="1:22" x14ac:dyDescent="0.2">
      <c r="A1348"/>
      <c r="B1348">
        <v>24413</v>
      </c>
      <c r="C1348" t="s">
        <v>3465</v>
      </c>
      <c r="D1348" t="s">
        <v>920</v>
      </c>
      <c r="E1348" t="s">
        <v>1275</v>
      </c>
      <c r="F1348" t="s">
        <v>1915</v>
      </c>
      <c r="G1348">
        <v>3351.8736481599999</v>
      </c>
      <c r="H1348" t="s">
        <v>248</v>
      </c>
      <c r="Q1348">
        <v>4748.5714525699996</v>
      </c>
      <c r="R1348">
        <v>36832.132572000002</v>
      </c>
      <c r="S1348">
        <v>-13.582781901200001</v>
      </c>
      <c r="T1348">
        <v>-107.170786353</v>
      </c>
      <c r="U1348">
        <v>0</v>
      </c>
      <c r="V1348">
        <v>0</v>
      </c>
    </row>
    <row r="1349" spans="1:22" x14ac:dyDescent="0.2">
      <c r="A1349"/>
      <c r="B1349">
        <v>24414</v>
      </c>
      <c r="C1349" t="s">
        <v>3466</v>
      </c>
      <c r="D1349" t="s">
        <v>920</v>
      </c>
      <c r="E1349" t="s">
        <v>1275</v>
      </c>
      <c r="F1349" t="s">
        <v>1915</v>
      </c>
      <c r="G1349">
        <v>3354.8064532899998</v>
      </c>
      <c r="H1349" t="s">
        <v>248</v>
      </c>
      <c r="Q1349">
        <v>4747.7087624400001</v>
      </c>
      <c r="R1349">
        <v>36829.329518699997</v>
      </c>
      <c r="S1349">
        <v>-13.582471414</v>
      </c>
      <c r="T1349">
        <v>-107.042384712</v>
      </c>
      <c r="U1349">
        <v>0</v>
      </c>
      <c r="V1349">
        <v>0</v>
      </c>
    </row>
    <row r="1350" spans="1:22" x14ac:dyDescent="0.2">
      <c r="A1350"/>
      <c r="B1350">
        <v>24415</v>
      </c>
      <c r="C1350" t="s">
        <v>3467</v>
      </c>
      <c r="D1350" t="s">
        <v>920</v>
      </c>
      <c r="E1350" t="s">
        <v>1275</v>
      </c>
      <c r="F1350" t="s">
        <v>1915</v>
      </c>
      <c r="G1350">
        <v>3411.5269043899998</v>
      </c>
      <c r="H1350" t="s">
        <v>248</v>
      </c>
      <c r="Q1350">
        <v>4732.3488430699999</v>
      </c>
      <c r="R1350">
        <v>36774.734028600004</v>
      </c>
      <c r="S1350">
        <v>-13.5710928963</v>
      </c>
      <c r="T1350">
        <v>-104.295099315</v>
      </c>
      <c r="U1350">
        <v>0</v>
      </c>
      <c r="V1350">
        <v>0</v>
      </c>
    </row>
    <row r="1351" spans="1:22" x14ac:dyDescent="0.2">
      <c r="A1351"/>
      <c r="B1351">
        <v>24416</v>
      </c>
      <c r="C1351" t="s">
        <v>3468</v>
      </c>
      <c r="D1351" t="s">
        <v>920</v>
      </c>
      <c r="E1351" t="s">
        <v>1275</v>
      </c>
      <c r="F1351" t="s">
        <v>1915</v>
      </c>
      <c r="G1351">
        <v>3445.8407243400002</v>
      </c>
      <c r="H1351" t="s">
        <v>248</v>
      </c>
      <c r="Q1351">
        <v>4724.4306824499999</v>
      </c>
      <c r="R1351">
        <v>36741.347970100003</v>
      </c>
      <c r="S1351">
        <v>-13.5763766433</v>
      </c>
      <c r="T1351">
        <v>-102.365575069</v>
      </c>
      <c r="U1351">
        <v>0</v>
      </c>
      <c r="V1351">
        <v>0</v>
      </c>
    </row>
    <row r="1352" spans="1:22" x14ac:dyDescent="0.2">
      <c r="A1352"/>
      <c r="B1352">
        <v>24417</v>
      </c>
      <c r="C1352" t="s">
        <v>3469</v>
      </c>
      <c r="D1352" t="s">
        <v>920</v>
      </c>
      <c r="E1352" t="s">
        <v>1275</v>
      </c>
      <c r="F1352" t="s">
        <v>1915</v>
      </c>
      <c r="G1352">
        <v>3448.7735294600002</v>
      </c>
      <c r="H1352" t="s">
        <v>248</v>
      </c>
      <c r="Q1352">
        <v>4723.8068394499996</v>
      </c>
      <c r="R1352">
        <v>36738.482283799996</v>
      </c>
      <c r="S1352">
        <v>-13.577617720899999</v>
      </c>
      <c r="T1352">
        <v>-102.197090305</v>
      </c>
      <c r="U1352">
        <v>0</v>
      </c>
      <c r="V1352">
        <v>0</v>
      </c>
    </row>
    <row r="1353" spans="1:22" x14ac:dyDescent="0.2">
      <c r="A1353"/>
      <c r="B1353">
        <v>24418</v>
      </c>
      <c r="C1353" t="s">
        <v>3470</v>
      </c>
      <c r="D1353" t="s">
        <v>920</v>
      </c>
      <c r="E1353" t="s">
        <v>1275</v>
      </c>
      <c r="F1353" t="s">
        <v>1915</v>
      </c>
      <c r="G1353">
        <v>3468.2473554799999</v>
      </c>
      <c r="H1353" t="s">
        <v>248</v>
      </c>
      <c r="Q1353">
        <v>4719.8782681700004</v>
      </c>
      <c r="R1353">
        <v>36719.409156200003</v>
      </c>
      <c r="S1353">
        <v>-13.5885490002</v>
      </c>
      <c r="T1353">
        <v>-101.092581833</v>
      </c>
      <c r="U1353">
        <v>0</v>
      </c>
      <c r="V1353">
        <v>0</v>
      </c>
    </row>
    <row r="1354" spans="1:22" x14ac:dyDescent="0.2">
      <c r="A1354"/>
      <c r="B1354">
        <v>24419</v>
      </c>
      <c r="C1354" t="s">
        <v>3471</v>
      </c>
      <c r="D1354" t="s">
        <v>920</v>
      </c>
      <c r="E1354" t="s">
        <v>1275</v>
      </c>
      <c r="F1354" t="s">
        <v>1915</v>
      </c>
      <c r="G1354">
        <v>3471.1801606099998</v>
      </c>
      <c r="H1354" t="s">
        <v>248</v>
      </c>
      <c r="Q1354">
        <v>4719.31778614</v>
      </c>
      <c r="R1354">
        <v>36716.530406600003</v>
      </c>
      <c r="S1354">
        <v>-13.5897912759</v>
      </c>
      <c r="T1354">
        <v>-100.943640655</v>
      </c>
      <c r="U1354">
        <v>0</v>
      </c>
      <c r="V1354">
        <v>0</v>
      </c>
    </row>
    <row r="1355" spans="1:22" x14ac:dyDescent="0.2">
      <c r="A1355"/>
      <c r="B1355">
        <v>24420</v>
      </c>
      <c r="C1355" t="s">
        <v>3472</v>
      </c>
      <c r="D1355" t="s">
        <v>920</v>
      </c>
      <c r="E1355" t="s">
        <v>1275</v>
      </c>
      <c r="F1355" t="s">
        <v>1915</v>
      </c>
      <c r="G1355">
        <v>3522.4260421399999</v>
      </c>
      <c r="H1355" t="s">
        <v>248</v>
      </c>
      <c r="Q1355">
        <v>4710.3564690800004</v>
      </c>
      <c r="R1355">
        <v>36666.075435899998</v>
      </c>
      <c r="S1355">
        <v>-13.5766600871</v>
      </c>
      <c r="T1355">
        <v>-99.509089516000003</v>
      </c>
      <c r="U1355">
        <v>0</v>
      </c>
      <c r="V1355">
        <v>0</v>
      </c>
    </row>
    <row r="1356" spans="1:22" x14ac:dyDescent="0.2">
      <c r="A1356"/>
      <c r="B1356">
        <v>24421</v>
      </c>
      <c r="C1356" t="s">
        <v>3473</v>
      </c>
      <c r="D1356" t="s">
        <v>920</v>
      </c>
      <c r="E1356" t="s">
        <v>1275</v>
      </c>
      <c r="F1356" t="s">
        <v>1915</v>
      </c>
      <c r="G1356">
        <v>3601.5922284500002</v>
      </c>
      <c r="H1356" t="s">
        <v>248</v>
      </c>
      <c r="Q1356">
        <v>4697.7951029699998</v>
      </c>
      <c r="R1356">
        <v>36587.919681500003</v>
      </c>
      <c r="S1356">
        <v>-14.547269657399999</v>
      </c>
      <c r="T1356">
        <v>-98.622587651900005</v>
      </c>
      <c r="U1356">
        <v>0</v>
      </c>
      <c r="V1356">
        <v>0</v>
      </c>
    </row>
    <row r="1357" spans="1:22" x14ac:dyDescent="0.2">
      <c r="A1357"/>
      <c r="B1357">
        <v>24422</v>
      </c>
      <c r="C1357" t="s">
        <v>3474</v>
      </c>
      <c r="D1357" t="s">
        <v>920</v>
      </c>
      <c r="E1357" t="s">
        <v>1275</v>
      </c>
      <c r="F1357" t="s">
        <v>1915</v>
      </c>
      <c r="G1357">
        <v>3744.3220778199998</v>
      </c>
      <c r="H1357" t="s">
        <v>248</v>
      </c>
      <c r="Q1357">
        <v>4690.3244171799997</v>
      </c>
      <c r="R1357">
        <v>36445.6052795</v>
      </c>
      <c r="S1357">
        <v>-16.4796183608</v>
      </c>
      <c r="T1357">
        <v>-90.257658768599995</v>
      </c>
      <c r="U1357">
        <v>0</v>
      </c>
      <c r="V1357">
        <v>0</v>
      </c>
    </row>
    <row r="1358" spans="1:22" x14ac:dyDescent="0.2">
      <c r="A1358"/>
      <c r="B1358">
        <v>24423</v>
      </c>
      <c r="C1358" t="s">
        <v>3475</v>
      </c>
      <c r="D1358" t="s">
        <v>920</v>
      </c>
      <c r="E1358" t="s">
        <v>1275</v>
      </c>
      <c r="F1358" t="s">
        <v>1915</v>
      </c>
      <c r="G1358">
        <v>3939.8424194200002</v>
      </c>
      <c r="H1358" t="s">
        <v>248</v>
      </c>
      <c r="Q1358">
        <v>4687.5152990799997</v>
      </c>
      <c r="R1358">
        <v>36250.154880200003</v>
      </c>
      <c r="S1358">
        <v>-16.328693961900001</v>
      </c>
      <c r="T1358">
        <v>-95.797233590299996</v>
      </c>
      <c r="U1358">
        <v>0</v>
      </c>
      <c r="V1358">
        <v>0</v>
      </c>
    </row>
    <row r="1359" spans="1:22" x14ac:dyDescent="0.2">
      <c r="A1359"/>
      <c r="B1359">
        <v>24424</v>
      </c>
      <c r="C1359" t="s">
        <v>3476</v>
      </c>
      <c r="D1359" t="s">
        <v>920</v>
      </c>
      <c r="E1359" t="s">
        <v>1275</v>
      </c>
      <c r="F1359" t="s">
        <v>1915</v>
      </c>
      <c r="G1359">
        <v>4129.4971507700002</v>
      </c>
      <c r="H1359" t="s">
        <v>248</v>
      </c>
      <c r="Q1359">
        <v>4638.9987707500004</v>
      </c>
      <c r="R1359">
        <v>36067.250763299999</v>
      </c>
      <c r="S1359">
        <v>-15.4770150048</v>
      </c>
      <c r="T1359">
        <v>-110.117385746</v>
      </c>
      <c r="U1359">
        <v>0</v>
      </c>
      <c r="V1359">
        <v>0</v>
      </c>
    </row>
    <row r="1360" spans="1:22" x14ac:dyDescent="0.2">
      <c r="A1360"/>
      <c r="B1360">
        <v>24425</v>
      </c>
      <c r="C1360" t="s">
        <v>3477</v>
      </c>
      <c r="D1360" t="s">
        <v>920</v>
      </c>
      <c r="E1360" t="s">
        <v>1275</v>
      </c>
      <c r="F1360" t="s">
        <v>1915</v>
      </c>
      <c r="G1360">
        <v>4251.6973642700004</v>
      </c>
      <c r="H1360" t="s">
        <v>248</v>
      </c>
      <c r="Q1360">
        <v>4582.3456002900002</v>
      </c>
      <c r="R1360">
        <v>35959.412698799999</v>
      </c>
      <c r="S1360">
        <v>-13.2968198474</v>
      </c>
      <c r="T1360">
        <v>-125.512907305</v>
      </c>
      <c r="U1360">
        <v>0</v>
      </c>
      <c r="V1360">
        <v>0</v>
      </c>
    </row>
    <row r="1361" spans="1:22" x14ac:dyDescent="0.2">
      <c r="A1361"/>
      <c r="B1361">
        <v>24426</v>
      </c>
      <c r="C1361" t="s">
        <v>3478</v>
      </c>
      <c r="D1361" t="s">
        <v>920</v>
      </c>
      <c r="E1361" t="s">
        <v>1275</v>
      </c>
      <c r="F1361" t="s">
        <v>1915</v>
      </c>
      <c r="G1361">
        <v>4272.2270001400002</v>
      </c>
      <c r="H1361" t="s">
        <v>248</v>
      </c>
      <c r="Q1361">
        <v>4570.0314779299997</v>
      </c>
      <c r="R1361">
        <v>35942.9901484</v>
      </c>
      <c r="S1361">
        <v>-13.075173042499999</v>
      </c>
      <c r="T1361">
        <v>-128.21420720899999</v>
      </c>
      <c r="U1361">
        <v>0</v>
      </c>
      <c r="V1361">
        <v>0</v>
      </c>
    </row>
    <row r="1362" spans="1:22" x14ac:dyDescent="0.2">
      <c r="A1362"/>
      <c r="B1362">
        <v>24427</v>
      </c>
      <c r="C1362" t="s">
        <v>3479</v>
      </c>
      <c r="D1362" t="s">
        <v>920</v>
      </c>
      <c r="E1362" t="s">
        <v>1275</v>
      </c>
      <c r="F1362" t="s">
        <v>1915</v>
      </c>
      <c r="G1362">
        <v>4366.1256441899995</v>
      </c>
      <c r="H1362" t="s">
        <v>248</v>
      </c>
      <c r="Q1362">
        <v>4506.2126638600002</v>
      </c>
      <c r="R1362">
        <v>35874.191044799998</v>
      </c>
      <c r="S1362">
        <v>-12.968807289100001</v>
      </c>
      <c r="T1362">
        <v>-134.55765716299999</v>
      </c>
      <c r="U1362">
        <v>0</v>
      </c>
      <c r="V1362">
        <v>0</v>
      </c>
    </row>
    <row r="1363" spans="1:22" x14ac:dyDescent="0.2">
      <c r="A1363"/>
      <c r="B1363">
        <v>24428</v>
      </c>
      <c r="C1363" t="s">
        <v>3480</v>
      </c>
      <c r="D1363" t="s">
        <v>920</v>
      </c>
      <c r="E1363" t="s">
        <v>1275</v>
      </c>
      <c r="F1363" t="s">
        <v>1915</v>
      </c>
      <c r="G1363">
        <v>4380.6528055799999</v>
      </c>
      <c r="H1363" t="s">
        <v>248</v>
      </c>
      <c r="Q1363">
        <v>4496.0141321999999</v>
      </c>
      <c r="R1363">
        <v>35863.8455942</v>
      </c>
      <c r="S1363">
        <v>-12.969361257299999</v>
      </c>
      <c r="T1363">
        <v>-134.621306637</v>
      </c>
      <c r="U1363">
        <v>0</v>
      </c>
      <c r="V1363">
        <v>0</v>
      </c>
    </row>
    <row r="1364" spans="1:22" x14ac:dyDescent="0.2">
      <c r="A1364"/>
      <c r="B1364">
        <v>24429</v>
      </c>
      <c r="C1364" t="s">
        <v>3481</v>
      </c>
      <c r="D1364" t="s">
        <v>920</v>
      </c>
      <c r="E1364" t="s">
        <v>1275</v>
      </c>
      <c r="F1364" t="s">
        <v>1915</v>
      </c>
      <c r="G1364">
        <v>4383.5856107</v>
      </c>
      <c r="H1364" t="s">
        <v>248</v>
      </c>
      <c r="Q1364">
        <v>4493.9538631400001</v>
      </c>
      <c r="R1364">
        <v>35861.758338300002</v>
      </c>
      <c r="S1364">
        <v>-12.9693095307</v>
      </c>
      <c r="T1364">
        <v>-134.63302365000001</v>
      </c>
      <c r="U1364">
        <v>0</v>
      </c>
      <c r="V1364">
        <v>0</v>
      </c>
    </row>
    <row r="1365" spans="1:22" x14ac:dyDescent="0.2">
      <c r="A1365"/>
      <c r="B1365">
        <v>24430</v>
      </c>
      <c r="C1365" t="s">
        <v>3482</v>
      </c>
      <c r="D1365" t="s">
        <v>920</v>
      </c>
      <c r="E1365" t="s">
        <v>1275</v>
      </c>
      <c r="F1365" t="s">
        <v>1915</v>
      </c>
      <c r="G1365">
        <v>4403.0594367200001</v>
      </c>
      <c r="H1365" t="s">
        <v>248</v>
      </c>
      <c r="Q1365">
        <v>4480.2636910299998</v>
      </c>
      <c r="R1365">
        <v>35847.908824300001</v>
      </c>
      <c r="S1365">
        <v>-12.967572301900001</v>
      </c>
      <c r="T1365">
        <v>-134.70117167399999</v>
      </c>
      <c r="U1365">
        <v>0</v>
      </c>
      <c r="V1365">
        <v>0</v>
      </c>
    </row>
    <row r="1366" spans="1:22" x14ac:dyDescent="0.2">
      <c r="A1366"/>
      <c r="B1366">
        <v>24431</v>
      </c>
      <c r="C1366" t="s">
        <v>3483</v>
      </c>
      <c r="D1366" t="s">
        <v>920</v>
      </c>
      <c r="E1366" t="s">
        <v>1275</v>
      </c>
      <c r="F1366" t="s">
        <v>1915</v>
      </c>
      <c r="G1366">
        <v>4405.99224185</v>
      </c>
      <c r="H1366" t="s">
        <v>248</v>
      </c>
      <c r="Q1366">
        <v>4478.2005674299999</v>
      </c>
      <c r="R1366">
        <v>35845.824389900001</v>
      </c>
      <c r="S1366">
        <v>-12.9671007669</v>
      </c>
      <c r="T1366">
        <v>-134.70998117400001</v>
      </c>
      <c r="U1366">
        <v>0</v>
      </c>
      <c r="V1366">
        <v>0</v>
      </c>
    </row>
    <row r="1367" spans="1:22" x14ac:dyDescent="0.2">
      <c r="A1367"/>
      <c r="B1367">
        <v>24432</v>
      </c>
      <c r="C1367" t="s">
        <v>3484</v>
      </c>
      <c r="D1367" t="s">
        <v>920</v>
      </c>
      <c r="E1367" t="s">
        <v>1275</v>
      </c>
      <c r="F1367" t="s">
        <v>1915</v>
      </c>
      <c r="G1367">
        <v>4462.7126929400001</v>
      </c>
      <c r="H1367" t="s">
        <v>248</v>
      </c>
      <c r="Q1367">
        <v>4438.2549459600004</v>
      </c>
      <c r="R1367">
        <v>35805.555844199996</v>
      </c>
      <c r="S1367">
        <v>-12.9484815942</v>
      </c>
      <c r="T1367">
        <v>-134.80103300799999</v>
      </c>
      <c r="U1367">
        <v>0</v>
      </c>
      <c r="V1367">
        <v>0</v>
      </c>
    </row>
    <row r="1368" spans="1:22" x14ac:dyDescent="0.2">
      <c r="A1368"/>
      <c r="B1368">
        <v>24433</v>
      </c>
      <c r="C1368" t="s">
        <v>3485</v>
      </c>
      <c r="D1368" t="s">
        <v>920</v>
      </c>
      <c r="E1368" t="s">
        <v>1275</v>
      </c>
      <c r="F1368" t="s">
        <v>1915</v>
      </c>
      <c r="G1368">
        <v>4497.0265128999999</v>
      </c>
      <c r="H1368" t="s">
        <v>248</v>
      </c>
      <c r="Q1368">
        <v>4414.0902894299998</v>
      </c>
      <c r="R1368">
        <v>35781.1938391</v>
      </c>
      <c r="S1368">
        <v>-12.9506060628</v>
      </c>
      <c r="T1368">
        <v>-134.70723279800001</v>
      </c>
      <c r="U1368">
        <v>0</v>
      </c>
      <c r="V1368">
        <v>0</v>
      </c>
    </row>
    <row r="1369" spans="1:22" x14ac:dyDescent="0.2">
      <c r="A1369"/>
      <c r="B1369">
        <v>24434</v>
      </c>
      <c r="C1369" t="s">
        <v>3486</v>
      </c>
      <c r="D1369" t="s">
        <v>920</v>
      </c>
      <c r="E1369" t="s">
        <v>1275</v>
      </c>
      <c r="F1369" t="s">
        <v>1915</v>
      </c>
      <c r="G1369">
        <v>4499.95931802</v>
      </c>
      <c r="H1369" t="s">
        <v>248</v>
      </c>
      <c r="Q1369">
        <v>4412.0273588500004</v>
      </c>
      <c r="R1369">
        <v>35779.109213900003</v>
      </c>
      <c r="S1369">
        <v>-12.951538041799999</v>
      </c>
      <c r="T1369">
        <v>-134.69335717999999</v>
      </c>
      <c r="U1369">
        <v>0</v>
      </c>
      <c r="V1369">
        <v>0</v>
      </c>
    </row>
    <row r="1370" spans="1:22" x14ac:dyDescent="0.2">
      <c r="A1370"/>
      <c r="B1370">
        <v>24435</v>
      </c>
      <c r="C1370" t="s">
        <v>3487</v>
      </c>
      <c r="D1370" t="s">
        <v>920</v>
      </c>
      <c r="E1370" t="s">
        <v>1275</v>
      </c>
      <c r="F1370" t="s">
        <v>1915</v>
      </c>
      <c r="G1370">
        <v>4519.4331440400001</v>
      </c>
      <c r="H1370" t="s">
        <v>248</v>
      </c>
      <c r="Q1370">
        <v>4398.3425840099999</v>
      </c>
      <c r="R1370">
        <v>35765.254368900001</v>
      </c>
      <c r="S1370">
        <v>-12.9561221188</v>
      </c>
      <c r="T1370">
        <v>-134.59808629299999</v>
      </c>
      <c r="U1370">
        <v>0</v>
      </c>
      <c r="V1370">
        <v>0</v>
      </c>
    </row>
    <row r="1371" spans="1:22" x14ac:dyDescent="0.2">
      <c r="A1371"/>
      <c r="B1371">
        <v>24436</v>
      </c>
      <c r="C1371" t="s">
        <v>3488</v>
      </c>
      <c r="D1371" t="s">
        <v>920</v>
      </c>
      <c r="E1371" t="s">
        <v>1275</v>
      </c>
      <c r="F1371" t="s">
        <v>1915</v>
      </c>
      <c r="G1371">
        <v>4522.36594917</v>
      </c>
      <c r="H1371" t="s">
        <v>248</v>
      </c>
      <c r="Q1371">
        <v>4396.2836454400003</v>
      </c>
      <c r="R1371">
        <v>35763.1658006</v>
      </c>
      <c r="S1371">
        <v>-12.9565708858</v>
      </c>
      <c r="T1371">
        <v>-134.583265861</v>
      </c>
      <c r="U1371">
        <v>0</v>
      </c>
      <c r="V1371">
        <v>0</v>
      </c>
    </row>
    <row r="1372" spans="1:22" x14ac:dyDescent="0.2">
      <c r="A1372"/>
      <c r="B1372">
        <v>24437</v>
      </c>
      <c r="C1372" t="s">
        <v>3489</v>
      </c>
      <c r="D1372" t="s">
        <v>920</v>
      </c>
      <c r="E1372" t="s">
        <v>1275</v>
      </c>
      <c r="F1372" t="s">
        <v>1915</v>
      </c>
      <c r="G1372">
        <v>4573.6118306999997</v>
      </c>
      <c r="H1372" t="s">
        <v>248</v>
      </c>
      <c r="Q1372">
        <v>4360.3986073100004</v>
      </c>
      <c r="R1372">
        <v>35726.581661099997</v>
      </c>
      <c r="S1372">
        <v>-12.9548154754</v>
      </c>
      <c r="T1372">
        <v>-134.31655042200001</v>
      </c>
      <c r="U1372">
        <v>0</v>
      </c>
      <c r="V1372">
        <v>0</v>
      </c>
    </row>
    <row r="1373" spans="1:22" x14ac:dyDescent="0.2">
      <c r="A1373"/>
      <c r="B1373">
        <v>24438</v>
      </c>
      <c r="C1373" t="s">
        <v>3490</v>
      </c>
      <c r="D1373" t="s">
        <v>920</v>
      </c>
      <c r="E1373" t="s">
        <v>1275</v>
      </c>
      <c r="F1373" t="s">
        <v>1915</v>
      </c>
      <c r="G1373">
        <v>4654.4692679700001</v>
      </c>
      <c r="H1373" t="s">
        <v>248</v>
      </c>
      <c r="Q1373">
        <v>4306.9126839299997</v>
      </c>
      <c r="R1373">
        <v>35666.017615800003</v>
      </c>
      <c r="S1373">
        <v>-13.774995111699999</v>
      </c>
      <c r="T1373">
        <v>-127.880845052</v>
      </c>
      <c r="U1373">
        <v>0</v>
      </c>
      <c r="V1373">
        <v>0</v>
      </c>
    </row>
    <row r="1374" spans="1:22" x14ac:dyDescent="0.2">
      <c r="A1374"/>
      <c r="B1374">
        <v>24439</v>
      </c>
      <c r="C1374" t="s">
        <v>3491</v>
      </c>
      <c r="D1374" t="s">
        <v>920</v>
      </c>
      <c r="E1374" t="s">
        <v>1275</v>
      </c>
      <c r="F1374" t="s">
        <v>1915</v>
      </c>
      <c r="G1374">
        <v>4674.9989038399999</v>
      </c>
      <c r="H1374" t="s">
        <v>248</v>
      </c>
      <c r="Q1374">
        <v>4294.54698646</v>
      </c>
      <c r="R1374">
        <v>35649.635743999999</v>
      </c>
      <c r="S1374">
        <v>-14.1763141564</v>
      </c>
      <c r="T1374">
        <v>-126.234591905</v>
      </c>
      <c r="U1374">
        <v>0</v>
      </c>
      <c r="V1374">
        <v>0</v>
      </c>
    </row>
    <row r="1375" spans="1:22" x14ac:dyDescent="0.2">
      <c r="A1375"/>
      <c r="B1375">
        <v>24440</v>
      </c>
      <c r="C1375" t="s">
        <v>3492</v>
      </c>
      <c r="D1375" t="s">
        <v>920</v>
      </c>
      <c r="E1375" t="s">
        <v>1275</v>
      </c>
      <c r="F1375" t="s">
        <v>1915</v>
      </c>
      <c r="G1375">
        <v>4797.1991173400002</v>
      </c>
      <c r="H1375" t="s">
        <v>248</v>
      </c>
      <c r="Q1375">
        <v>4229.7070039999999</v>
      </c>
      <c r="R1375">
        <v>35546.154135899997</v>
      </c>
      <c r="S1375">
        <v>-14.997959529799999</v>
      </c>
      <c r="T1375">
        <v>-119.98894817999999</v>
      </c>
      <c r="U1375">
        <v>0</v>
      </c>
      <c r="V1375">
        <v>0</v>
      </c>
    </row>
    <row r="1376" spans="1:22" x14ac:dyDescent="0.2">
      <c r="A1376"/>
      <c r="B1376">
        <v>24441</v>
      </c>
      <c r="C1376" t="s">
        <v>3493</v>
      </c>
      <c r="D1376" t="s">
        <v>920</v>
      </c>
      <c r="E1376" t="s">
        <v>1275</v>
      </c>
      <c r="F1376" t="s">
        <v>1915</v>
      </c>
      <c r="G1376">
        <v>4992.7194589399996</v>
      </c>
      <c r="H1376" t="s">
        <v>248</v>
      </c>
      <c r="Q1376">
        <v>4151.8227175900001</v>
      </c>
      <c r="R1376">
        <v>35367.816322600003</v>
      </c>
      <c r="S1376">
        <v>-14.9677766109</v>
      </c>
      <c r="T1376">
        <v>-102.935494535</v>
      </c>
      <c r="U1376">
        <v>0</v>
      </c>
      <c r="V1376">
        <v>0</v>
      </c>
    </row>
    <row r="1377" spans="1:22" x14ac:dyDescent="0.2">
      <c r="A1377"/>
      <c r="B1377">
        <v>24442</v>
      </c>
      <c r="C1377" t="s">
        <v>3494</v>
      </c>
      <c r="D1377" t="s">
        <v>920</v>
      </c>
      <c r="E1377" t="s">
        <v>1275</v>
      </c>
      <c r="F1377" t="s">
        <v>1915</v>
      </c>
      <c r="G1377">
        <v>5182.3741902900001</v>
      </c>
      <c r="H1377" t="s">
        <v>248</v>
      </c>
      <c r="Q1377">
        <v>4131.2600724900003</v>
      </c>
      <c r="R1377">
        <v>35179.880384299999</v>
      </c>
      <c r="S1377">
        <v>-14.922506953499999</v>
      </c>
      <c r="T1377">
        <v>-89.246186005200002</v>
      </c>
      <c r="U1377">
        <v>0</v>
      </c>
      <c r="V1377">
        <v>0</v>
      </c>
    </row>
    <row r="1378" spans="1:22" x14ac:dyDescent="0.2">
      <c r="A1378"/>
      <c r="B1378">
        <v>24443</v>
      </c>
      <c r="C1378" t="s">
        <v>3495</v>
      </c>
      <c r="D1378" t="s">
        <v>920</v>
      </c>
      <c r="E1378" t="s">
        <v>1275</v>
      </c>
      <c r="F1378" t="s">
        <v>1915</v>
      </c>
      <c r="G1378">
        <v>5304.5744037900004</v>
      </c>
      <c r="H1378" t="s">
        <v>248</v>
      </c>
      <c r="Q1378">
        <v>4133.0548546999999</v>
      </c>
      <c r="R1378">
        <v>35057.710518799999</v>
      </c>
      <c r="S1378">
        <v>-13.003588704</v>
      </c>
      <c r="T1378">
        <v>-89.069768125699994</v>
      </c>
      <c r="U1378">
        <v>0</v>
      </c>
      <c r="V1378">
        <v>0</v>
      </c>
    </row>
    <row r="1379" spans="1:22" x14ac:dyDescent="0.2">
      <c r="A1379"/>
      <c r="B1379">
        <v>24444</v>
      </c>
      <c r="C1379" t="s">
        <v>3496</v>
      </c>
      <c r="D1379" t="s">
        <v>920</v>
      </c>
      <c r="E1379" t="s">
        <v>1275</v>
      </c>
      <c r="F1379" t="s">
        <v>1915</v>
      </c>
      <c r="G1379">
        <v>5325.1040396600001</v>
      </c>
      <c r="H1379" t="s">
        <v>248</v>
      </c>
      <c r="Q1379">
        <v>4133.3939778200001</v>
      </c>
      <c r="R1379">
        <v>35037.187823499997</v>
      </c>
      <c r="S1379">
        <v>-12.591390585899999</v>
      </c>
      <c r="T1379">
        <v>-89.036575859099997</v>
      </c>
      <c r="U1379">
        <v>0</v>
      </c>
      <c r="V1379">
        <v>0</v>
      </c>
    </row>
    <row r="1380" spans="1:22" x14ac:dyDescent="0.2">
      <c r="A1380"/>
      <c r="B1380">
        <v>24445</v>
      </c>
      <c r="C1380" t="s">
        <v>3497</v>
      </c>
      <c r="D1380" t="s">
        <v>920</v>
      </c>
      <c r="E1380" t="s">
        <v>1275</v>
      </c>
      <c r="F1380" t="s">
        <v>1915</v>
      </c>
      <c r="G1380">
        <v>5419.4328284599997</v>
      </c>
      <c r="H1380" t="s">
        <v>248</v>
      </c>
      <c r="Q1380">
        <v>4135.1149259100002</v>
      </c>
      <c r="R1380">
        <v>34942.887006899997</v>
      </c>
      <c r="S1380">
        <v>-11.1580659564</v>
      </c>
      <c r="T1380">
        <v>-88.872874453199998</v>
      </c>
      <c r="U1380">
        <v>0</v>
      </c>
      <c r="V1380">
        <v>0</v>
      </c>
    </row>
    <row r="1381" spans="1:22" x14ac:dyDescent="0.2">
      <c r="A1381"/>
      <c r="B1381">
        <v>24446</v>
      </c>
      <c r="C1381" t="s">
        <v>3498</v>
      </c>
      <c r="D1381" t="s">
        <v>920</v>
      </c>
      <c r="E1381" t="s">
        <v>1275</v>
      </c>
      <c r="F1381" t="s">
        <v>1915</v>
      </c>
      <c r="G1381">
        <v>5433.9599898400002</v>
      </c>
      <c r="H1381" t="s">
        <v>248</v>
      </c>
      <c r="Q1381">
        <v>4135.4037145399998</v>
      </c>
      <c r="R1381">
        <v>34928.362750200002</v>
      </c>
      <c r="S1381">
        <v>-11.1320120685</v>
      </c>
      <c r="T1381">
        <v>-88.849076381900005</v>
      </c>
      <c r="U1381">
        <v>0</v>
      </c>
      <c r="V1381">
        <v>0</v>
      </c>
    </row>
    <row r="1382" spans="1:22" x14ac:dyDescent="0.2">
      <c r="A1382"/>
      <c r="B1382">
        <v>24447</v>
      </c>
      <c r="C1382" t="s">
        <v>3499</v>
      </c>
      <c r="D1382" t="s">
        <v>920</v>
      </c>
      <c r="E1382" t="s">
        <v>1275</v>
      </c>
      <c r="F1382" t="s">
        <v>1915</v>
      </c>
      <c r="G1382">
        <v>5436.8927949700001</v>
      </c>
      <c r="H1382" t="s">
        <v>248</v>
      </c>
      <c r="Q1382">
        <v>4135.4627442000001</v>
      </c>
      <c r="R1382">
        <v>34925.4305399</v>
      </c>
      <c r="S1382">
        <v>-11.134004805</v>
      </c>
      <c r="T1382">
        <v>-88.844353552300007</v>
      </c>
      <c r="U1382">
        <v>0</v>
      </c>
      <c r="V1382">
        <v>0</v>
      </c>
    </row>
    <row r="1383" spans="1:22" x14ac:dyDescent="0.2">
      <c r="A1383"/>
      <c r="B1383">
        <v>24448</v>
      </c>
      <c r="C1383" t="s">
        <v>3500</v>
      </c>
      <c r="D1383" t="s">
        <v>920</v>
      </c>
      <c r="E1383" t="s">
        <v>1275</v>
      </c>
      <c r="F1383" t="s">
        <v>1915</v>
      </c>
      <c r="G1383">
        <v>5456.3666209900002</v>
      </c>
      <c r="H1383" t="s">
        <v>248</v>
      </c>
      <c r="Q1383">
        <v>4135.8598357999999</v>
      </c>
      <c r="R1383">
        <v>34905.9607665</v>
      </c>
      <c r="S1383">
        <v>-11.145003408299999</v>
      </c>
      <c r="T1383">
        <v>-88.821478902999999</v>
      </c>
      <c r="U1383">
        <v>0</v>
      </c>
      <c r="V1383">
        <v>0</v>
      </c>
    </row>
    <row r="1384" spans="1:22" x14ac:dyDescent="0.2">
      <c r="A1384"/>
      <c r="B1384">
        <v>24449</v>
      </c>
      <c r="C1384" t="s">
        <v>3501</v>
      </c>
      <c r="D1384" t="s">
        <v>920</v>
      </c>
      <c r="E1384" t="s">
        <v>1275</v>
      </c>
      <c r="F1384" t="s">
        <v>1915</v>
      </c>
      <c r="G1384">
        <v>5459.2994261100002</v>
      </c>
      <c r="H1384" t="s">
        <v>248</v>
      </c>
      <c r="Q1384">
        <v>4135.9202112499997</v>
      </c>
      <c r="R1384">
        <v>34903.028582899999</v>
      </c>
      <c r="S1384">
        <v>-11.1455627951</v>
      </c>
      <c r="T1384">
        <v>-88.819404318400004</v>
      </c>
      <c r="U1384">
        <v>0</v>
      </c>
      <c r="V1384">
        <v>0</v>
      </c>
    </row>
    <row r="1385" spans="1:22" x14ac:dyDescent="0.2">
      <c r="A1385"/>
      <c r="B1385">
        <v>24450</v>
      </c>
      <c r="C1385" t="s">
        <v>3502</v>
      </c>
      <c r="D1385" t="s">
        <v>920</v>
      </c>
      <c r="E1385" t="s">
        <v>1275</v>
      </c>
      <c r="F1385" t="s">
        <v>1915</v>
      </c>
      <c r="G1385">
        <v>5516.0198772100002</v>
      </c>
      <c r="H1385" t="s">
        <v>248</v>
      </c>
      <c r="Q1385">
        <v>4137.85668695</v>
      </c>
      <c r="R1385">
        <v>34846.348410300001</v>
      </c>
      <c r="S1385">
        <v>-11.1282357947</v>
      </c>
      <c r="T1385">
        <v>-86.318924650900001</v>
      </c>
      <c r="U1385">
        <v>0</v>
      </c>
      <c r="V1385">
        <v>0</v>
      </c>
    </row>
    <row r="1386" spans="1:22" x14ac:dyDescent="0.2">
      <c r="A1386"/>
      <c r="B1386">
        <v>24451</v>
      </c>
      <c r="C1386" t="s">
        <v>3503</v>
      </c>
      <c r="D1386" t="s">
        <v>920</v>
      </c>
      <c r="E1386" t="s">
        <v>1275</v>
      </c>
      <c r="F1386" t="s">
        <v>1915</v>
      </c>
      <c r="G1386">
        <v>5550.3336971600002</v>
      </c>
      <c r="H1386" t="s">
        <v>248</v>
      </c>
      <c r="Q1386">
        <v>4140.3377016799996</v>
      </c>
      <c r="R1386">
        <v>34812.124721400003</v>
      </c>
      <c r="S1386">
        <v>-11.1330622338</v>
      </c>
      <c r="T1386">
        <v>-85.464890372200003</v>
      </c>
      <c r="U1386">
        <v>0</v>
      </c>
      <c r="V1386">
        <v>0</v>
      </c>
    </row>
    <row r="1387" spans="1:22" x14ac:dyDescent="0.2">
      <c r="A1387"/>
      <c r="B1387">
        <v>24452</v>
      </c>
      <c r="C1387" t="s">
        <v>3504</v>
      </c>
      <c r="D1387" t="s">
        <v>920</v>
      </c>
      <c r="E1387" t="s">
        <v>1275</v>
      </c>
      <c r="F1387" t="s">
        <v>1915</v>
      </c>
      <c r="G1387">
        <v>5553.2665022900001</v>
      </c>
      <c r="H1387" t="s">
        <v>248</v>
      </c>
      <c r="Q1387">
        <v>4140.5709319300004</v>
      </c>
      <c r="R1387">
        <v>34809.201204899997</v>
      </c>
      <c r="S1387">
        <v>-11.133549031699999</v>
      </c>
      <c r="T1387">
        <v>-85.413183526799997</v>
      </c>
      <c r="U1387">
        <v>0</v>
      </c>
      <c r="V1387">
        <v>0</v>
      </c>
    </row>
    <row r="1388" spans="1:22" x14ac:dyDescent="0.2">
      <c r="A1388"/>
      <c r="B1388">
        <v>24453</v>
      </c>
      <c r="C1388" t="s">
        <v>3505</v>
      </c>
      <c r="D1388" t="s">
        <v>920</v>
      </c>
      <c r="E1388" t="s">
        <v>1275</v>
      </c>
      <c r="F1388" t="s">
        <v>1915</v>
      </c>
      <c r="G1388">
        <v>5572.7403283100002</v>
      </c>
      <c r="H1388" t="s">
        <v>248</v>
      </c>
      <c r="Q1388">
        <v>4142.1748072999999</v>
      </c>
      <c r="R1388">
        <v>34789.793554199998</v>
      </c>
      <c r="S1388">
        <v>-11.1371855296</v>
      </c>
      <c r="T1388">
        <v>-85.177148577500006</v>
      </c>
      <c r="U1388">
        <v>0</v>
      </c>
      <c r="V1388">
        <v>0</v>
      </c>
    </row>
    <row r="1389" spans="1:22" x14ac:dyDescent="0.2">
      <c r="A1389"/>
      <c r="B1389">
        <v>24454</v>
      </c>
      <c r="C1389" t="s">
        <v>3506</v>
      </c>
      <c r="D1389" t="s">
        <v>920</v>
      </c>
      <c r="E1389" t="s">
        <v>1275</v>
      </c>
      <c r="F1389" t="s">
        <v>1915</v>
      </c>
      <c r="G1389">
        <v>5575.6731334300002</v>
      </c>
      <c r="H1389" t="s">
        <v>248</v>
      </c>
      <c r="Q1389">
        <v>4142.4217181399999</v>
      </c>
      <c r="R1389">
        <v>34786.871161299998</v>
      </c>
      <c r="S1389">
        <v>-11.1378298171</v>
      </c>
      <c r="T1389">
        <v>-85.165166644999999</v>
      </c>
      <c r="U1389">
        <v>0</v>
      </c>
      <c r="V1389">
        <v>0</v>
      </c>
    </row>
    <row r="1390" spans="1:22" x14ac:dyDescent="0.2">
      <c r="A1390"/>
      <c r="B1390">
        <v>24455</v>
      </c>
      <c r="C1390" t="s">
        <v>3507</v>
      </c>
      <c r="D1390" t="s">
        <v>920</v>
      </c>
      <c r="E1390" t="s">
        <v>1275</v>
      </c>
      <c r="F1390" t="s">
        <v>1915</v>
      </c>
      <c r="G1390">
        <v>5626.9190149699998</v>
      </c>
      <c r="H1390" t="s">
        <v>248</v>
      </c>
      <c r="Q1390">
        <v>4146.4854160100003</v>
      </c>
      <c r="R1390">
        <v>34735.787367899997</v>
      </c>
      <c r="S1390">
        <v>-11.150635103000001</v>
      </c>
      <c r="T1390">
        <v>-86.325025173499995</v>
      </c>
      <c r="U1390">
        <v>0</v>
      </c>
      <c r="V1390">
        <v>0</v>
      </c>
    </row>
    <row r="1391" spans="1:22" x14ac:dyDescent="0.2">
      <c r="A1391"/>
      <c r="B1391">
        <v>24456</v>
      </c>
      <c r="C1391" t="s">
        <v>3508</v>
      </c>
      <c r="D1391" t="s">
        <v>920</v>
      </c>
      <c r="E1391" t="s">
        <v>1275</v>
      </c>
      <c r="F1391" t="s">
        <v>1915</v>
      </c>
      <c r="G1391">
        <v>5705.3911040700004</v>
      </c>
      <c r="H1391" t="s">
        <v>248</v>
      </c>
      <c r="Q1391">
        <v>4145.1957405800003</v>
      </c>
      <c r="R1391">
        <v>34657.412988800002</v>
      </c>
      <c r="S1391">
        <v>-11.140971988</v>
      </c>
      <c r="T1391">
        <v>-95.130605384199995</v>
      </c>
      <c r="U1391">
        <v>0</v>
      </c>
      <c r="V1391">
        <v>0</v>
      </c>
    </row>
    <row r="1392" spans="1:22" x14ac:dyDescent="0.2">
      <c r="A1392"/>
      <c r="B1392">
        <v>24457</v>
      </c>
      <c r="C1392" t="s">
        <v>3509</v>
      </c>
      <c r="D1392" t="s">
        <v>920</v>
      </c>
      <c r="E1392" t="s">
        <v>1275</v>
      </c>
      <c r="F1392" t="s">
        <v>1915</v>
      </c>
      <c r="G1392">
        <v>5725.9207399400002</v>
      </c>
      <c r="H1392" t="s">
        <v>248</v>
      </c>
      <c r="Q1392">
        <v>4143.2961984900003</v>
      </c>
      <c r="R1392">
        <v>34636.971454500002</v>
      </c>
      <c r="S1392">
        <v>-11.1501149182</v>
      </c>
      <c r="T1392">
        <v>-95.4750054127</v>
      </c>
      <c r="U1392">
        <v>0</v>
      </c>
      <c r="V1392">
        <v>0</v>
      </c>
    </row>
    <row r="1393" spans="1:22" x14ac:dyDescent="0.2">
      <c r="A1393"/>
      <c r="B1393">
        <v>24458</v>
      </c>
      <c r="C1393" t="s">
        <v>3510</v>
      </c>
      <c r="D1393" t="s">
        <v>920</v>
      </c>
      <c r="E1393" t="s">
        <v>1275</v>
      </c>
      <c r="F1393" t="s">
        <v>1915</v>
      </c>
      <c r="G1393">
        <v>5843.2329448999999</v>
      </c>
      <c r="H1393" t="s">
        <v>248</v>
      </c>
      <c r="Q1393">
        <v>4131.2052215100002</v>
      </c>
      <c r="R1393">
        <v>34520.289300999997</v>
      </c>
      <c r="S1393">
        <v>-11.8408847144</v>
      </c>
      <c r="T1393">
        <v>-95.854378226899996</v>
      </c>
      <c r="U1393">
        <v>0</v>
      </c>
      <c r="V1393">
        <v>0</v>
      </c>
    </row>
    <row r="1394" spans="1:22" x14ac:dyDescent="0.2">
      <c r="A1394"/>
      <c r="B1394">
        <v>24459</v>
      </c>
      <c r="C1394" t="s">
        <v>3511</v>
      </c>
      <c r="D1394" t="s">
        <v>920</v>
      </c>
      <c r="E1394" t="s">
        <v>1275</v>
      </c>
      <c r="F1394" t="s">
        <v>1915</v>
      </c>
      <c r="G1394">
        <v>5975.6979763299996</v>
      </c>
      <c r="H1394" t="s">
        <v>248</v>
      </c>
      <c r="Q1394">
        <v>4119.7275127399998</v>
      </c>
      <c r="R1394">
        <v>34388.345926200003</v>
      </c>
      <c r="S1394">
        <v>-14.0935699552</v>
      </c>
      <c r="T1394">
        <v>-94.4776289518</v>
      </c>
      <c r="U1394">
        <v>0</v>
      </c>
      <c r="V1394">
        <v>0</v>
      </c>
    </row>
    <row r="1395" spans="1:22" x14ac:dyDescent="0.2">
      <c r="A1395"/>
      <c r="B1395">
        <v>24460</v>
      </c>
      <c r="C1395" t="s">
        <v>3512</v>
      </c>
      <c r="D1395" t="s">
        <v>920</v>
      </c>
      <c r="E1395" t="s">
        <v>1275</v>
      </c>
      <c r="F1395" t="s">
        <v>1915</v>
      </c>
      <c r="G1395">
        <v>6108.1630077600003</v>
      </c>
      <c r="H1395" t="s">
        <v>248</v>
      </c>
      <c r="Q1395">
        <v>4109.7558526599996</v>
      </c>
      <c r="R1395">
        <v>34256.2582865</v>
      </c>
      <c r="S1395">
        <v>-14.5917064013</v>
      </c>
      <c r="T1395">
        <v>-94.201078316700006</v>
      </c>
      <c r="U1395">
        <v>0</v>
      </c>
      <c r="V1395">
        <v>0</v>
      </c>
    </row>
    <row r="1396" spans="1:22" x14ac:dyDescent="0.2">
      <c r="A1396"/>
      <c r="B1396">
        <v>24461</v>
      </c>
      <c r="C1396" t="s">
        <v>3513</v>
      </c>
      <c r="D1396" t="s">
        <v>920</v>
      </c>
      <c r="E1396" t="s">
        <v>1275</v>
      </c>
      <c r="F1396" t="s">
        <v>1915</v>
      </c>
      <c r="G1396">
        <v>6225.4752127199999</v>
      </c>
      <c r="H1396" t="s">
        <v>248</v>
      </c>
      <c r="Q1396">
        <v>4102.5392948299996</v>
      </c>
      <c r="R1396">
        <v>34139.194311899999</v>
      </c>
      <c r="S1396">
        <v>-12.6765856343</v>
      </c>
      <c r="T1396">
        <v>-92.127843613699994</v>
      </c>
      <c r="U1396">
        <v>0</v>
      </c>
      <c r="V1396">
        <v>0</v>
      </c>
    </row>
    <row r="1397" spans="1:22" x14ac:dyDescent="0.2">
      <c r="A1397"/>
      <c r="B1397">
        <v>24462</v>
      </c>
      <c r="C1397" t="s">
        <v>3514</v>
      </c>
      <c r="D1397" t="s">
        <v>920</v>
      </c>
      <c r="E1397" t="s">
        <v>1275</v>
      </c>
      <c r="F1397" t="s">
        <v>1915</v>
      </c>
      <c r="G1397">
        <v>6246.0048485899997</v>
      </c>
      <c r="H1397" t="s">
        <v>248</v>
      </c>
      <c r="Q1397">
        <v>4101.8431754200001</v>
      </c>
      <c r="R1397">
        <v>34118.680560599998</v>
      </c>
      <c r="S1397">
        <v>-12.268980730299999</v>
      </c>
      <c r="T1397">
        <v>-91.7891093681</v>
      </c>
      <c r="U1397">
        <v>0</v>
      </c>
      <c r="V1397">
        <v>0</v>
      </c>
    </row>
    <row r="1398" spans="1:22" x14ac:dyDescent="0.2">
      <c r="A1398"/>
      <c r="B1398">
        <v>24463</v>
      </c>
      <c r="C1398" t="s">
        <v>3515</v>
      </c>
      <c r="D1398" t="s">
        <v>920</v>
      </c>
      <c r="E1398" t="s">
        <v>1275</v>
      </c>
      <c r="F1398" t="s">
        <v>1915</v>
      </c>
      <c r="G1398">
        <v>6339.2387234799999</v>
      </c>
      <c r="H1398" t="s">
        <v>248</v>
      </c>
      <c r="Q1398">
        <v>4099.2875245100004</v>
      </c>
      <c r="R1398">
        <v>34025.494925300001</v>
      </c>
      <c r="S1398">
        <v>-10.8000206223</v>
      </c>
      <c r="T1398">
        <v>-91.419222889400004</v>
      </c>
      <c r="U1398">
        <v>0</v>
      </c>
      <c r="V1398">
        <v>0</v>
      </c>
    </row>
    <row r="1399" spans="1:22" x14ac:dyDescent="0.2">
      <c r="A1399"/>
      <c r="B1399">
        <v>24464</v>
      </c>
      <c r="C1399" t="s">
        <v>3516</v>
      </c>
      <c r="D1399" t="s">
        <v>920</v>
      </c>
      <c r="E1399" t="s">
        <v>1275</v>
      </c>
      <c r="F1399" t="s">
        <v>1915</v>
      </c>
      <c r="G1399">
        <v>6353.7658848600004</v>
      </c>
      <c r="H1399" t="s">
        <v>248</v>
      </c>
      <c r="Q1399">
        <v>4098.9334429299997</v>
      </c>
      <c r="R1399">
        <v>34010.972083100001</v>
      </c>
      <c r="S1399">
        <v>-10.7950387739</v>
      </c>
      <c r="T1399">
        <v>-91.3751844186</v>
      </c>
      <c r="U1399">
        <v>0</v>
      </c>
      <c r="V1399">
        <v>0</v>
      </c>
    </row>
    <row r="1400" spans="1:22" x14ac:dyDescent="0.2">
      <c r="A1400"/>
      <c r="B1400">
        <v>24465</v>
      </c>
      <c r="C1400" t="s">
        <v>3517</v>
      </c>
      <c r="D1400" t="s">
        <v>920</v>
      </c>
      <c r="E1400" t="s">
        <v>1275</v>
      </c>
      <c r="F1400" t="s">
        <v>1915</v>
      </c>
      <c r="G1400">
        <v>6356.6986899900003</v>
      </c>
      <c r="H1400" t="s">
        <v>248</v>
      </c>
      <c r="Q1400">
        <v>4098.8632634100004</v>
      </c>
      <c r="R1400">
        <v>34008.040117700002</v>
      </c>
      <c r="S1400">
        <v>-10.7949580933</v>
      </c>
      <c r="T1400">
        <v>-91.367210287800006</v>
      </c>
      <c r="U1400">
        <v>0</v>
      </c>
      <c r="V1400">
        <v>0</v>
      </c>
    </row>
    <row r="1401" spans="1:22" x14ac:dyDescent="0.2">
      <c r="A1401"/>
      <c r="B1401">
        <v>24466</v>
      </c>
      <c r="C1401" t="s">
        <v>3518</v>
      </c>
      <c r="D1401" t="s">
        <v>920</v>
      </c>
      <c r="E1401" t="s">
        <v>1275</v>
      </c>
      <c r="F1401" t="s">
        <v>1915</v>
      </c>
      <c r="G1401">
        <v>6376.1725160100004</v>
      </c>
      <c r="H1401" t="s">
        <v>248</v>
      </c>
      <c r="Q1401">
        <v>4098.4066064799999</v>
      </c>
      <c r="R1401">
        <v>33988.571647199999</v>
      </c>
      <c r="S1401">
        <v>-10.7948096133</v>
      </c>
      <c r="T1401">
        <v>-91.322597779299997</v>
      </c>
      <c r="U1401">
        <v>0</v>
      </c>
      <c r="V1401">
        <v>0</v>
      </c>
    </row>
    <row r="1402" spans="1:22" x14ac:dyDescent="0.2">
      <c r="A1402"/>
      <c r="B1402">
        <v>24467</v>
      </c>
      <c r="C1402" t="s">
        <v>3519</v>
      </c>
      <c r="D1402" t="s">
        <v>920</v>
      </c>
      <c r="E1402" t="s">
        <v>1275</v>
      </c>
      <c r="F1402" t="s">
        <v>1915</v>
      </c>
      <c r="G1402">
        <v>6379.1053211300004</v>
      </c>
      <c r="H1402" t="s">
        <v>248</v>
      </c>
      <c r="Q1402">
        <v>4098.3390537300002</v>
      </c>
      <c r="R1402">
        <v>33985.639620200003</v>
      </c>
      <c r="S1402">
        <v>-10.7948455711</v>
      </c>
      <c r="T1402">
        <v>-91.317134407500006</v>
      </c>
      <c r="U1402">
        <v>0</v>
      </c>
      <c r="V1402">
        <v>0</v>
      </c>
    </row>
    <row r="1403" spans="1:22" x14ac:dyDescent="0.2">
      <c r="A1403"/>
      <c r="B1403">
        <v>24468</v>
      </c>
      <c r="C1403" t="s">
        <v>3520</v>
      </c>
      <c r="D1403" t="s">
        <v>920</v>
      </c>
      <c r="E1403" t="s">
        <v>1275</v>
      </c>
      <c r="F1403" t="s">
        <v>1915</v>
      </c>
      <c r="G1403">
        <v>6435.8257722300004</v>
      </c>
      <c r="H1403" t="s">
        <v>248</v>
      </c>
      <c r="Q1403">
        <v>4097.06569846</v>
      </c>
      <c r="R1403">
        <v>33928.933465599999</v>
      </c>
      <c r="S1403">
        <v>-10.7985437833</v>
      </c>
      <c r="T1403">
        <v>-91.276110974199995</v>
      </c>
      <c r="U1403">
        <v>0</v>
      </c>
      <c r="V1403">
        <v>0</v>
      </c>
    </row>
    <row r="1404" spans="1:22" x14ac:dyDescent="0.2">
      <c r="A1404"/>
      <c r="B1404">
        <v>24469</v>
      </c>
      <c r="C1404" t="s">
        <v>3521</v>
      </c>
      <c r="D1404" t="s">
        <v>920</v>
      </c>
      <c r="E1404" t="s">
        <v>1275</v>
      </c>
      <c r="F1404" t="s">
        <v>1915</v>
      </c>
      <c r="G1404">
        <v>6470.1395921800004</v>
      </c>
      <c r="H1404" t="s">
        <v>248</v>
      </c>
      <c r="Q1404">
        <v>4096.2932728899996</v>
      </c>
      <c r="R1404">
        <v>33894.6283415</v>
      </c>
      <c r="S1404">
        <v>-10.7992186516</v>
      </c>
      <c r="T1404">
        <v>-91.311375311500001</v>
      </c>
      <c r="U1404">
        <v>0</v>
      </c>
      <c r="V1404">
        <v>0</v>
      </c>
    </row>
    <row r="1405" spans="1:22" x14ac:dyDescent="0.2">
      <c r="A1405"/>
      <c r="B1405">
        <v>24470</v>
      </c>
      <c r="C1405" t="s">
        <v>3522</v>
      </c>
      <c r="D1405" t="s">
        <v>920</v>
      </c>
      <c r="E1405" t="s">
        <v>1275</v>
      </c>
      <c r="F1405" t="s">
        <v>1915</v>
      </c>
      <c r="G1405">
        <v>6473.0723973100003</v>
      </c>
      <c r="H1405" t="s">
        <v>248</v>
      </c>
      <c r="Q1405">
        <v>4096.2260219399996</v>
      </c>
      <c r="R1405">
        <v>33891.696307600003</v>
      </c>
      <c r="S1405">
        <v>-10.798435248200001</v>
      </c>
      <c r="T1405">
        <v>-91.316564356499995</v>
      </c>
      <c r="U1405">
        <v>0</v>
      </c>
      <c r="V1405">
        <v>0</v>
      </c>
    </row>
    <row r="1406" spans="1:22" x14ac:dyDescent="0.2">
      <c r="A1406"/>
      <c r="B1406">
        <v>24471</v>
      </c>
      <c r="C1406" t="s">
        <v>3523</v>
      </c>
      <c r="D1406" t="s">
        <v>920</v>
      </c>
      <c r="E1406" t="s">
        <v>1275</v>
      </c>
      <c r="F1406" t="s">
        <v>1915</v>
      </c>
      <c r="G1406">
        <v>6492.5462233300004</v>
      </c>
      <c r="H1406" t="s">
        <v>248</v>
      </c>
      <c r="Q1406">
        <v>4095.77167504</v>
      </c>
      <c r="R1406">
        <v>33872.227785199997</v>
      </c>
      <c r="S1406">
        <v>-10.7892491777</v>
      </c>
      <c r="T1406">
        <v>-91.359766269000005</v>
      </c>
      <c r="U1406">
        <v>0</v>
      </c>
      <c r="V1406">
        <v>0</v>
      </c>
    </row>
    <row r="1407" spans="1:22" x14ac:dyDescent="0.2">
      <c r="A1407"/>
      <c r="B1407">
        <v>24472</v>
      </c>
      <c r="C1407" t="s">
        <v>3524</v>
      </c>
      <c r="D1407" t="s">
        <v>920</v>
      </c>
      <c r="E1407" t="s">
        <v>1275</v>
      </c>
      <c r="F1407" t="s">
        <v>1915</v>
      </c>
      <c r="G1407">
        <v>6495.4790284500004</v>
      </c>
      <c r="H1407" t="s">
        <v>248</v>
      </c>
      <c r="Q1407">
        <v>4095.7018803800001</v>
      </c>
      <c r="R1407">
        <v>33869.295811399999</v>
      </c>
      <c r="S1407">
        <v>-10.7872656924</v>
      </c>
      <c r="T1407">
        <v>-91.367589848199998</v>
      </c>
      <c r="U1407">
        <v>0</v>
      </c>
      <c r="V1407">
        <v>0</v>
      </c>
    </row>
    <row r="1408" spans="1:22" x14ac:dyDescent="0.2">
      <c r="A1408"/>
      <c r="B1408">
        <v>24473</v>
      </c>
      <c r="C1408" t="s">
        <v>3525</v>
      </c>
      <c r="D1408" t="s">
        <v>920</v>
      </c>
      <c r="E1408" t="s">
        <v>1275</v>
      </c>
      <c r="F1408" t="s">
        <v>1915</v>
      </c>
      <c r="G1408">
        <v>6546.72490999</v>
      </c>
      <c r="H1408" t="s">
        <v>248</v>
      </c>
      <c r="Q1408">
        <v>4094.4074010899999</v>
      </c>
      <c r="R1408">
        <v>33818.066566599999</v>
      </c>
      <c r="S1408">
        <v>-10.875359943399999</v>
      </c>
      <c r="T1408">
        <v>-91.524811365399998</v>
      </c>
      <c r="U1408">
        <v>0</v>
      </c>
      <c r="V1408">
        <v>0</v>
      </c>
    </row>
    <row r="1409" spans="1:22" x14ac:dyDescent="0.2">
      <c r="A1409"/>
      <c r="B1409">
        <v>24474</v>
      </c>
      <c r="C1409" t="s">
        <v>3526</v>
      </c>
      <c r="D1409" t="s">
        <v>920</v>
      </c>
      <c r="E1409" t="s">
        <v>1275</v>
      </c>
      <c r="F1409" t="s">
        <v>1915</v>
      </c>
      <c r="G1409">
        <v>6625.3143112899998</v>
      </c>
      <c r="H1409" t="s">
        <v>248</v>
      </c>
      <c r="Q1409">
        <v>4091.7167686600001</v>
      </c>
      <c r="R1409">
        <v>33739.540714700001</v>
      </c>
      <c r="S1409">
        <v>-12.1988228441</v>
      </c>
      <c r="T1409">
        <v>-94.072047282699998</v>
      </c>
      <c r="U1409">
        <v>0</v>
      </c>
      <c r="V1409">
        <v>0</v>
      </c>
    </row>
    <row r="1410" spans="1:22" x14ac:dyDescent="0.2">
      <c r="A1410"/>
      <c r="B1410">
        <v>24475</v>
      </c>
      <c r="C1410" t="s">
        <v>3527</v>
      </c>
      <c r="D1410" t="s">
        <v>920</v>
      </c>
      <c r="E1410" t="s">
        <v>1275</v>
      </c>
      <c r="F1410" t="s">
        <v>1915</v>
      </c>
      <c r="G1410">
        <v>6645.8439471600004</v>
      </c>
      <c r="H1410" t="s">
        <v>248</v>
      </c>
      <c r="Q1410">
        <v>4089.86470805</v>
      </c>
      <c r="R1410">
        <v>33719.100655200004</v>
      </c>
      <c r="S1410">
        <v>-12.633289466100001</v>
      </c>
      <c r="T1410">
        <v>-96.256407930799995</v>
      </c>
      <c r="U1410">
        <v>0</v>
      </c>
      <c r="V1410">
        <v>0</v>
      </c>
    </row>
    <row r="1411" spans="1:22" x14ac:dyDescent="0.2">
      <c r="A1411"/>
      <c r="B1411">
        <v>24476</v>
      </c>
      <c r="C1411" t="s">
        <v>3528</v>
      </c>
      <c r="D1411" t="s">
        <v>920</v>
      </c>
      <c r="E1411" t="s">
        <v>1275</v>
      </c>
      <c r="F1411" t="s">
        <v>1915</v>
      </c>
      <c r="G1411">
        <v>6763.1561521200001</v>
      </c>
      <c r="H1411" t="s">
        <v>248</v>
      </c>
      <c r="Q1411">
        <v>4067.4859763200002</v>
      </c>
      <c r="R1411">
        <v>33604.062745099996</v>
      </c>
      <c r="S1411">
        <v>-15.0689301501</v>
      </c>
      <c r="T1411">
        <v>-103.417409225</v>
      </c>
      <c r="U1411">
        <v>0</v>
      </c>
      <c r="V1411">
        <v>0</v>
      </c>
    </row>
    <row r="1412" spans="1:22" x14ac:dyDescent="0.2">
      <c r="A1412"/>
      <c r="B1412">
        <v>24477</v>
      </c>
      <c r="C1412" t="s">
        <v>3529</v>
      </c>
      <c r="D1412" t="s">
        <v>920</v>
      </c>
      <c r="E1412" t="s">
        <v>1275</v>
      </c>
      <c r="F1412" t="s">
        <v>1915</v>
      </c>
      <c r="G1412">
        <v>6860.9163229200003</v>
      </c>
      <c r="H1412" t="s">
        <v>248</v>
      </c>
      <c r="Q1412">
        <v>4044.58411991</v>
      </c>
      <c r="R1412">
        <v>33509.035671799997</v>
      </c>
      <c r="S1412">
        <v>-16.464445202099999</v>
      </c>
      <c r="T1412">
        <v>-104.26611805500001</v>
      </c>
      <c r="U1412">
        <v>0</v>
      </c>
      <c r="V1412">
        <v>0</v>
      </c>
    </row>
    <row r="1413" spans="1:22" x14ac:dyDescent="0.2">
      <c r="A1413"/>
      <c r="B1413">
        <v>24478</v>
      </c>
      <c r="C1413" t="s">
        <v>3530</v>
      </c>
      <c r="D1413" t="s">
        <v>920</v>
      </c>
      <c r="E1413" t="s">
        <v>1275</v>
      </c>
      <c r="F1413" t="s">
        <v>1915</v>
      </c>
      <c r="G1413">
        <v>7035.90702865</v>
      </c>
      <c r="H1413" t="s">
        <v>248</v>
      </c>
      <c r="Q1413">
        <v>3980.7836379800001</v>
      </c>
      <c r="R1413">
        <v>33346.601174199997</v>
      </c>
      <c r="S1413">
        <v>-15.0573331987</v>
      </c>
      <c r="T1413">
        <v>-118.670165174</v>
      </c>
      <c r="U1413">
        <v>0</v>
      </c>
      <c r="V1413">
        <v>0</v>
      </c>
    </row>
    <row r="1414" spans="1:22" x14ac:dyDescent="0.2">
      <c r="A1414"/>
      <c r="B1414">
        <v>24479</v>
      </c>
      <c r="C1414" t="s">
        <v>3531</v>
      </c>
      <c r="D1414" t="s">
        <v>920</v>
      </c>
      <c r="E1414" t="s">
        <v>1275</v>
      </c>
      <c r="F1414" t="s">
        <v>1915</v>
      </c>
      <c r="G1414">
        <v>7182.5472848500003</v>
      </c>
      <c r="H1414" t="s">
        <v>248</v>
      </c>
      <c r="Q1414">
        <v>3904.5982318699998</v>
      </c>
      <c r="R1414">
        <v>33221.461971099998</v>
      </c>
      <c r="S1414">
        <v>-12.131795851</v>
      </c>
      <c r="T1414">
        <v>-127.11979187</v>
      </c>
      <c r="U1414">
        <v>0</v>
      </c>
      <c r="V1414">
        <v>0</v>
      </c>
    </row>
    <row r="1415" spans="1:22" x14ac:dyDescent="0.2">
      <c r="A1415"/>
      <c r="B1415">
        <v>24480</v>
      </c>
      <c r="C1415" t="s">
        <v>3532</v>
      </c>
      <c r="D1415" t="s">
        <v>920</v>
      </c>
      <c r="E1415" t="s">
        <v>1275</v>
      </c>
      <c r="F1415" t="s">
        <v>1915</v>
      </c>
      <c r="G1415">
        <v>7299.85948981</v>
      </c>
      <c r="H1415" t="s">
        <v>248</v>
      </c>
      <c r="Q1415">
        <v>3821.9882372799998</v>
      </c>
      <c r="R1415">
        <v>33138.604765600001</v>
      </c>
      <c r="S1415">
        <v>-11.2924842577</v>
      </c>
      <c r="T1415">
        <v>-139.547299614</v>
      </c>
      <c r="U1415">
        <v>0</v>
      </c>
      <c r="V1415">
        <v>0</v>
      </c>
    </row>
    <row r="1416" spans="1:22" x14ac:dyDescent="0.2">
      <c r="A1416"/>
      <c r="B1416">
        <v>24481</v>
      </c>
      <c r="C1416" t="s">
        <v>3533</v>
      </c>
      <c r="D1416" t="s">
        <v>920</v>
      </c>
      <c r="E1416" t="s">
        <v>1275</v>
      </c>
      <c r="F1416" t="s">
        <v>1915</v>
      </c>
      <c r="G1416">
        <v>7320.3891256799998</v>
      </c>
      <c r="H1416" t="s">
        <v>248</v>
      </c>
      <c r="Q1416">
        <v>3806.42883033</v>
      </c>
      <c r="R1416">
        <v>33125.212081600002</v>
      </c>
      <c r="S1416">
        <v>-11.269785924000001</v>
      </c>
      <c r="T1416">
        <v>-138.84826741699999</v>
      </c>
      <c r="U1416">
        <v>0</v>
      </c>
      <c r="V1416">
        <v>0</v>
      </c>
    </row>
    <row r="1417" spans="1:22" x14ac:dyDescent="0.2">
      <c r="A1417"/>
      <c r="B1417">
        <v>24482</v>
      </c>
      <c r="C1417" t="s">
        <v>3534</v>
      </c>
      <c r="D1417" t="s">
        <v>920</v>
      </c>
      <c r="E1417" t="s">
        <v>1275</v>
      </c>
      <c r="F1417" t="s">
        <v>1915</v>
      </c>
      <c r="G1417">
        <v>7414.17045753</v>
      </c>
      <c r="H1417" t="s">
        <v>248</v>
      </c>
      <c r="Q1417">
        <v>3739.6053130999999</v>
      </c>
      <c r="R1417">
        <v>33059.495938400003</v>
      </c>
      <c r="S1417">
        <v>-11.284343661399999</v>
      </c>
      <c r="T1417">
        <v>-132.906893338</v>
      </c>
      <c r="U1417">
        <v>0</v>
      </c>
      <c r="V1417">
        <v>0</v>
      </c>
    </row>
    <row r="1418" spans="1:22" x14ac:dyDescent="0.2">
      <c r="A1418"/>
      <c r="B1418">
        <v>24483</v>
      </c>
      <c r="C1418" t="s">
        <v>3535</v>
      </c>
      <c r="D1418" t="s">
        <v>920</v>
      </c>
      <c r="E1418" t="s">
        <v>1275</v>
      </c>
      <c r="F1418" t="s">
        <v>1915</v>
      </c>
      <c r="G1418">
        <v>7428.6976189099996</v>
      </c>
      <c r="H1418" t="s">
        <v>248</v>
      </c>
      <c r="Q1418">
        <v>3729.73035463</v>
      </c>
      <c r="R1418">
        <v>33048.841200299998</v>
      </c>
      <c r="S1418">
        <v>-11.2832877591</v>
      </c>
      <c r="T1418">
        <v>-132.73134447499999</v>
      </c>
      <c r="U1418">
        <v>0</v>
      </c>
      <c r="V1418">
        <v>0</v>
      </c>
    </row>
    <row r="1419" spans="1:22" x14ac:dyDescent="0.2">
      <c r="A1419"/>
      <c r="B1419">
        <v>24484</v>
      </c>
      <c r="C1419" t="s">
        <v>3536</v>
      </c>
      <c r="D1419" t="s">
        <v>920</v>
      </c>
      <c r="E1419" t="s">
        <v>1275</v>
      </c>
      <c r="F1419" t="s">
        <v>1915</v>
      </c>
      <c r="G1419">
        <v>7431.6304240299996</v>
      </c>
      <c r="H1419" t="s">
        <v>248</v>
      </c>
      <c r="Q1419">
        <v>3727.7410784099998</v>
      </c>
      <c r="R1419">
        <v>33046.686177000003</v>
      </c>
      <c r="S1419">
        <v>-11.282641679199999</v>
      </c>
      <c r="T1419">
        <v>-132.68766303800001</v>
      </c>
      <c r="U1419">
        <v>0</v>
      </c>
      <c r="V1419">
        <v>0</v>
      </c>
    </row>
    <row r="1420" spans="1:22" x14ac:dyDescent="0.2">
      <c r="A1420"/>
      <c r="B1420">
        <v>24485</v>
      </c>
      <c r="C1420" t="s">
        <v>3537</v>
      </c>
      <c r="D1420" t="s">
        <v>920</v>
      </c>
      <c r="E1420" t="s">
        <v>1275</v>
      </c>
      <c r="F1420" t="s">
        <v>1915</v>
      </c>
      <c r="G1420">
        <v>7451.1042500599997</v>
      </c>
      <c r="H1420" t="s">
        <v>248</v>
      </c>
      <c r="Q1420">
        <v>3714.5803400200002</v>
      </c>
      <c r="R1420">
        <v>33032.332656699997</v>
      </c>
      <c r="S1420">
        <v>-11.274662792699999</v>
      </c>
      <c r="T1420">
        <v>-132.327395975</v>
      </c>
      <c r="U1420">
        <v>0</v>
      </c>
      <c r="V1420">
        <v>0</v>
      </c>
    </row>
    <row r="1421" spans="1:22" x14ac:dyDescent="0.2">
      <c r="A1421"/>
      <c r="B1421">
        <v>24486</v>
      </c>
      <c r="C1421" t="s">
        <v>3538</v>
      </c>
      <c r="D1421" t="s">
        <v>920</v>
      </c>
      <c r="E1421" t="s">
        <v>1275</v>
      </c>
      <c r="F1421" t="s">
        <v>2310</v>
      </c>
      <c r="G1421">
        <v>5396.4179470099998</v>
      </c>
      <c r="H1421" t="s">
        <v>248</v>
      </c>
      <c r="Q1421">
        <v>4130.9103459799999</v>
      </c>
      <c r="R1421">
        <v>34905.462740900002</v>
      </c>
      <c r="S1421">
        <v>-11.1744362978</v>
      </c>
      <c r="T1421">
        <v>-88.853054962300007</v>
      </c>
      <c r="U1421">
        <v>0</v>
      </c>
      <c r="V1421">
        <v>0</v>
      </c>
    </row>
    <row r="1422" spans="1:22" x14ac:dyDescent="0.2">
      <c r="A1422"/>
      <c r="B1422">
        <v>24487</v>
      </c>
      <c r="C1422" t="s">
        <v>3539</v>
      </c>
      <c r="D1422" t="s">
        <v>920</v>
      </c>
      <c r="E1422" t="s">
        <v>1275</v>
      </c>
      <c r="F1422" t="s">
        <v>2310</v>
      </c>
      <c r="G1422">
        <v>5490.6663622300002</v>
      </c>
      <c r="H1422" t="s">
        <v>248</v>
      </c>
      <c r="Q1422">
        <v>4135.4297871199997</v>
      </c>
      <c r="R1422">
        <v>34811.346910499997</v>
      </c>
      <c r="S1422">
        <v>-11.1732118359</v>
      </c>
      <c r="T1422">
        <v>-85.407928557399998</v>
      </c>
      <c r="U1422">
        <v>0</v>
      </c>
      <c r="V1422">
        <v>0</v>
      </c>
    </row>
    <row r="1423" spans="1:22" x14ac:dyDescent="0.2">
      <c r="A1423"/>
      <c r="B1423">
        <v>24488</v>
      </c>
      <c r="C1423" t="s">
        <v>3540</v>
      </c>
      <c r="D1423" t="s">
        <v>920</v>
      </c>
      <c r="E1423" t="s">
        <v>1275</v>
      </c>
      <c r="F1423" t="s">
        <v>2310</v>
      </c>
      <c r="G1423">
        <v>7484.8361440999997</v>
      </c>
      <c r="H1423" t="s">
        <v>248</v>
      </c>
      <c r="Q1423">
        <v>3647.7746599100001</v>
      </c>
      <c r="R1423">
        <v>32960.976359799999</v>
      </c>
      <c r="S1423">
        <v>-11.3056864989</v>
      </c>
      <c r="T1423">
        <v>-127.05190491099999</v>
      </c>
      <c r="U1423">
        <v>0</v>
      </c>
      <c r="V1423">
        <v>0</v>
      </c>
    </row>
    <row r="1424" spans="1:22" x14ac:dyDescent="0.2">
      <c r="A1424"/>
      <c r="B1424">
        <v>24489</v>
      </c>
      <c r="C1424" t="s">
        <v>3541</v>
      </c>
      <c r="D1424" t="s">
        <v>920</v>
      </c>
      <c r="E1424" t="s">
        <v>1275</v>
      </c>
      <c r="F1424" t="s">
        <v>2325</v>
      </c>
      <c r="G1424">
        <v>277.34322464299999</v>
      </c>
      <c r="H1424" t="s">
        <v>248</v>
      </c>
      <c r="Q1424">
        <v>3355.2988309000002</v>
      </c>
      <c r="R1424">
        <v>32111.1439316</v>
      </c>
      <c r="S1424">
        <v>-10.796367783099999</v>
      </c>
      <c r="T1424">
        <v>-104.53281528300001</v>
      </c>
      <c r="U1424">
        <v>0</v>
      </c>
      <c r="V1424">
        <v>0</v>
      </c>
    </row>
    <row r="1425" spans="1:22" x14ac:dyDescent="0.2">
      <c r="A1425"/>
      <c r="B1425">
        <v>24490</v>
      </c>
      <c r="C1425" t="s">
        <v>3542</v>
      </c>
      <c r="D1425" t="s">
        <v>920</v>
      </c>
      <c r="E1425" t="s">
        <v>1275</v>
      </c>
      <c r="F1425" t="s">
        <v>2330</v>
      </c>
      <c r="G1425">
        <v>219.33598275400001</v>
      </c>
      <c r="H1425" t="s">
        <v>248</v>
      </c>
      <c r="Q1425">
        <v>3263.6955477900001</v>
      </c>
      <c r="R1425">
        <v>31722.315515599999</v>
      </c>
      <c r="S1425">
        <v>-10.798603741100001</v>
      </c>
      <c r="T1425">
        <v>-95.747902719600006</v>
      </c>
      <c r="U1425">
        <v>0</v>
      </c>
      <c r="V1425">
        <v>0</v>
      </c>
    </row>
    <row r="1426" spans="1:22" x14ac:dyDescent="0.2">
      <c r="A1426"/>
      <c r="B1426">
        <v>24491</v>
      </c>
      <c r="C1426" t="s">
        <v>3543</v>
      </c>
      <c r="D1426" t="s">
        <v>920</v>
      </c>
      <c r="E1426" t="s">
        <v>1275</v>
      </c>
      <c r="F1426" t="s">
        <v>2302</v>
      </c>
      <c r="G1426">
        <v>35.1025859282</v>
      </c>
      <c r="H1426" t="s">
        <v>248</v>
      </c>
      <c r="Q1426">
        <v>6896.1885688100001</v>
      </c>
      <c r="R1426">
        <v>36807.395611400003</v>
      </c>
      <c r="S1426">
        <v>-9.1490761668400005</v>
      </c>
      <c r="T1426">
        <v>53.213681483800002</v>
      </c>
      <c r="U1426">
        <v>0</v>
      </c>
      <c r="V1426">
        <v>0</v>
      </c>
    </row>
    <row r="1427" spans="1:22" x14ac:dyDescent="0.2">
      <c r="A1427"/>
      <c r="B1427">
        <v>24492</v>
      </c>
      <c r="C1427" t="s">
        <v>3544</v>
      </c>
      <c r="D1427" t="s">
        <v>920</v>
      </c>
      <c r="E1427" t="s">
        <v>1275</v>
      </c>
      <c r="F1427" t="s">
        <v>2302</v>
      </c>
      <c r="G1427">
        <v>52.397825546599996</v>
      </c>
      <c r="H1427" t="s">
        <v>248</v>
      </c>
      <c r="Q1427">
        <v>6906.5462350300004</v>
      </c>
      <c r="R1427">
        <v>36821.246389899999</v>
      </c>
      <c r="S1427">
        <v>-9.1482665495000006</v>
      </c>
      <c r="T1427">
        <v>53.207776829499998</v>
      </c>
      <c r="U1427">
        <v>0</v>
      </c>
      <c r="V1427">
        <v>0</v>
      </c>
    </row>
    <row r="1428" spans="1:22" x14ac:dyDescent="0.2">
      <c r="A1428"/>
      <c r="B1428">
        <v>24493</v>
      </c>
      <c r="C1428" t="s">
        <v>3545</v>
      </c>
      <c r="D1428" t="s">
        <v>920</v>
      </c>
      <c r="E1428" t="s">
        <v>1275</v>
      </c>
      <c r="F1428" t="s">
        <v>2302</v>
      </c>
      <c r="G1428">
        <v>55.889462078000001</v>
      </c>
      <c r="H1428" t="s">
        <v>248</v>
      </c>
      <c r="Q1428">
        <v>6908.6374568600004</v>
      </c>
      <c r="R1428">
        <v>36824.042515200003</v>
      </c>
      <c r="S1428">
        <v>-9.1481096821799994</v>
      </c>
      <c r="T1428">
        <v>53.206603235400003</v>
      </c>
      <c r="U1428">
        <v>0</v>
      </c>
      <c r="V1428">
        <v>0</v>
      </c>
    </row>
    <row r="1429" spans="1:22" x14ac:dyDescent="0.2">
      <c r="A1429"/>
      <c r="B1429">
        <v>24494</v>
      </c>
      <c r="C1429" t="s">
        <v>3546</v>
      </c>
      <c r="D1429" t="s">
        <v>920</v>
      </c>
      <c r="E1429" t="s">
        <v>1275</v>
      </c>
      <c r="F1429" t="s">
        <v>2302</v>
      </c>
      <c r="G1429">
        <v>79.073928645899997</v>
      </c>
      <c r="H1429" t="s">
        <v>248</v>
      </c>
      <c r="Q1429">
        <v>6922.5246042400004</v>
      </c>
      <c r="R1429">
        <v>36842.607714500002</v>
      </c>
      <c r="S1429">
        <v>-9.1471241603600006</v>
      </c>
      <c r="T1429">
        <v>53.198967893999999</v>
      </c>
      <c r="U1429">
        <v>0</v>
      </c>
      <c r="V1429">
        <v>0</v>
      </c>
    </row>
    <row r="1430" spans="1:22" x14ac:dyDescent="0.2">
      <c r="A1430"/>
      <c r="B1430">
        <v>24495</v>
      </c>
      <c r="C1430" t="s">
        <v>3547</v>
      </c>
      <c r="D1430" t="s">
        <v>920</v>
      </c>
      <c r="E1430" t="s">
        <v>1275</v>
      </c>
      <c r="F1430" t="s">
        <v>2302</v>
      </c>
      <c r="G1430">
        <v>82.5655651772</v>
      </c>
      <c r="H1430" t="s">
        <v>248</v>
      </c>
      <c r="Q1430">
        <v>6924.6162547900003</v>
      </c>
      <c r="R1430">
        <v>36845.403519200001</v>
      </c>
      <c r="S1430">
        <v>-9.1469841844400008</v>
      </c>
      <c r="T1430">
        <v>53.197841686499999</v>
      </c>
      <c r="U1430">
        <v>0</v>
      </c>
      <c r="V1430">
        <v>0</v>
      </c>
    </row>
    <row r="1431" spans="1:22" x14ac:dyDescent="0.2">
      <c r="A1431"/>
      <c r="B1431">
        <v>24496</v>
      </c>
      <c r="C1431" t="s">
        <v>3548</v>
      </c>
      <c r="D1431" t="s">
        <v>920</v>
      </c>
      <c r="E1431" t="s">
        <v>1275</v>
      </c>
      <c r="F1431" t="s">
        <v>2302</v>
      </c>
      <c r="G1431">
        <v>150.09381569300001</v>
      </c>
      <c r="H1431" t="s">
        <v>248</v>
      </c>
      <c r="Q1431">
        <v>6965.0791905300002</v>
      </c>
      <c r="R1431">
        <v>36899.466587900002</v>
      </c>
      <c r="S1431">
        <v>-9.1447118998499999</v>
      </c>
      <c r="T1431">
        <v>53.177280777100002</v>
      </c>
      <c r="U1431">
        <v>0</v>
      </c>
      <c r="V1431">
        <v>0</v>
      </c>
    </row>
    <row r="1432" spans="1:22" x14ac:dyDescent="0.2">
      <c r="A1432"/>
      <c r="B1432">
        <v>24497</v>
      </c>
      <c r="C1432" t="s">
        <v>3549</v>
      </c>
      <c r="D1432" t="s">
        <v>920</v>
      </c>
      <c r="E1432" t="s">
        <v>1275</v>
      </c>
      <c r="F1432" t="s">
        <v>2302</v>
      </c>
      <c r="G1432">
        <v>190.94596310899999</v>
      </c>
      <c r="H1432" t="s">
        <v>248</v>
      </c>
      <c r="Q1432">
        <v>6989.5668284399999</v>
      </c>
      <c r="R1432">
        <v>36932.166030200002</v>
      </c>
      <c r="S1432">
        <v>-9.1437387152500005</v>
      </c>
      <c r="T1432">
        <v>53.165968434500002</v>
      </c>
      <c r="U1432">
        <v>0</v>
      </c>
      <c r="V1432">
        <v>0</v>
      </c>
    </row>
    <row r="1433" spans="1:22" x14ac:dyDescent="0.2">
      <c r="A1433"/>
      <c r="B1433">
        <v>24498</v>
      </c>
      <c r="C1433" t="s">
        <v>3550</v>
      </c>
      <c r="D1433" t="s">
        <v>920</v>
      </c>
      <c r="E1433" t="s">
        <v>1275</v>
      </c>
      <c r="F1433" t="s">
        <v>2302</v>
      </c>
      <c r="G1433">
        <v>194.43759964099999</v>
      </c>
      <c r="H1433" t="s">
        <v>248</v>
      </c>
      <c r="Q1433">
        <v>6991.6600840299998</v>
      </c>
      <c r="R1433">
        <v>36934.960633399998</v>
      </c>
      <c r="S1433">
        <v>-9.1436695757299997</v>
      </c>
      <c r="T1433">
        <v>53.165040953000002</v>
      </c>
      <c r="U1433">
        <v>0</v>
      </c>
      <c r="V1433">
        <v>0</v>
      </c>
    </row>
    <row r="1434" spans="1:22" x14ac:dyDescent="0.2">
      <c r="A1434"/>
      <c r="B1434">
        <v>24499</v>
      </c>
      <c r="C1434" t="s">
        <v>3551</v>
      </c>
      <c r="D1434" t="s">
        <v>920</v>
      </c>
      <c r="E1434" t="s">
        <v>1275</v>
      </c>
      <c r="F1434" t="s">
        <v>2302</v>
      </c>
      <c r="G1434">
        <v>217.622066209</v>
      </c>
      <c r="H1434" t="s">
        <v>248</v>
      </c>
      <c r="Q1434">
        <v>7005.5604303299997</v>
      </c>
      <c r="R1434">
        <v>36953.515952299997</v>
      </c>
      <c r="S1434">
        <v>-9.1432665719599999</v>
      </c>
      <c r="T1434">
        <v>53.159039800000002</v>
      </c>
      <c r="U1434">
        <v>0</v>
      </c>
      <c r="V1434">
        <v>0</v>
      </c>
    </row>
    <row r="1435" spans="1:22" x14ac:dyDescent="0.2">
      <c r="A1435"/>
      <c r="B1435">
        <v>24500</v>
      </c>
      <c r="C1435" t="s">
        <v>3552</v>
      </c>
      <c r="D1435" t="s">
        <v>920</v>
      </c>
      <c r="E1435" t="s">
        <v>1275</v>
      </c>
      <c r="F1435" t="s">
        <v>2302</v>
      </c>
      <c r="G1435">
        <v>221.11370274000001</v>
      </c>
      <c r="H1435" t="s">
        <v>248</v>
      </c>
      <c r="Q1435">
        <v>7007.6540226899997</v>
      </c>
      <c r="R1435">
        <v>36956.3103032</v>
      </c>
      <c r="S1435">
        <v>-9.1432143247600006</v>
      </c>
      <c r="T1435">
        <v>53.158159705199999</v>
      </c>
      <c r="U1435">
        <v>0</v>
      </c>
      <c r="V1435">
        <v>0</v>
      </c>
    </row>
    <row r="1436" spans="1:22" x14ac:dyDescent="0.2">
      <c r="A1436"/>
      <c r="B1436">
        <v>24501</v>
      </c>
      <c r="C1436" t="s">
        <v>3553</v>
      </c>
      <c r="D1436" t="s">
        <v>920</v>
      </c>
      <c r="E1436" t="s">
        <v>1275</v>
      </c>
      <c r="F1436" t="s">
        <v>1915</v>
      </c>
      <c r="G1436">
        <v>2413.2978003500002</v>
      </c>
      <c r="H1436" t="s">
        <v>248</v>
      </c>
      <c r="Q1436">
        <v>5304.9172666900004</v>
      </c>
      <c r="R1436">
        <v>37564.8403225</v>
      </c>
      <c r="S1436">
        <v>-10.087899102</v>
      </c>
      <c r="T1436">
        <v>-145.876912887</v>
      </c>
      <c r="U1436">
        <v>0</v>
      </c>
      <c r="V1436">
        <v>0</v>
      </c>
    </row>
    <row r="1437" spans="1:22" x14ac:dyDescent="0.2">
      <c r="A1437"/>
      <c r="B1437">
        <v>24502</v>
      </c>
      <c r="C1437" t="s">
        <v>3554</v>
      </c>
      <c r="D1437" t="s">
        <v>920</v>
      </c>
      <c r="E1437" t="s">
        <v>1275</v>
      </c>
      <c r="F1437" t="s">
        <v>1915</v>
      </c>
      <c r="G1437">
        <v>2507.2648765200001</v>
      </c>
      <c r="H1437" t="s">
        <v>248</v>
      </c>
      <c r="Q1437">
        <v>5229.4213724499996</v>
      </c>
      <c r="R1437">
        <v>37508.941284300003</v>
      </c>
      <c r="S1437">
        <v>-10.073811752899999</v>
      </c>
      <c r="T1437">
        <v>-141.61254778599999</v>
      </c>
      <c r="U1437">
        <v>0</v>
      </c>
      <c r="V1437">
        <v>0</v>
      </c>
    </row>
    <row r="1438" spans="1:22" x14ac:dyDescent="0.2">
      <c r="A1438"/>
      <c r="B1438">
        <v>24503</v>
      </c>
      <c r="C1438" t="s">
        <v>3555</v>
      </c>
      <c r="D1438" t="s">
        <v>920</v>
      </c>
      <c r="E1438" t="s">
        <v>1275</v>
      </c>
      <c r="F1438" t="s">
        <v>1915</v>
      </c>
      <c r="G1438">
        <v>2580.9173891999999</v>
      </c>
      <c r="H1438" t="s">
        <v>248</v>
      </c>
      <c r="Q1438">
        <v>5171.7382620799999</v>
      </c>
      <c r="R1438">
        <v>37463.154655500002</v>
      </c>
      <c r="S1438">
        <v>-10.886661004500001</v>
      </c>
      <c r="T1438">
        <v>-141.480736331</v>
      </c>
      <c r="U1438">
        <v>0</v>
      </c>
      <c r="V1438">
        <v>0</v>
      </c>
    </row>
    <row r="1439" spans="1:22" x14ac:dyDescent="0.2">
      <c r="A1439"/>
      <c r="B1439">
        <v>24504</v>
      </c>
      <c r="C1439" t="s">
        <v>3556</v>
      </c>
      <c r="D1439" t="s">
        <v>920</v>
      </c>
      <c r="E1439" t="s">
        <v>1275</v>
      </c>
      <c r="F1439" t="s">
        <v>1915</v>
      </c>
      <c r="G1439">
        <v>3622.12186432</v>
      </c>
      <c r="H1439" t="s">
        <v>248</v>
      </c>
      <c r="Q1439">
        <v>4694.8942027200001</v>
      </c>
      <c r="R1439">
        <v>36567.599361200002</v>
      </c>
      <c r="S1439">
        <v>-14.8963110577</v>
      </c>
      <c r="T1439">
        <v>-97.497823257099995</v>
      </c>
      <c r="U1439">
        <v>0</v>
      </c>
      <c r="V1439">
        <v>0</v>
      </c>
    </row>
    <row r="1440" spans="1:22" x14ac:dyDescent="0.2">
      <c r="A1440"/>
      <c r="B1440">
        <v>24505</v>
      </c>
      <c r="C1440" t="s">
        <v>3557</v>
      </c>
      <c r="D1440" t="s">
        <v>920</v>
      </c>
      <c r="E1440" t="s">
        <v>1275</v>
      </c>
      <c r="F1440" t="s">
        <v>1915</v>
      </c>
      <c r="G1440">
        <v>7454.0370551799997</v>
      </c>
      <c r="H1440" t="s">
        <v>248</v>
      </c>
      <c r="Q1440">
        <v>3712.6067072699998</v>
      </c>
      <c r="R1440">
        <v>33030.163298300002</v>
      </c>
      <c r="S1440">
        <v>-11.272905593600001</v>
      </c>
      <c r="T1440">
        <v>-132.26256323699999</v>
      </c>
      <c r="U1440">
        <v>0</v>
      </c>
      <c r="V1440">
        <v>0</v>
      </c>
    </row>
    <row r="1441" spans="1:22" x14ac:dyDescent="0.2">
      <c r="A1441"/>
      <c r="B1441">
        <v>24506</v>
      </c>
      <c r="C1441" t="s">
        <v>3558</v>
      </c>
      <c r="D1441" t="s">
        <v>920</v>
      </c>
      <c r="E1441" t="s">
        <v>1275</v>
      </c>
      <c r="F1441" t="s">
        <v>1915</v>
      </c>
      <c r="G1441">
        <v>7510.7575062799997</v>
      </c>
      <c r="H1441" t="s">
        <v>248</v>
      </c>
      <c r="Q1441">
        <v>3675.2117567999999</v>
      </c>
      <c r="R1441">
        <v>32987.523179800002</v>
      </c>
      <c r="S1441">
        <v>-11.2853291397</v>
      </c>
      <c r="T1441">
        <v>-129.584304815</v>
      </c>
      <c r="U1441">
        <v>0</v>
      </c>
      <c r="V1441">
        <v>0</v>
      </c>
    </row>
    <row r="1442" spans="1:22" x14ac:dyDescent="0.2">
      <c r="A1442"/>
      <c r="B1442">
        <v>24507</v>
      </c>
      <c r="C1442" t="s">
        <v>3559</v>
      </c>
      <c r="D1442" t="s">
        <v>920</v>
      </c>
      <c r="E1442" t="s">
        <v>1275</v>
      </c>
      <c r="F1442" t="s">
        <v>1915</v>
      </c>
      <c r="G1442">
        <v>7545.0713262299996</v>
      </c>
      <c r="H1442" t="s">
        <v>248</v>
      </c>
      <c r="Q1442">
        <v>3653.8591776399999</v>
      </c>
      <c r="R1442">
        <v>32960.664853900002</v>
      </c>
      <c r="S1442">
        <v>-11.276681035899999</v>
      </c>
      <c r="T1442">
        <v>-127.452934966</v>
      </c>
      <c r="U1442">
        <v>0</v>
      </c>
      <c r="V1442">
        <v>0</v>
      </c>
    </row>
    <row r="1443" spans="1:22" x14ac:dyDescent="0.2">
      <c r="A1443"/>
      <c r="B1443">
        <v>24508</v>
      </c>
      <c r="C1443" t="s">
        <v>3560</v>
      </c>
      <c r="D1443" t="s">
        <v>920</v>
      </c>
      <c r="E1443" t="s">
        <v>1275</v>
      </c>
      <c r="F1443" t="s">
        <v>1915</v>
      </c>
      <c r="G1443">
        <v>7548.0041313499996</v>
      </c>
      <c r="H1443" t="s">
        <v>248</v>
      </c>
      <c r="Q1443">
        <v>3652.0790440999999</v>
      </c>
      <c r="R1443">
        <v>32958.334089299999</v>
      </c>
      <c r="S1443">
        <v>-11.275672845200001</v>
      </c>
      <c r="T1443">
        <v>-127.28949520499999</v>
      </c>
      <c r="U1443">
        <v>0</v>
      </c>
      <c r="V1443">
        <v>0</v>
      </c>
    </row>
    <row r="1444" spans="1:22" x14ac:dyDescent="0.2">
      <c r="A1444"/>
      <c r="B1444">
        <v>24509</v>
      </c>
      <c r="C1444" t="s">
        <v>3561</v>
      </c>
      <c r="D1444" t="s">
        <v>920</v>
      </c>
      <c r="E1444" t="s">
        <v>1275</v>
      </c>
      <c r="F1444" t="s">
        <v>1915</v>
      </c>
      <c r="G1444">
        <v>7567.4779573799997</v>
      </c>
      <c r="H1444" t="s">
        <v>248</v>
      </c>
      <c r="Q1444">
        <v>3640.4214029999998</v>
      </c>
      <c r="R1444">
        <v>32942.7353926</v>
      </c>
      <c r="S1444">
        <v>-11.269631881</v>
      </c>
      <c r="T1444">
        <v>-126.27076588200001</v>
      </c>
      <c r="U1444">
        <v>0</v>
      </c>
      <c r="V1444">
        <v>0</v>
      </c>
    </row>
    <row r="1445" spans="1:22" x14ac:dyDescent="0.2">
      <c r="A1445"/>
      <c r="B1445">
        <v>24510</v>
      </c>
      <c r="C1445" t="s">
        <v>3562</v>
      </c>
      <c r="D1445" t="s">
        <v>920</v>
      </c>
      <c r="E1445" t="s">
        <v>1275</v>
      </c>
      <c r="F1445" t="s">
        <v>1915</v>
      </c>
      <c r="G1445">
        <v>7570.4107624999997</v>
      </c>
      <c r="H1445" t="s">
        <v>248</v>
      </c>
      <c r="Q1445">
        <v>3638.6894418900001</v>
      </c>
      <c r="R1445">
        <v>32940.368611700003</v>
      </c>
      <c r="S1445">
        <v>-11.2701494285</v>
      </c>
      <c r="T1445">
        <v>-126.12097667499999</v>
      </c>
      <c r="U1445">
        <v>0</v>
      </c>
      <c r="V1445">
        <v>0</v>
      </c>
    </row>
    <row r="1446" spans="1:22" x14ac:dyDescent="0.2">
      <c r="A1446"/>
      <c r="B1446">
        <v>24511</v>
      </c>
      <c r="C1446" t="s">
        <v>3563</v>
      </c>
      <c r="D1446" t="s">
        <v>920</v>
      </c>
      <c r="E1446" t="s">
        <v>1275</v>
      </c>
      <c r="F1446" t="s">
        <v>1915</v>
      </c>
      <c r="G1446">
        <v>7624.4232568699999</v>
      </c>
      <c r="H1446" t="s">
        <v>248</v>
      </c>
      <c r="Q1446">
        <v>3607.4765579300001</v>
      </c>
      <c r="R1446">
        <v>32896.288896700004</v>
      </c>
      <c r="S1446">
        <v>-11.279957891</v>
      </c>
      <c r="T1446">
        <v>-125.04912996100001</v>
      </c>
      <c r="U1446">
        <v>0</v>
      </c>
      <c r="V1446">
        <v>0</v>
      </c>
    </row>
    <row r="1447" spans="1:22" x14ac:dyDescent="0.2">
      <c r="A1447"/>
      <c r="B1447">
        <v>24512</v>
      </c>
      <c r="C1447" t="s">
        <v>3564</v>
      </c>
      <c r="D1447" t="s">
        <v>920</v>
      </c>
      <c r="E1447" t="s">
        <v>1275</v>
      </c>
      <c r="F1447" t="s">
        <v>1915</v>
      </c>
      <c r="G1447">
        <v>7644.9528927399997</v>
      </c>
      <c r="H1447" t="s">
        <v>248</v>
      </c>
      <c r="Q1447">
        <v>3595.7886668199999</v>
      </c>
      <c r="R1447">
        <v>32879.411310000003</v>
      </c>
      <c r="S1447">
        <v>-11.2724325585</v>
      </c>
      <c r="T1447">
        <v>-124.320364423</v>
      </c>
      <c r="U1447">
        <v>0</v>
      </c>
      <c r="V1447">
        <v>0</v>
      </c>
    </row>
    <row r="1448" spans="1:22" x14ac:dyDescent="0.2">
      <c r="A1448"/>
      <c r="B1448">
        <v>24513</v>
      </c>
      <c r="C1448" t="s">
        <v>3565</v>
      </c>
      <c r="D1448" t="s">
        <v>920</v>
      </c>
      <c r="E1448" t="s">
        <v>1275</v>
      </c>
      <c r="F1448" t="s">
        <v>1915</v>
      </c>
      <c r="G1448">
        <v>7701.92752028</v>
      </c>
      <c r="H1448" t="s">
        <v>248</v>
      </c>
      <c r="Q1448">
        <v>3565.63313466</v>
      </c>
      <c r="R1448">
        <v>32831.096548900001</v>
      </c>
      <c r="S1448">
        <v>-11.2872563514</v>
      </c>
      <c r="T1448">
        <v>-118.915801268</v>
      </c>
      <c r="U1448">
        <v>0</v>
      </c>
      <c r="V1448">
        <v>0</v>
      </c>
    </row>
    <row r="1449" spans="1:22" x14ac:dyDescent="0.2">
      <c r="A1449"/>
      <c r="B1449">
        <v>24514</v>
      </c>
      <c r="C1449" t="s">
        <v>3566</v>
      </c>
      <c r="D1449" t="s">
        <v>920</v>
      </c>
      <c r="E1449" t="s">
        <v>1275</v>
      </c>
      <c r="F1449" t="s">
        <v>1915</v>
      </c>
      <c r="G1449">
        <v>7753.5448904599998</v>
      </c>
      <c r="H1449" t="s">
        <v>248</v>
      </c>
      <c r="Q1449">
        <v>3542.7170235100002</v>
      </c>
      <c r="R1449">
        <v>32784.855663000002</v>
      </c>
      <c r="S1449">
        <v>-11.2805453474</v>
      </c>
      <c r="T1449">
        <v>-115.13641707399999</v>
      </c>
      <c r="U1449">
        <v>0</v>
      </c>
      <c r="V1449">
        <v>0</v>
      </c>
    </row>
    <row r="1450" spans="1:22" x14ac:dyDescent="0.2">
      <c r="A1450"/>
      <c r="B1450">
        <v>24515</v>
      </c>
      <c r="C1450" t="s">
        <v>3567</v>
      </c>
      <c r="D1450" t="s">
        <v>920</v>
      </c>
      <c r="E1450" t="s">
        <v>1275</v>
      </c>
      <c r="F1450" t="s">
        <v>1915</v>
      </c>
      <c r="G1450">
        <v>7807.7040250800001</v>
      </c>
      <c r="H1450" t="s">
        <v>248</v>
      </c>
      <c r="Q1450">
        <v>3519.9793650000001</v>
      </c>
      <c r="R1450">
        <v>32735.700822399998</v>
      </c>
      <c r="S1450">
        <v>-11.2862244401</v>
      </c>
      <c r="T1450">
        <v>-114.778635392</v>
      </c>
      <c r="U1450">
        <v>0</v>
      </c>
      <c r="V1450">
        <v>0</v>
      </c>
    </row>
    <row r="1451" spans="1:22" x14ac:dyDescent="0.2">
      <c r="A1451"/>
      <c r="B1451">
        <v>24516</v>
      </c>
      <c r="C1451" t="s">
        <v>3568</v>
      </c>
      <c r="D1451" t="s">
        <v>920</v>
      </c>
      <c r="E1451" t="s">
        <v>1275</v>
      </c>
      <c r="F1451" t="s">
        <v>2313</v>
      </c>
      <c r="G1451">
        <v>26.700030897800001</v>
      </c>
      <c r="H1451" t="s">
        <v>248</v>
      </c>
      <c r="Q1451">
        <v>3506.4967590299998</v>
      </c>
      <c r="R1451">
        <v>32706.573560100001</v>
      </c>
      <c r="S1451">
        <v>-11.2870803733</v>
      </c>
      <c r="T1451">
        <v>-114.888135965</v>
      </c>
      <c r="U1451">
        <v>0</v>
      </c>
      <c r="V1451">
        <v>0</v>
      </c>
    </row>
    <row r="1452" spans="1:22" x14ac:dyDescent="0.2">
      <c r="A1452"/>
      <c r="B1452">
        <v>24517</v>
      </c>
      <c r="C1452" t="s">
        <v>3569</v>
      </c>
      <c r="D1452" t="s">
        <v>920</v>
      </c>
      <c r="E1452" t="s">
        <v>1275</v>
      </c>
      <c r="F1452" t="s">
        <v>2313</v>
      </c>
      <c r="G1452">
        <v>76.840523169799994</v>
      </c>
      <c r="H1452" t="s">
        <v>248</v>
      </c>
      <c r="Q1452">
        <v>3485.3731295299999</v>
      </c>
      <c r="R1452">
        <v>32661.099834100001</v>
      </c>
      <c r="S1452">
        <v>-11.257857682599999</v>
      </c>
      <c r="T1452">
        <v>-114.897499611</v>
      </c>
      <c r="U1452">
        <v>0</v>
      </c>
      <c r="V1452">
        <v>0</v>
      </c>
    </row>
    <row r="1453" spans="1:22" x14ac:dyDescent="0.2">
      <c r="A1453"/>
      <c r="B1453">
        <v>24518</v>
      </c>
      <c r="C1453" t="s">
        <v>3570</v>
      </c>
      <c r="D1453" t="s">
        <v>920</v>
      </c>
      <c r="E1453" t="s">
        <v>1275</v>
      </c>
      <c r="F1453" t="s">
        <v>2313</v>
      </c>
      <c r="G1453">
        <v>121.643196893</v>
      </c>
      <c r="H1453" t="s">
        <v>248</v>
      </c>
      <c r="Q1453">
        <v>3466.64423364</v>
      </c>
      <c r="R1453">
        <v>32620.400412899999</v>
      </c>
      <c r="S1453">
        <v>-11.075552458800001</v>
      </c>
      <c r="T1453">
        <v>-113.926796479</v>
      </c>
      <c r="U1453">
        <v>0</v>
      </c>
      <c r="V1453">
        <v>0</v>
      </c>
    </row>
    <row r="1454" spans="1:22" x14ac:dyDescent="0.2">
      <c r="A1454"/>
      <c r="B1454">
        <v>24519</v>
      </c>
      <c r="C1454" t="s">
        <v>3571</v>
      </c>
      <c r="D1454" t="s">
        <v>920</v>
      </c>
      <c r="E1454" t="s">
        <v>1275</v>
      </c>
      <c r="F1454" t="s">
        <v>2313</v>
      </c>
      <c r="G1454">
        <v>181.978047541</v>
      </c>
      <c r="H1454" t="s">
        <v>248</v>
      </c>
      <c r="Q1454">
        <v>3446.2306898000002</v>
      </c>
      <c r="R1454">
        <v>32563.6806468</v>
      </c>
      <c r="S1454">
        <v>-10.799907707599999</v>
      </c>
      <c r="T1454">
        <v>-105.634093468</v>
      </c>
      <c r="U1454">
        <v>0</v>
      </c>
      <c r="V1454">
        <v>0</v>
      </c>
    </row>
    <row r="1455" spans="1:22" x14ac:dyDescent="0.2">
      <c r="A1455"/>
      <c r="B1455">
        <v>24520</v>
      </c>
      <c r="C1455" t="s">
        <v>3572</v>
      </c>
      <c r="D1455" t="s">
        <v>920</v>
      </c>
      <c r="E1455" t="s">
        <v>1275</v>
      </c>
      <c r="F1455" t="s">
        <v>2313</v>
      </c>
      <c r="G1455">
        <v>221.22413965999999</v>
      </c>
      <c r="H1455" t="s">
        <v>248</v>
      </c>
      <c r="Q1455">
        <v>3437.45187493</v>
      </c>
      <c r="R1455">
        <v>32525.443801900001</v>
      </c>
      <c r="S1455">
        <v>-10.7820639541</v>
      </c>
      <c r="T1455">
        <v>-100.38307843</v>
      </c>
      <c r="U1455">
        <v>0</v>
      </c>
      <c r="V1455">
        <v>0</v>
      </c>
    </row>
    <row r="1456" spans="1:22" x14ac:dyDescent="0.2">
      <c r="A1456"/>
      <c r="B1456">
        <v>24521</v>
      </c>
      <c r="C1456" t="s">
        <v>3573</v>
      </c>
      <c r="D1456" t="s">
        <v>920</v>
      </c>
      <c r="E1456" t="s">
        <v>1275</v>
      </c>
      <c r="F1456" t="s">
        <v>2316</v>
      </c>
      <c r="G1456">
        <v>33.104705741099998</v>
      </c>
      <c r="H1456" t="s">
        <v>248</v>
      </c>
      <c r="Q1456">
        <v>3421.5963982200001</v>
      </c>
      <c r="R1456">
        <v>32433.259793099998</v>
      </c>
      <c r="S1456">
        <v>-10.7691113562</v>
      </c>
      <c r="T1456">
        <v>-99.638074095600004</v>
      </c>
      <c r="U1456">
        <v>0</v>
      </c>
      <c r="V1456">
        <v>0</v>
      </c>
    </row>
    <row r="1457" spans="1:22" x14ac:dyDescent="0.2">
      <c r="A1457"/>
      <c r="B1457">
        <v>24522</v>
      </c>
      <c r="C1457" t="s">
        <v>3574</v>
      </c>
      <c r="D1457" t="s">
        <v>920</v>
      </c>
      <c r="E1457" t="s">
        <v>1275</v>
      </c>
      <c r="F1457" t="s">
        <v>2316</v>
      </c>
      <c r="G1457">
        <v>131.02003258100001</v>
      </c>
      <c r="H1457" t="s">
        <v>248</v>
      </c>
      <c r="Q1457">
        <v>3405.1849553699999</v>
      </c>
      <c r="R1457">
        <v>32336.729617000001</v>
      </c>
      <c r="S1457">
        <v>-10.782354617499999</v>
      </c>
      <c r="T1457">
        <v>-99.688872027200006</v>
      </c>
      <c r="U1457">
        <v>0</v>
      </c>
      <c r="V1457">
        <v>0</v>
      </c>
    </row>
    <row r="1458" spans="1:22" x14ac:dyDescent="0.2">
      <c r="A1458"/>
      <c r="B1458">
        <v>24523</v>
      </c>
      <c r="C1458" t="s">
        <v>3575</v>
      </c>
      <c r="D1458" t="s">
        <v>920</v>
      </c>
      <c r="E1458" t="s">
        <v>1275</v>
      </c>
      <c r="F1458" t="s">
        <v>2316</v>
      </c>
      <c r="G1458">
        <v>150.60309794899999</v>
      </c>
      <c r="H1458" t="s">
        <v>248</v>
      </c>
      <c r="Q1458">
        <v>3401.8836527100002</v>
      </c>
      <c r="R1458">
        <v>32317.426823500002</v>
      </c>
      <c r="S1458">
        <v>-10.7826963247</v>
      </c>
      <c r="T1458">
        <v>-99.7230352638</v>
      </c>
      <c r="U1458">
        <v>0</v>
      </c>
      <c r="V1458">
        <v>0</v>
      </c>
    </row>
    <row r="1459" spans="1:22" x14ac:dyDescent="0.2">
      <c r="A1459"/>
      <c r="B1459">
        <v>24524</v>
      </c>
      <c r="C1459" t="s">
        <v>3576</v>
      </c>
      <c r="D1459" t="s">
        <v>920</v>
      </c>
      <c r="E1459" t="s">
        <v>1275</v>
      </c>
      <c r="F1459" t="s">
        <v>2316</v>
      </c>
      <c r="G1459">
        <v>240.54531960400001</v>
      </c>
      <c r="H1459" t="s">
        <v>248</v>
      </c>
      <c r="Q1459">
        <v>3386.5102612400001</v>
      </c>
      <c r="R1459">
        <v>32228.8082751</v>
      </c>
      <c r="S1459">
        <v>-10.7720840735</v>
      </c>
      <c r="T1459">
        <v>-99.9904703901</v>
      </c>
      <c r="U1459">
        <v>0</v>
      </c>
      <c r="V1459">
        <v>0</v>
      </c>
    </row>
    <row r="1460" spans="1:22" x14ac:dyDescent="0.2">
      <c r="A1460"/>
      <c r="B1460">
        <v>24525</v>
      </c>
      <c r="C1460" t="s">
        <v>3577</v>
      </c>
      <c r="D1460" t="s">
        <v>920</v>
      </c>
      <c r="E1460" t="s">
        <v>1275</v>
      </c>
      <c r="F1460" t="s">
        <v>2316</v>
      </c>
      <c r="G1460">
        <v>254.40266966900001</v>
      </c>
      <c r="H1460" t="s">
        <v>248</v>
      </c>
      <c r="Q1460">
        <v>3384.0994843100002</v>
      </c>
      <c r="R1460">
        <v>32215.1622398</v>
      </c>
      <c r="S1460">
        <v>-10.768670343</v>
      </c>
      <c r="T1460">
        <v>-100.047812771</v>
      </c>
      <c r="U1460">
        <v>0</v>
      </c>
      <c r="V1460">
        <v>0</v>
      </c>
    </row>
    <row r="1461" spans="1:22" x14ac:dyDescent="0.2">
      <c r="A1461"/>
      <c r="B1461">
        <v>24526</v>
      </c>
      <c r="C1461" t="s">
        <v>3578</v>
      </c>
      <c r="D1461" t="s">
        <v>920</v>
      </c>
      <c r="E1461" t="s">
        <v>1275</v>
      </c>
      <c r="F1461" t="s">
        <v>2316</v>
      </c>
      <c r="G1461">
        <v>257.20025043599998</v>
      </c>
      <c r="H1461" t="s">
        <v>248</v>
      </c>
      <c r="Q1461">
        <v>3383.61106032</v>
      </c>
      <c r="R1461">
        <v>32212.4076255</v>
      </c>
      <c r="S1461">
        <v>-10.768273045400001</v>
      </c>
      <c r="T1461">
        <v>-100.06440322900001</v>
      </c>
      <c r="U1461">
        <v>0</v>
      </c>
      <c r="V1461">
        <v>0</v>
      </c>
    </row>
    <row r="1462" spans="1:22" x14ac:dyDescent="0.2">
      <c r="A1462"/>
      <c r="B1462">
        <v>24527</v>
      </c>
      <c r="C1462" t="s">
        <v>3579</v>
      </c>
      <c r="D1462" t="s">
        <v>920</v>
      </c>
      <c r="E1462" t="s">
        <v>1275</v>
      </c>
      <c r="F1462" t="s">
        <v>2316</v>
      </c>
      <c r="G1462">
        <v>275.77618672800003</v>
      </c>
      <c r="H1462" t="s">
        <v>248</v>
      </c>
      <c r="Q1462">
        <v>3380.20746852</v>
      </c>
      <c r="R1462">
        <v>32194.1465914</v>
      </c>
      <c r="S1462">
        <v>-10.7735176487</v>
      </c>
      <c r="T1462">
        <v>-101.27877513200001</v>
      </c>
      <c r="U1462">
        <v>0</v>
      </c>
      <c r="V1462">
        <v>0</v>
      </c>
    </row>
    <row r="1463" spans="1:22" x14ac:dyDescent="0.2">
      <c r="A1463"/>
      <c r="B1463">
        <v>24528</v>
      </c>
      <c r="C1463" t="s">
        <v>3580</v>
      </c>
      <c r="D1463" t="s">
        <v>920</v>
      </c>
      <c r="E1463" t="s">
        <v>1275</v>
      </c>
      <c r="F1463" t="s">
        <v>2316</v>
      </c>
      <c r="G1463">
        <v>278.57376749399998</v>
      </c>
      <c r="H1463" t="s">
        <v>248</v>
      </c>
      <c r="Q1463">
        <v>3379.65476141</v>
      </c>
      <c r="R1463">
        <v>32191.404154200001</v>
      </c>
      <c r="S1463">
        <v>-10.7744120178</v>
      </c>
      <c r="T1463">
        <v>-101.510741139</v>
      </c>
      <c r="U1463">
        <v>0</v>
      </c>
      <c r="V1463">
        <v>0</v>
      </c>
    </row>
    <row r="1464" spans="1:22" x14ac:dyDescent="0.2">
      <c r="A1464"/>
      <c r="B1464">
        <v>24529</v>
      </c>
      <c r="C1464" t="s">
        <v>3581</v>
      </c>
      <c r="D1464" t="s">
        <v>920</v>
      </c>
      <c r="E1464" t="s">
        <v>1275</v>
      </c>
      <c r="F1464" t="s">
        <v>2316</v>
      </c>
      <c r="G1464">
        <v>332.67897952499999</v>
      </c>
      <c r="H1464" t="s">
        <v>248</v>
      </c>
      <c r="Q1464">
        <v>3367.3635408700002</v>
      </c>
      <c r="R1464">
        <v>32138.717797699999</v>
      </c>
      <c r="S1464">
        <v>-10.7732001974</v>
      </c>
      <c r="T1464">
        <v>-103.98047866100001</v>
      </c>
      <c r="U1464">
        <v>0</v>
      </c>
      <c r="V1464">
        <v>0</v>
      </c>
    </row>
    <row r="1465" spans="1:22" x14ac:dyDescent="0.2">
      <c r="A1465"/>
      <c r="B1465">
        <v>24530</v>
      </c>
      <c r="C1465" t="s">
        <v>3582</v>
      </c>
      <c r="D1465" t="s">
        <v>920</v>
      </c>
      <c r="E1465" t="s">
        <v>1275</v>
      </c>
      <c r="F1465" t="s">
        <v>2316</v>
      </c>
      <c r="G1465">
        <v>365.41067449799999</v>
      </c>
      <c r="H1465" t="s">
        <v>248</v>
      </c>
      <c r="Q1465">
        <v>3359.3193233100001</v>
      </c>
      <c r="R1465">
        <v>32106.990067800001</v>
      </c>
      <c r="S1465">
        <v>-10.769881696100001</v>
      </c>
      <c r="T1465">
        <v>-104.431490188</v>
      </c>
      <c r="U1465">
        <v>0</v>
      </c>
      <c r="V1465">
        <v>0</v>
      </c>
    </row>
    <row r="1466" spans="1:22" x14ac:dyDescent="0.2">
      <c r="A1466"/>
      <c r="B1466">
        <v>24531</v>
      </c>
      <c r="C1466" t="s">
        <v>3583</v>
      </c>
      <c r="D1466" t="s">
        <v>920</v>
      </c>
      <c r="E1466" t="s">
        <v>1275</v>
      </c>
      <c r="F1466" t="s">
        <v>2316</v>
      </c>
      <c r="G1466">
        <v>368.208255264</v>
      </c>
      <c r="H1466" t="s">
        <v>248</v>
      </c>
      <c r="Q1466">
        <v>3358.6214611300002</v>
      </c>
      <c r="R1466">
        <v>32104.2809266</v>
      </c>
      <c r="S1466">
        <v>-10.770013692499999</v>
      </c>
      <c r="T1466">
        <v>-104.458380351</v>
      </c>
      <c r="U1466">
        <v>0</v>
      </c>
      <c r="V1466">
        <v>0</v>
      </c>
    </row>
    <row r="1467" spans="1:22" x14ac:dyDescent="0.2">
      <c r="A1467"/>
      <c r="B1467">
        <v>24532</v>
      </c>
      <c r="C1467" t="s">
        <v>3584</v>
      </c>
      <c r="D1467" t="s">
        <v>920</v>
      </c>
      <c r="E1467" t="s">
        <v>1275</v>
      </c>
      <c r="F1467" t="s">
        <v>2316</v>
      </c>
      <c r="G1467">
        <v>386.784191556</v>
      </c>
      <c r="H1467" t="s">
        <v>248</v>
      </c>
      <c r="Q1467">
        <v>3353.96065254</v>
      </c>
      <c r="R1467">
        <v>32086.299210500001</v>
      </c>
      <c r="S1467">
        <v>-10.7725490262</v>
      </c>
      <c r="T1467">
        <v>-104.59037316</v>
      </c>
      <c r="U1467">
        <v>0</v>
      </c>
      <c r="V1467">
        <v>0</v>
      </c>
    </row>
    <row r="1468" spans="1:22" x14ac:dyDescent="0.2">
      <c r="A1468"/>
      <c r="B1468">
        <v>24533</v>
      </c>
      <c r="C1468" t="s">
        <v>3585</v>
      </c>
      <c r="D1468" t="s">
        <v>920</v>
      </c>
      <c r="E1468" t="s">
        <v>1275</v>
      </c>
      <c r="F1468" t="s">
        <v>2316</v>
      </c>
      <c r="G1468">
        <v>389.581772323</v>
      </c>
      <c r="H1468" t="s">
        <v>248</v>
      </c>
      <c r="Q1468">
        <v>3353.2556024700002</v>
      </c>
      <c r="R1468">
        <v>32083.591930999999</v>
      </c>
      <c r="S1468">
        <v>-10.773099973200001</v>
      </c>
      <c r="T1468">
        <v>-104.603775093</v>
      </c>
      <c r="U1468">
        <v>0</v>
      </c>
      <c r="V1468">
        <v>0</v>
      </c>
    </row>
    <row r="1469" spans="1:22" x14ac:dyDescent="0.2">
      <c r="A1469"/>
      <c r="B1469">
        <v>24534</v>
      </c>
      <c r="C1469" t="s">
        <v>3586</v>
      </c>
      <c r="D1469" t="s">
        <v>920</v>
      </c>
      <c r="E1469" t="s">
        <v>1275</v>
      </c>
      <c r="F1469" t="s">
        <v>2316</v>
      </c>
      <c r="G1469">
        <v>438.46483358900002</v>
      </c>
      <c r="H1469" t="s">
        <v>248</v>
      </c>
      <c r="Q1469">
        <v>3340.8796203900001</v>
      </c>
      <c r="R1469">
        <v>32036.301463600001</v>
      </c>
      <c r="S1469">
        <v>-10.773141136</v>
      </c>
      <c r="T1469">
        <v>-104.677472436</v>
      </c>
      <c r="U1469">
        <v>0</v>
      </c>
      <c r="V1469">
        <v>0</v>
      </c>
    </row>
    <row r="1470" spans="1:22" x14ac:dyDescent="0.2">
      <c r="A1470"/>
      <c r="B1470">
        <v>24535</v>
      </c>
      <c r="C1470" t="s">
        <v>3587</v>
      </c>
      <c r="D1470" t="s">
        <v>920</v>
      </c>
      <c r="E1470" t="s">
        <v>1275</v>
      </c>
      <c r="F1470" t="s">
        <v>2320</v>
      </c>
      <c r="G1470">
        <v>49.882739074</v>
      </c>
      <c r="H1470" t="s">
        <v>248</v>
      </c>
      <c r="Q1470">
        <v>3321.5294194200001</v>
      </c>
      <c r="R1470">
        <v>31962.1958356</v>
      </c>
      <c r="S1470">
        <v>-10.7721944586</v>
      </c>
      <c r="T1470">
        <v>-104.588060867</v>
      </c>
      <c r="U1470">
        <v>0</v>
      </c>
      <c r="V1470">
        <v>0</v>
      </c>
    </row>
    <row r="1471" spans="1:22" x14ac:dyDescent="0.2">
      <c r="A1471"/>
      <c r="B1471">
        <v>24536</v>
      </c>
      <c r="C1471" t="s">
        <v>3588</v>
      </c>
      <c r="D1471" t="s">
        <v>920</v>
      </c>
      <c r="E1471" t="s">
        <v>1275</v>
      </c>
      <c r="F1471" t="s">
        <v>2320</v>
      </c>
      <c r="G1471">
        <v>70.556461603100004</v>
      </c>
      <c r="H1471" t="s">
        <v>248</v>
      </c>
      <c r="Q1471">
        <v>3316.3270416700002</v>
      </c>
      <c r="R1471">
        <v>31942.187386099999</v>
      </c>
      <c r="S1471">
        <v>-10.775231528300001</v>
      </c>
      <c r="T1471">
        <v>-104.56114474100001</v>
      </c>
      <c r="U1471">
        <v>0</v>
      </c>
      <c r="V1471">
        <v>0</v>
      </c>
    </row>
    <row r="1472" spans="1:22" x14ac:dyDescent="0.2">
      <c r="A1472"/>
      <c r="B1472">
        <v>24537</v>
      </c>
      <c r="C1472" t="s">
        <v>3589</v>
      </c>
      <c r="D1472" t="s">
        <v>920</v>
      </c>
      <c r="E1472" t="s">
        <v>1275</v>
      </c>
      <c r="F1472" t="s">
        <v>2320</v>
      </c>
      <c r="G1472">
        <v>188.692018913</v>
      </c>
      <c r="H1472" t="s">
        <v>248</v>
      </c>
      <c r="Q1472">
        <v>3286.8435296600001</v>
      </c>
      <c r="R1472">
        <v>31827.790271099999</v>
      </c>
      <c r="S1472">
        <v>-10.7717959179</v>
      </c>
      <c r="T1472">
        <v>-104.09201083000001</v>
      </c>
      <c r="U1472">
        <v>0</v>
      </c>
      <c r="V1472">
        <v>0</v>
      </c>
    </row>
    <row r="1473" spans="1:22" x14ac:dyDescent="0.2">
      <c r="A1473"/>
      <c r="B1473">
        <v>24538</v>
      </c>
      <c r="C1473" t="s">
        <v>3590</v>
      </c>
      <c r="D1473" t="s">
        <v>920</v>
      </c>
      <c r="E1473" t="s">
        <v>1275</v>
      </c>
      <c r="F1473" t="s">
        <v>2320</v>
      </c>
      <c r="G1473">
        <v>234.745197004</v>
      </c>
      <c r="H1473" t="s">
        <v>248</v>
      </c>
      <c r="Q1473">
        <v>3277.1608011799999</v>
      </c>
      <c r="R1473">
        <v>31782.7762148</v>
      </c>
      <c r="S1473">
        <v>-10.7721865904</v>
      </c>
      <c r="T1473">
        <v>-100.131782129</v>
      </c>
      <c r="U1473">
        <v>0</v>
      </c>
      <c r="V1473">
        <v>0</v>
      </c>
    </row>
    <row r="1474" spans="1:22" x14ac:dyDescent="0.2">
      <c r="A1474"/>
      <c r="B1474">
        <v>24539</v>
      </c>
      <c r="C1474" t="s">
        <v>3591</v>
      </c>
      <c r="D1474" t="s">
        <v>920</v>
      </c>
      <c r="E1474" t="s">
        <v>1275</v>
      </c>
      <c r="F1474" t="s">
        <v>2320</v>
      </c>
      <c r="G1474">
        <v>319.960312343</v>
      </c>
      <c r="H1474" t="s">
        <v>248</v>
      </c>
      <c r="Q1474">
        <v>3266.56441434</v>
      </c>
      <c r="R1474">
        <v>31698.2550023</v>
      </c>
      <c r="S1474">
        <v>-10.762922334800001</v>
      </c>
      <c r="T1474">
        <v>-94.667768589199994</v>
      </c>
      <c r="U1474">
        <v>0</v>
      </c>
      <c r="V1474">
        <v>0</v>
      </c>
    </row>
    <row r="1475" spans="1:22" x14ac:dyDescent="0.2">
      <c r="A1475"/>
      <c r="B1475">
        <v>24540</v>
      </c>
      <c r="C1475" t="s">
        <v>3592</v>
      </c>
      <c r="D1475" t="s">
        <v>920</v>
      </c>
      <c r="E1475" t="s">
        <v>1275</v>
      </c>
      <c r="F1475" t="s">
        <v>2320</v>
      </c>
      <c r="G1475">
        <v>379.50063322699998</v>
      </c>
      <c r="H1475" t="s">
        <v>248</v>
      </c>
      <c r="Q1475">
        <v>3262.1519990800002</v>
      </c>
      <c r="R1475">
        <v>31638.8785374</v>
      </c>
      <c r="S1475">
        <v>-10.7830515104</v>
      </c>
      <c r="T1475">
        <v>-94.144455156899994</v>
      </c>
      <c r="U1475">
        <v>0</v>
      </c>
      <c r="V1475">
        <v>0</v>
      </c>
    </row>
    <row r="1476" spans="1:22" x14ac:dyDescent="0.2">
      <c r="A1476"/>
      <c r="B1476">
        <v>24541</v>
      </c>
      <c r="C1476" t="s">
        <v>3593</v>
      </c>
      <c r="D1476" t="s">
        <v>920</v>
      </c>
      <c r="E1476" t="s">
        <v>1275</v>
      </c>
      <c r="F1476" t="s">
        <v>2320</v>
      </c>
      <c r="G1476">
        <v>439.96634931</v>
      </c>
      <c r="H1476" t="s">
        <v>248</v>
      </c>
      <c r="Q1476">
        <v>3257.8523906400001</v>
      </c>
      <c r="R1476">
        <v>31578.565897600001</v>
      </c>
      <c r="S1476">
        <v>-10.7891793959</v>
      </c>
      <c r="T1476">
        <v>-94.0178883042</v>
      </c>
      <c r="U1476">
        <v>0</v>
      </c>
      <c r="V1476">
        <v>0</v>
      </c>
    </row>
    <row r="1477" spans="1:22" x14ac:dyDescent="0.2">
      <c r="A1477"/>
      <c r="B1477">
        <v>24542</v>
      </c>
      <c r="C1477" t="s">
        <v>3594</v>
      </c>
      <c r="D1477" t="s">
        <v>920</v>
      </c>
      <c r="E1477" t="s">
        <v>1275</v>
      </c>
      <c r="F1477" t="s">
        <v>2320</v>
      </c>
      <c r="G1477">
        <v>546.05207977400005</v>
      </c>
      <c r="H1477" t="s">
        <v>248</v>
      </c>
      <c r="Q1477">
        <v>3250.4484098200001</v>
      </c>
      <c r="R1477">
        <v>31472.7388641</v>
      </c>
      <c r="S1477">
        <v>-10.7629926582</v>
      </c>
      <c r="T1477">
        <v>-94.047066985900003</v>
      </c>
      <c r="U1477">
        <v>0</v>
      </c>
      <c r="V1477">
        <v>0</v>
      </c>
    </row>
    <row r="1478" spans="1:22" x14ac:dyDescent="0.2">
      <c r="A1478"/>
      <c r="B1478">
        <v>24543</v>
      </c>
      <c r="C1478" t="s">
        <v>3595</v>
      </c>
      <c r="D1478" t="s">
        <v>920</v>
      </c>
      <c r="E1478" t="s">
        <v>1275</v>
      </c>
      <c r="F1478" t="s">
        <v>2320</v>
      </c>
      <c r="G1478">
        <v>664.18763708400002</v>
      </c>
      <c r="H1478" t="s">
        <v>248</v>
      </c>
      <c r="Q1478">
        <v>3241.7183011299999</v>
      </c>
      <c r="R1478">
        <v>31354.934196900002</v>
      </c>
      <c r="S1478">
        <v>-12.035161114399999</v>
      </c>
      <c r="T1478">
        <v>-94.644500735999998</v>
      </c>
      <c r="U1478">
        <v>0</v>
      </c>
      <c r="V1478">
        <v>0</v>
      </c>
    </row>
    <row r="1479" spans="1:22" x14ac:dyDescent="0.2">
      <c r="A1479"/>
      <c r="B1479">
        <v>24544</v>
      </c>
      <c r="C1479" t="s">
        <v>3596</v>
      </c>
      <c r="D1479" t="s">
        <v>920</v>
      </c>
      <c r="E1479" t="s">
        <v>1275</v>
      </c>
      <c r="F1479" t="s">
        <v>2320</v>
      </c>
      <c r="G1479">
        <v>684.86135961299999</v>
      </c>
      <c r="H1479" t="s">
        <v>248</v>
      </c>
      <c r="Q1479">
        <v>3239.9006979199999</v>
      </c>
      <c r="R1479">
        <v>31334.342451500001</v>
      </c>
      <c r="S1479">
        <v>-12.3029487659</v>
      </c>
      <c r="T1479">
        <v>-95.471946699399993</v>
      </c>
      <c r="U1479">
        <v>0</v>
      </c>
      <c r="V1479">
        <v>0</v>
      </c>
    </row>
    <row r="1480" spans="1:22" x14ac:dyDescent="0.2">
      <c r="A1480"/>
      <c r="B1480">
        <v>24545</v>
      </c>
      <c r="C1480" t="s">
        <v>3597</v>
      </c>
      <c r="D1480" t="s">
        <v>920</v>
      </c>
      <c r="E1480" t="s">
        <v>1275</v>
      </c>
      <c r="F1480" t="s">
        <v>2320</v>
      </c>
      <c r="G1480">
        <v>779.21229138399997</v>
      </c>
      <c r="H1480" t="s">
        <v>248</v>
      </c>
      <c r="Q1480">
        <v>3229.6881727599998</v>
      </c>
      <c r="R1480">
        <v>31240.552882</v>
      </c>
      <c r="S1480">
        <v>-13.3673674087</v>
      </c>
      <c r="T1480">
        <v>-96.4634491037</v>
      </c>
      <c r="U1480">
        <v>0</v>
      </c>
      <c r="V1480">
        <v>0</v>
      </c>
    </row>
    <row r="1481" spans="1:22" x14ac:dyDescent="0.2">
      <c r="A1481"/>
      <c r="B1481">
        <v>24546</v>
      </c>
      <c r="C1481" t="s">
        <v>3598</v>
      </c>
      <c r="D1481" t="s">
        <v>920</v>
      </c>
      <c r="E1481" t="s">
        <v>1275</v>
      </c>
      <c r="F1481" t="s">
        <v>2320</v>
      </c>
      <c r="G1481">
        <v>793.84141123100005</v>
      </c>
      <c r="H1481" t="s">
        <v>248</v>
      </c>
      <c r="Q1481">
        <v>3228.0358369</v>
      </c>
      <c r="R1481">
        <v>31226.017435599999</v>
      </c>
      <c r="S1481">
        <v>-13.405784283899999</v>
      </c>
      <c r="T1481">
        <v>-96.506175212499997</v>
      </c>
      <c r="U1481">
        <v>0</v>
      </c>
      <c r="V1481">
        <v>0</v>
      </c>
    </row>
    <row r="1482" spans="1:22" x14ac:dyDescent="0.2">
      <c r="A1482"/>
      <c r="B1482">
        <v>24547</v>
      </c>
      <c r="C1482" t="s">
        <v>3599</v>
      </c>
      <c r="D1482" t="s">
        <v>920</v>
      </c>
      <c r="E1482" t="s">
        <v>1275</v>
      </c>
      <c r="F1482" t="s">
        <v>2320</v>
      </c>
      <c r="G1482">
        <v>796.79480016399998</v>
      </c>
      <c r="H1482" t="s">
        <v>248</v>
      </c>
      <c r="Q1482">
        <v>3227.7009849999999</v>
      </c>
      <c r="R1482">
        <v>31223.0830909</v>
      </c>
      <c r="S1482">
        <v>-13.406954670599999</v>
      </c>
      <c r="T1482">
        <v>-96.514042505000006</v>
      </c>
      <c r="U1482">
        <v>0</v>
      </c>
      <c r="V1482">
        <v>0</v>
      </c>
    </row>
    <row r="1483" spans="1:22" x14ac:dyDescent="0.2">
      <c r="A1483"/>
      <c r="B1483">
        <v>24548</v>
      </c>
      <c r="C1483" t="s">
        <v>3600</v>
      </c>
      <c r="D1483" t="s">
        <v>920</v>
      </c>
      <c r="E1483" t="s">
        <v>1275</v>
      </c>
      <c r="F1483" t="s">
        <v>2320</v>
      </c>
      <c r="G1483">
        <v>816.40530267700001</v>
      </c>
      <c r="H1483" t="s">
        <v>248</v>
      </c>
      <c r="Q1483">
        <v>3225.4686422099999</v>
      </c>
      <c r="R1483">
        <v>31203.6000614</v>
      </c>
      <c r="S1483">
        <v>-13.407766156199999</v>
      </c>
      <c r="T1483">
        <v>-96.5553776032</v>
      </c>
      <c r="U1483">
        <v>0</v>
      </c>
      <c r="V1483">
        <v>0</v>
      </c>
    </row>
    <row r="1484" spans="1:22" x14ac:dyDescent="0.2">
      <c r="A1484"/>
      <c r="B1484">
        <v>24549</v>
      </c>
      <c r="C1484" t="s">
        <v>3601</v>
      </c>
      <c r="D1484" t="s">
        <v>920</v>
      </c>
      <c r="E1484" t="s">
        <v>1275</v>
      </c>
      <c r="F1484" t="s">
        <v>2320</v>
      </c>
      <c r="G1484">
        <v>819.35869161000005</v>
      </c>
      <c r="H1484" t="s">
        <v>248</v>
      </c>
      <c r="Q1484">
        <v>3225.1313561900001</v>
      </c>
      <c r="R1484">
        <v>31200.665995300002</v>
      </c>
      <c r="S1484">
        <v>-13.407872515099999</v>
      </c>
      <c r="T1484">
        <v>-96.559867375699994</v>
      </c>
      <c r="U1484">
        <v>0</v>
      </c>
      <c r="V1484">
        <v>0</v>
      </c>
    </row>
    <row r="1485" spans="1:22" x14ac:dyDescent="0.2">
      <c r="A1485"/>
      <c r="B1485">
        <v>24550</v>
      </c>
      <c r="C1485" t="s">
        <v>3602</v>
      </c>
      <c r="D1485" t="s">
        <v>920</v>
      </c>
      <c r="E1485" t="s">
        <v>1275</v>
      </c>
      <c r="F1485" t="s">
        <v>2320</v>
      </c>
      <c r="G1485">
        <v>876.47723356899996</v>
      </c>
      <c r="H1485" t="s">
        <v>248</v>
      </c>
      <c r="Q1485">
        <v>3218.5932835600001</v>
      </c>
      <c r="R1485">
        <v>31143.922877600002</v>
      </c>
      <c r="S1485">
        <v>-13.4091132445</v>
      </c>
      <c r="T1485">
        <v>-96.557346016400004</v>
      </c>
      <c r="U1485">
        <v>0</v>
      </c>
      <c r="V1485">
        <v>0</v>
      </c>
    </row>
    <row r="1486" spans="1:22" x14ac:dyDescent="0.2">
      <c r="A1486"/>
      <c r="B1486">
        <v>24551</v>
      </c>
      <c r="C1486" t="s">
        <v>3603</v>
      </c>
      <c r="D1486" t="s">
        <v>920</v>
      </c>
      <c r="E1486" t="s">
        <v>1275</v>
      </c>
      <c r="F1486" t="s">
        <v>2320</v>
      </c>
      <c r="G1486">
        <v>911.03188408200003</v>
      </c>
      <c r="H1486" t="s">
        <v>248</v>
      </c>
      <c r="Q1486">
        <v>3214.66929097</v>
      </c>
      <c r="R1486">
        <v>31109.591755599999</v>
      </c>
      <c r="S1486">
        <v>-13.4091102726</v>
      </c>
      <c r="T1486">
        <v>-96.473328650200003</v>
      </c>
      <c r="U1486">
        <v>0</v>
      </c>
      <c r="V1486">
        <v>0</v>
      </c>
    </row>
    <row r="1487" spans="1:22" x14ac:dyDescent="0.2">
      <c r="A1487"/>
      <c r="B1487">
        <v>24552</v>
      </c>
      <c r="C1487" t="s">
        <v>3604</v>
      </c>
      <c r="D1487" t="s">
        <v>920</v>
      </c>
      <c r="E1487" t="s">
        <v>1275</v>
      </c>
      <c r="F1487" t="s">
        <v>2320</v>
      </c>
      <c r="G1487">
        <v>913.98527301499996</v>
      </c>
      <c r="H1487" t="s">
        <v>248</v>
      </c>
      <c r="Q1487">
        <v>3214.3365797000001</v>
      </c>
      <c r="R1487">
        <v>31106.657167199999</v>
      </c>
      <c r="S1487">
        <v>-13.409083666100001</v>
      </c>
      <c r="T1487">
        <v>-96.463262928899994</v>
      </c>
      <c r="U1487">
        <v>0</v>
      </c>
      <c r="V1487">
        <v>0</v>
      </c>
    </row>
    <row r="1488" spans="1:22" x14ac:dyDescent="0.2">
      <c r="A1488"/>
      <c r="B1488">
        <v>24553</v>
      </c>
      <c r="C1488" t="s">
        <v>3605</v>
      </c>
      <c r="D1488" t="s">
        <v>920</v>
      </c>
      <c r="E1488" t="s">
        <v>1275</v>
      </c>
      <c r="F1488" t="s">
        <v>2320</v>
      </c>
      <c r="G1488">
        <v>933.59577552799999</v>
      </c>
      <c r="H1488" t="s">
        <v>248</v>
      </c>
      <c r="Q1488">
        <v>3212.1418590500002</v>
      </c>
      <c r="R1488">
        <v>31087.169864899999</v>
      </c>
      <c r="S1488">
        <v>-13.408801737099999</v>
      </c>
      <c r="T1488">
        <v>-96.384903530599999</v>
      </c>
      <c r="U1488">
        <v>0</v>
      </c>
      <c r="V1488">
        <v>0</v>
      </c>
    </row>
    <row r="1489" spans="1:22" x14ac:dyDescent="0.2">
      <c r="A1489"/>
      <c r="B1489">
        <v>24554</v>
      </c>
      <c r="C1489" t="s">
        <v>3606</v>
      </c>
      <c r="D1489" t="s">
        <v>920</v>
      </c>
      <c r="E1489" t="s">
        <v>1275</v>
      </c>
      <c r="F1489" t="s">
        <v>2320</v>
      </c>
      <c r="G1489">
        <v>936.54916446100003</v>
      </c>
      <c r="H1489" t="s">
        <v>248</v>
      </c>
      <c r="Q1489">
        <v>3211.8137660399998</v>
      </c>
      <c r="R1489">
        <v>31084.234756499998</v>
      </c>
      <c r="S1489">
        <v>-13.408743424600001</v>
      </c>
      <c r="T1489">
        <v>-96.371367023600001</v>
      </c>
      <c r="U1489">
        <v>0</v>
      </c>
      <c r="V1489">
        <v>0</v>
      </c>
    </row>
    <row r="1490" spans="1:22" x14ac:dyDescent="0.2">
      <c r="A1490"/>
      <c r="B1490">
        <v>24555</v>
      </c>
      <c r="C1490" t="s">
        <v>3607</v>
      </c>
      <c r="D1490" t="s">
        <v>920</v>
      </c>
      <c r="E1490" t="s">
        <v>1275</v>
      </c>
      <c r="F1490" t="s">
        <v>2320</v>
      </c>
      <c r="G1490">
        <v>988.15471374599997</v>
      </c>
      <c r="H1490" t="s">
        <v>248</v>
      </c>
      <c r="Q1490">
        <v>3206.1943655800001</v>
      </c>
      <c r="R1490">
        <v>31032.936122800002</v>
      </c>
      <c r="S1490">
        <v>-13.397792063700001</v>
      </c>
      <c r="T1490">
        <v>-95.927547946800004</v>
      </c>
      <c r="U1490">
        <v>0</v>
      </c>
      <c r="V1490">
        <v>0</v>
      </c>
    </row>
    <row r="1491" spans="1:22" x14ac:dyDescent="0.2">
      <c r="A1491"/>
      <c r="B1491">
        <v>24556</v>
      </c>
      <c r="C1491" t="s">
        <v>3608</v>
      </c>
      <c r="D1491" t="s">
        <v>920</v>
      </c>
      <c r="E1491" t="s">
        <v>1275</v>
      </c>
      <c r="F1491" t="s">
        <v>2320</v>
      </c>
      <c r="G1491">
        <v>1067.81745789</v>
      </c>
      <c r="H1491" t="s">
        <v>248</v>
      </c>
      <c r="Q1491">
        <v>3205.4593458899999</v>
      </c>
      <c r="R1491">
        <v>30953.410946799999</v>
      </c>
      <c r="S1491">
        <v>-14.017474912300001</v>
      </c>
      <c r="T1491">
        <v>-84.820708954300002</v>
      </c>
      <c r="U1491">
        <v>0</v>
      </c>
      <c r="V1491">
        <v>0</v>
      </c>
    </row>
    <row r="1492" spans="1:22" x14ac:dyDescent="0.2">
      <c r="A1492"/>
      <c r="B1492">
        <v>24557</v>
      </c>
      <c r="C1492" t="s">
        <v>3609</v>
      </c>
      <c r="D1492" t="s">
        <v>920</v>
      </c>
      <c r="E1492" t="s">
        <v>1275</v>
      </c>
      <c r="F1492" t="s">
        <v>2320</v>
      </c>
      <c r="G1492">
        <v>1088.4911804200001</v>
      </c>
      <c r="H1492" t="s">
        <v>248</v>
      </c>
      <c r="Q1492">
        <v>3207.8623684999998</v>
      </c>
      <c r="R1492">
        <v>30932.882374199999</v>
      </c>
      <c r="S1492">
        <v>-14.346695151400001</v>
      </c>
      <c r="T1492">
        <v>-81.8208596554</v>
      </c>
      <c r="U1492">
        <v>0</v>
      </c>
      <c r="V1492">
        <v>0</v>
      </c>
    </row>
    <row r="1493" spans="1:22" x14ac:dyDescent="0.2">
      <c r="A1493"/>
      <c r="B1493">
        <v>24558</v>
      </c>
      <c r="C1493" t="s">
        <v>3610</v>
      </c>
      <c r="D1493" t="s">
        <v>920</v>
      </c>
      <c r="E1493" t="s">
        <v>1275</v>
      </c>
      <c r="F1493" t="s">
        <v>2320</v>
      </c>
      <c r="G1493">
        <v>1206.6267377300001</v>
      </c>
      <c r="H1493" t="s">
        <v>248</v>
      </c>
      <c r="Q1493">
        <v>3239.2896796300001</v>
      </c>
      <c r="R1493">
        <v>30819.244461999999</v>
      </c>
      <c r="S1493">
        <v>-16.191744480099999</v>
      </c>
      <c r="T1493">
        <v>-71.049774338099994</v>
      </c>
      <c r="U1493">
        <v>0</v>
      </c>
      <c r="V1493">
        <v>0</v>
      </c>
    </row>
    <row r="1494" spans="1:22" x14ac:dyDescent="0.2">
      <c r="A1494"/>
      <c r="B1494">
        <v>24559</v>
      </c>
      <c r="C1494" t="s">
        <v>3611</v>
      </c>
      <c r="D1494" t="s">
        <v>920</v>
      </c>
      <c r="E1494" t="s">
        <v>1275</v>
      </c>
      <c r="F1494" t="s">
        <v>2320</v>
      </c>
      <c r="G1494">
        <v>1383.8300736900001</v>
      </c>
      <c r="H1494" t="s">
        <v>248</v>
      </c>
      <c r="Q1494">
        <v>3290.6330790400002</v>
      </c>
      <c r="R1494">
        <v>30649.706294700001</v>
      </c>
      <c r="S1494">
        <v>-18.670751775399999</v>
      </c>
      <c r="T1494">
        <v>-76.108091411000004</v>
      </c>
      <c r="U1494">
        <v>0</v>
      </c>
      <c r="V1494">
        <v>0</v>
      </c>
    </row>
    <row r="1495" spans="1:22" x14ac:dyDescent="0.2">
      <c r="A1495"/>
      <c r="B1495">
        <v>24560</v>
      </c>
      <c r="C1495" t="s">
        <v>3612</v>
      </c>
      <c r="D1495" t="s">
        <v>920</v>
      </c>
      <c r="E1495" t="s">
        <v>1275</v>
      </c>
      <c r="F1495" t="s">
        <v>2320</v>
      </c>
      <c r="G1495">
        <v>1561.03340966</v>
      </c>
      <c r="H1495" t="s">
        <v>248</v>
      </c>
      <c r="Q1495">
        <v>3323.3372681800001</v>
      </c>
      <c r="R1495">
        <v>30475.583337200002</v>
      </c>
      <c r="S1495">
        <v>-18.157255095</v>
      </c>
      <c r="T1495">
        <v>-79.503342967500004</v>
      </c>
      <c r="U1495">
        <v>0</v>
      </c>
      <c r="V1495">
        <v>0</v>
      </c>
    </row>
    <row r="1496" spans="1:22" x14ac:dyDescent="0.2">
      <c r="A1496"/>
      <c r="B1496">
        <v>24561</v>
      </c>
      <c r="C1496" t="s">
        <v>3613</v>
      </c>
      <c r="D1496" t="s">
        <v>920</v>
      </c>
      <c r="E1496" t="s">
        <v>1275</v>
      </c>
      <c r="F1496" t="s">
        <v>2320</v>
      </c>
      <c r="G1496">
        <v>1738.23674562</v>
      </c>
      <c r="H1496" t="s">
        <v>248</v>
      </c>
      <c r="Q1496">
        <v>3356.1164220400001</v>
      </c>
      <c r="R1496">
        <v>30301.484088199999</v>
      </c>
      <c r="S1496">
        <v>-18.217547380700001</v>
      </c>
      <c r="T1496">
        <v>-82.344642706800002</v>
      </c>
      <c r="U1496">
        <v>0</v>
      </c>
      <c r="V1496">
        <v>0</v>
      </c>
    </row>
    <row r="1497" spans="1:22" x14ac:dyDescent="0.2">
      <c r="A1497"/>
      <c r="B1497">
        <v>24562</v>
      </c>
      <c r="C1497" t="s">
        <v>3614</v>
      </c>
      <c r="D1497" t="s">
        <v>920</v>
      </c>
      <c r="E1497" t="s">
        <v>1275</v>
      </c>
      <c r="F1497" t="s">
        <v>2320</v>
      </c>
      <c r="G1497">
        <v>1838.6519693400001</v>
      </c>
      <c r="H1497" t="s">
        <v>248</v>
      </c>
      <c r="Q1497">
        <v>3367.2386156399998</v>
      </c>
      <c r="R1497">
        <v>30201.697329400002</v>
      </c>
      <c r="S1497">
        <v>-18.456620383699999</v>
      </c>
      <c r="T1497">
        <v>-85.3121648029</v>
      </c>
      <c r="U1497">
        <v>0</v>
      </c>
      <c r="V1497">
        <v>0</v>
      </c>
    </row>
    <row r="1498" spans="1:22" x14ac:dyDescent="0.2">
      <c r="A1498"/>
      <c r="B1498">
        <v>24563</v>
      </c>
      <c r="C1498" t="s">
        <v>3615</v>
      </c>
      <c r="D1498" t="s">
        <v>920</v>
      </c>
      <c r="E1498" t="s">
        <v>1275</v>
      </c>
      <c r="F1498" t="s">
        <v>2320</v>
      </c>
      <c r="G1498">
        <v>1956.78752665</v>
      </c>
      <c r="H1498" t="s">
        <v>248</v>
      </c>
      <c r="Q1498">
        <v>3369.7819995599998</v>
      </c>
      <c r="R1498">
        <v>30083.684518800001</v>
      </c>
      <c r="S1498">
        <v>-16.630491838800001</v>
      </c>
      <c r="T1498">
        <v>-91.523873753299995</v>
      </c>
      <c r="U1498">
        <v>0</v>
      </c>
      <c r="V1498">
        <v>0</v>
      </c>
    </row>
    <row r="1499" spans="1:22" x14ac:dyDescent="0.2">
      <c r="A1499"/>
      <c r="B1499">
        <v>24564</v>
      </c>
      <c r="C1499" t="s">
        <v>3616</v>
      </c>
      <c r="D1499" t="s">
        <v>920</v>
      </c>
      <c r="E1499" t="s">
        <v>1275</v>
      </c>
      <c r="F1499" t="s">
        <v>2320</v>
      </c>
      <c r="G1499">
        <v>1977.46124917</v>
      </c>
      <c r="H1499" t="s">
        <v>248</v>
      </c>
      <c r="Q1499">
        <v>3369.2219631600001</v>
      </c>
      <c r="R1499">
        <v>30063.0225087</v>
      </c>
      <c r="S1499">
        <v>-16.217616648</v>
      </c>
      <c r="T1499">
        <v>-91.580853469700003</v>
      </c>
      <c r="U1499">
        <v>0</v>
      </c>
      <c r="V1499">
        <v>0</v>
      </c>
    </row>
    <row r="1500" spans="1:22" x14ac:dyDescent="0.2">
      <c r="A1500"/>
      <c r="B1500">
        <v>24565</v>
      </c>
      <c r="C1500" t="s">
        <v>3617</v>
      </c>
      <c r="D1500" t="s">
        <v>920</v>
      </c>
      <c r="E1500" t="s">
        <v>1275</v>
      </c>
      <c r="F1500" t="s">
        <v>2320</v>
      </c>
      <c r="G1500">
        <v>2072.29456781</v>
      </c>
      <c r="H1500" t="s">
        <v>248</v>
      </c>
      <c r="Q1500">
        <v>3366.4175155799999</v>
      </c>
      <c r="R1500">
        <v>29968.2439199</v>
      </c>
      <c r="S1500">
        <v>-14.7019442032</v>
      </c>
      <c r="T1500">
        <v>-91.786875136800006</v>
      </c>
      <c r="U1500">
        <v>0</v>
      </c>
      <c r="V1500">
        <v>0</v>
      </c>
    </row>
    <row r="1501" spans="1:22" x14ac:dyDescent="0.2">
      <c r="A1501"/>
      <c r="B1501">
        <v>24566</v>
      </c>
      <c r="C1501" t="s">
        <v>3618</v>
      </c>
      <c r="D1501" t="s">
        <v>920</v>
      </c>
      <c r="E1501" t="s">
        <v>1275</v>
      </c>
      <c r="F1501" t="s">
        <v>2320</v>
      </c>
      <c r="G1501">
        <v>2086.9236876499999</v>
      </c>
      <c r="H1501" t="s">
        <v>248</v>
      </c>
      <c r="Q1501">
        <v>3365.9590707000002</v>
      </c>
      <c r="R1501">
        <v>29953.622075800002</v>
      </c>
      <c r="S1501">
        <v>-14.653494677999999</v>
      </c>
      <c r="T1501">
        <v>-91.804044305199994</v>
      </c>
      <c r="U1501">
        <v>0</v>
      </c>
      <c r="V1501">
        <v>0</v>
      </c>
    </row>
    <row r="1502" spans="1:22" x14ac:dyDescent="0.2">
      <c r="A1502"/>
      <c r="B1502">
        <v>24567</v>
      </c>
      <c r="C1502" t="s">
        <v>3619</v>
      </c>
      <c r="D1502" t="s">
        <v>920</v>
      </c>
      <c r="E1502" t="s">
        <v>1275</v>
      </c>
      <c r="F1502" t="s">
        <v>2320</v>
      </c>
      <c r="G1502">
        <v>2089.87707658</v>
      </c>
      <c r="H1502" t="s">
        <v>248</v>
      </c>
      <c r="Q1502">
        <v>3365.86601802</v>
      </c>
      <c r="R1502">
        <v>29950.670154300002</v>
      </c>
      <c r="S1502">
        <v>-14.651042653099999</v>
      </c>
      <c r="T1502">
        <v>-91.806970587199999</v>
      </c>
      <c r="U1502">
        <v>0</v>
      </c>
      <c r="V1502">
        <v>0</v>
      </c>
    </row>
    <row r="1503" spans="1:22" x14ac:dyDescent="0.2">
      <c r="A1503"/>
      <c r="B1503">
        <v>24568</v>
      </c>
      <c r="C1503" t="s">
        <v>3620</v>
      </c>
      <c r="D1503" t="s">
        <v>920</v>
      </c>
      <c r="E1503" t="s">
        <v>1275</v>
      </c>
      <c r="F1503" t="s">
        <v>2320</v>
      </c>
      <c r="G1503">
        <v>2109.4875790999999</v>
      </c>
      <c r="H1503" t="s">
        <v>248</v>
      </c>
      <c r="Q1503">
        <v>3365.2447572999999</v>
      </c>
      <c r="R1503">
        <v>29931.0694951</v>
      </c>
      <c r="S1503">
        <v>-14.6513221415</v>
      </c>
      <c r="T1503">
        <v>-91.823049212200004</v>
      </c>
      <c r="U1503">
        <v>0</v>
      </c>
      <c r="V1503">
        <v>0</v>
      </c>
    </row>
    <row r="1504" spans="1:22" x14ac:dyDescent="0.2">
      <c r="A1504"/>
      <c r="B1504">
        <v>24569</v>
      </c>
      <c r="C1504" t="s">
        <v>3621</v>
      </c>
      <c r="D1504" t="s">
        <v>920</v>
      </c>
      <c r="E1504" t="s">
        <v>1275</v>
      </c>
      <c r="F1504" t="s">
        <v>2320</v>
      </c>
      <c r="G1504">
        <v>2112.44096803</v>
      </c>
      <c r="H1504" t="s">
        <v>248</v>
      </c>
      <c r="Q1504">
        <v>3365.1507500100001</v>
      </c>
      <c r="R1504">
        <v>29928.1176027</v>
      </c>
      <c r="S1504">
        <v>-14.6513878677</v>
      </c>
      <c r="T1504">
        <v>-91.825033111899998</v>
      </c>
      <c r="U1504">
        <v>0</v>
      </c>
      <c r="V1504">
        <v>0</v>
      </c>
    </row>
    <row r="1505" spans="1:22" x14ac:dyDescent="0.2">
      <c r="A1505"/>
      <c r="B1505">
        <v>24570</v>
      </c>
      <c r="C1505" t="s">
        <v>3622</v>
      </c>
      <c r="D1505" t="s">
        <v>920</v>
      </c>
      <c r="E1505" t="s">
        <v>1275</v>
      </c>
      <c r="F1505" t="s">
        <v>2320</v>
      </c>
      <c r="G1505">
        <v>2169.5595099900002</v>
      </c>
      <c r="H1505" t="s">
        <v>248</v>
      </c>
      <c r="Q1505">
        <v>3363.3201956299999</v>
      </c>
      <c r="R1505">
        <v>29871.028401600001</v>
      </c>
      <c r="S1505">
        <v>-14.651034196499999</v>
      </c>
      <c r="T1505">
        <v>-91.840948511400001</v>
      </c>
      <c r="U1505">
        <v>0</v>
      </c>
      <c r="V1505">
        <v>0</v>
      </c>
    </row>
    <row r="1506" spans="1:22" x14ac:dyDescent="0.2">
      <c r="A1506"/>
      <c r="B1506">
        <v>24571</v>
      </c>
      <c r="C1506" t="s">
        <v>3623</v>
      </c>
      <c r="D1506" t="s">
        <v>920</v>
      </c>
      <c r="E1506" t="s">
        <v>1275</v>
      </c>
      <c r="F1506" t="s">
        <v>2320</v>
      </c>
      <c r="G1506">
        <v>2204.1141604999998</v>
      </c>
      <c r="H1506" t="s">
        <v>248</v>
      </c>
      <c r="Q1506">
        <v>3362.2126852699998</v>
      </c>
      <c r="R1506">
        <v>29836.491504199999</v>
      </c>
      <c r="S1506">
        <v>-14.649320192799999</v>
      </c>
      <c r="T1506">
        <v>-91.829847729400001</v>
      </c>
      <c r="U1506">
        <v>0</v>
      </c>
      <c r="V1506">
        <v>0</v>
      </c>
    </row>
    <row r="1507" spans="1:22" x14ac:dyDescent="0.2">
      <c r="A1507"/>
      <c r="B1507">
        <v>24572</v>
      </c>
      <c r="C1507" t="s">
        <v>3624</v>
      </c>
      <c r="D1507" t="s">
        <v>920</v>
      </c>
      <c r="E1507" t="s">
        <v>1275</v>
      </c>
      <c r="F1507" t="s">
        <v>2320</v>
      </c>
      <c r="G1507">
        <v>2207.0675494400002</v>
      </c>
      <c r="H1507" t="s">
        <v>248</v>
      </c>
      <c r="Q1507">
        <v>3362.1184219299998</v>
      </c>
      <c r="R1507">
        <v>29833.539619899999</v>
      </c>
      <c r="S1507">
        <v>-14.6491212402</v>
      </c>
      <c r="T1507">
        <v>-91.828174049899999</v>
      </c>
      <c r="U1507">
        <v>0</v>
      </c>
      <c r="V1507">
        <v>0</v>
      </c>
    </row>
    <row r="1508" spans="1:22" x14ac:dyDescent="0.2">
      <c r="A1508"/>
      <c r="B1508">
        <v>24573</v>
      </c>
      <c r="C1508" t="s">
        <v>3625</v>
      </c>
      <c r="D1508" t="s">
        <v>920</v>
      </c>
      <c r="E1508" t="s">
        <v>1275</v>
      </c>
      <c r="F1508" t="s">
        <v>2320</v>
      </c>
      <c r="G1508">
        <v>2226.6780519499998</v>
      </c>
      <c r="H1508" t="s">
        <v>248</v>
      </c>
      <c r="Q1508">
        <v>3361.4950556099998</v>
      </c>
      <c r="R1508">
        <v>29813.939027600001</v>
      </c>
      <c r="S1508">
        <v>-14.6475906588</v>
      </c>
      <c r="T1508">
        <v>-91.814165256699994</v>
      </c>
      <c r="U1508">
        <v>0</v>
      </c>
      <c r="V1508">
        <v>0</v>
      </c>
    </row>
    <row r="1509" spans="1:22" x14ac:dyDescent="0.2">
      <c r="A1509"/>
      <c r="B1509">
        <v>24574</v>
      </c>
      <c r="C1509" t="s">
        <v>3626</v>
      </c>
      <c r="D1509" t="s">
        <v>920</v>
      </c>
      <c r="E1509" t="s">
        <v>1275</v>
      </c>
      <c r="F1509" t="s">
        <v>2320</v>
      </c>
      <c r="G1509">
        <v>2229.6314408799999</v>
      </c>
      <c r="H1509" t="s">
        <v>248</v>
      </c>
      <c r="Q1509">
        <v>3361.4016227100001</v>
      </c>
      <c r="R1509">
        <v>29810.987117000001</v>
      </c>
      <c r="S1509">
        <v>-14.647328592799999</v>
      </c>
      <c r="T1509">
        <v>-91.811619420300005</v>
      </c>
      <c r="U1509">
        <v>0</v>
      </c>
      <c r="V1509">
        <v>0</v>
      </c>
    </row>
    <row r="1510" spans="1:22" x14ac:dyDescent="0.2">
      <c r="A1510"/>
      <c r="B1510">
        <v>24575</v>
      </c>
      <c r="C1510" t="s">
        <v>3627</v>
      </c>
      <c r="D1510" t="s">
        <v>920</v>
      </c>
      <c r="E1510" t="s">
        <v>1275</v>
      </c>
      <c r="F1510" t="s">
        <v>2320</v>
      </c>
      <c r="G1510">
        <v>2281.2369901699999</v>
      </c>
      <c r="H1510" t="s">
        <v>248</v>
      </c>
      <c r="Q1510">
        <v>3359.7966856600001</v>
      </c>
      <c r="R1510">
        <v>29759.406864</v>
      </c>
      <c r="S1510">
        <v>-14.768236142099999</v>
      </c>
      <c r="T1510">
        <v>-91.744373059400004</v>
      </c>
      <c r="U1510">
        <v>0</v>
      </c>
      <c r="V1510">
        <v>0</v>
      </c>
    </row>
    <row r="1511" spans="1:22" x14ac:dyDescent="0.2">
      <c r="A1511"/>
      <c r="B1511">
        <v>24576</v>
      </c>
      <c r="C1511" t="s">
        <v>3628</v>
      </c>
      <c r="D1511" t="s">
        <v>920</v>
      </c>
      <c r="E1511" t="s">
        <v>1275</v>
      </c>
      <c r="F1511" t="s">
        <v>2320</v>
      </c>
      <c r="G1511">
        <v>2360.4173474499999</v>
      </c>
      <c r="H1511" t="s">
        <v>248</v>
      </c>
      <c r="Q1511">
        <v>3357.5176471599998</v>
      </c>
      <c r="R1511">
        <v>29680.2695552</v>
      </c>
      <c r="S1511">
        <v>-16.012616284700002</v>
      </c>
      <c r="T1511">
        <v>-91.535800293400001</v>
      </c>
      <c r="U1511">
        <v>0</v>
      </c>
      <c r="V1511">
        <v>0</v>
      </c>
    </row>
    <row r="1512" spans="1:22" x14ac:dyDescent="0.2">
      <c r="A1512"/>
      <c r="B1512">
        <v>24577</v>
      </c>
      <c r="C1512" t="s">
        <v>3629</v>
      </c>
      <c r="D1512" t="s">
        <v>920</v>
      </c>
      <c r="E1512" t="s">
        <v>1275</v>
      </c>
      <c r="F1512" t="s">
        <v>2320</v>
      </c>
      <c r="G1512">
        <v>2381.0910699800002</v>
      </c>
      <c r="H1512" t="s">
        <v>248</v>
      </c>
      <c r="Q1512">
        <v>3356.9762387999999</v>
      </c>
      <c r="R1512">
        <v>29659.606253800001</v>
      </c>
      <c r="S1512">
        <v>-16.383562011799999</v>
      </c>
      <c r="T1512">
        <v>-91.464951298000003</v>
      </c>
      <c r="U1512">
        <v>0</v>
      </c>
      <c r="V1512">
        <v>0</v>
      </c>
    </row>
    <row r="1513" spans="1:22" x14ac:dyDescent="0.2">
      <c r="A1513"/>
      <c r="B1513">
        <v>24578</v>
      </c>
      <c r="C1513" t="s">
        <v>3630</v>
      </c>
      <c r="D1513" t="s">
        <v>920</v>
      </c>
      <c r="E1513" t="s">
        <v>1275</v>
      </c>
      <c r="F1513" t="s">
        <v>2320</v>
      </c>
      <c r="G1513">
        <v>2499.2266272900001</v>
      </c>
      <c r="H1513" t="s">
        <v>248</v>
      </c>
      <c r="Q1513">
        <v>3361.3529946200001</v>
      </c>
      <c r="R1513">
        <v>29541.621313299998</v>
      </c>
      <c r="S1513">
        <v>-18.262903026299998</v>
      </c>
      <c r="T1513">
        <v>-86.210764464299999</v>
      </c>
      <c r="U1513">
        <v>0</v>
      </c>
      <c r="V1513">
        <v>0</v>
      </c>
    </row>
    <row r="1514" spans="1:22" x14ac:dyDescent="0.2">
      <c r="A1514"/>
      <c r="B1514">
        <v>24579</v>
      </c>
      <c r="C1514" t="s">
        <v>3631</v>
      </c>
      <c r="D1514" t="s">
        <v>920</v>
      </c>
      <c r="E1514" t="s">
        <v>1275</v>
      </c>
      <c r="F1514" t="s">
        <v>2320</v>
      </c>
      <c r="G1514">
        <v>2696.1192228099999</v>
      </c>
      <c r="H1514" t="s">
        <v>248</v>
      </c>
      <c r="Q1514">
        <v>3393.57794754</v>
      </c>
      <c r="R1514">
        <v>29348.069873299999</v>
      </c>
      <c r="S1514">
        <v>-17.834299619599999</v>
      </c>
      <c r="T1514">
        <v>-73.946916286199993</v>
      </c>
      <c r="U1514">
        <v>0</v>
      </c>
      <c r="V1514">
        <v>0</v>
      </c>
    </row>
    <row r="1515" spans="1:22" x14ac:dyDescent="0.2">
      <c r="A1515"/>
      <c r="B1515">
        <v>24580</v>
      </c>
      <c r="C1515" t="s">
        <v>3632</v>
      </c>
      <c r="D1515" t="s">
        <v>920</v>
      </c>
      <c r="E1515" t="s">
        <v>1275</v>
      </c>
      <c r="F1515" t="s">
        <v>2320</v>
      </c>
      <c r="G1515">
        <v>2893.0118183200002</v>
      </c>
      <c r="H1515" t="s">
        <v>248</v>
      </c>
      <c r="Q1515">
        <v>3424.3854773799999</v>
      </c>
      <c r="R1515">
        <v>29153.955663699999</v>
      </c>
      <c r="S1515">
        <v>-18.037842620900001</v>
      </c>
      <c r="T1515">
        <v>-83.676786081000003</v>
      </c>
      <c r="U1515">
        <v>0</v>
      </c>
      <c r="V1515">
        <v>0</v>
      </c>
    </row>
    <row r="1516" spans="1:22" x14ac:dyDescent="0.2">
      <c r="A1516"/>
      <c r="B1516">
        <v>24581</v>
      </c>
      <c r="C1516" t="s">
        <v>3633</v>
      </c>
      <c r="D1516" t="s">
        <v>920</v>
      </c>
      <c r="E1516" t="s">
        <v>1275</v>
      </c>
      <c r="F1516" t="s">
        <v>2320</v>
      </c>
      <c r="G1516">
        <v>3089.90441384</v>
      </c>
      <c r="H1516" t="s">
        <v>248</v>
      </c>
      <c r="Q1516">
        <v>3445.78641251</v>
      </c>
      <c r="R1516">
        <v>28958.230527700001</v>
      </c>
      <c r="S1516">
        <v>-17.492729037</v>
      </c>
      <c r="T1516">
        <v>-83.904160018499994</v>
      </c>
      <c r="U1516">
        <v>0</v>
      </c>
      <c r="V1516">
        <v>0</v>
      </c>
    </row>
    <row r="1517" spans="1:22" x14ac:dyDescent="0.2">
      <c r="A1517"/>
      <c r="B1517">
        <v>24582</v>
      </c>
      <c r="C1517" t="s">
        <v>3634</v>
      </c>
      <c r="D1517" t="s">
        <v>920</v>
      </c>
      <c r="E1517" t="s">
        <v>1275</v>
      </c>
      <c r="F1517" t="s">
        <v>2320</v>
      </c>
      <c r="G1517">
        <v>3211.97782306</v>
      </c>
      <c r="H1517" t="s">
        <v>248</v>
      </c>
      <c r="Q1517">
        <v>3454.4701492200002</v>
      </c>
      <c r="R1517">
        <v>28836.598998400001</v>
      </c>
      <c r="S1517">
        <v>-17.7836463292</v>
      </c>
      <c r="T1517">
        <v>-92.302303476500001</v>
      </c>
      <c r="U1517">
        <v>0</v>
      </c>
      <c r="V1517">
        <v>0</v>
      </c>
    </row>
    <row r="1518" spans="1:22" x14ac:dyDescent="0.2">
      <c r="A1518"/>
      <c r="B1518">
        <v>24583</v>
      </c>
      <c r="C1518" t="s">
        <v>3635</v>
      </c>
      <c r="D1518" t="s">
        <v>920</v>
      </c>
      <c r="E1518" t="s">
        <v>1275</v>
      </c>
      <c r="F1518" t="s">
        <v>2320</v>
      </c>
      <c r="G1518">
        <v>3330.11338037</v>
      </c>
      <c r="H1518" t="s">
        <v>248</v>
      </c>
      <c r="Q1518">
        <v>3432.51997282</v>
      </c>
      <c r="R1518">
        <v>28720.962486500001</v>
      </c>
      <c r="S1518">
        <v>-16.253428826699999</v>
      </c>
      <c r="T1518">
        <v>-109.080697656</v>
      </c>
      <c r="U1518">
        <v>0</v>
      </c>
      <c r="V1518">
        <v>0</v>
      </c>
    </row>
    <row r="1519" spans="1:22" x14ac:dyDescent="0.2">
      <c r="A1519"/>
      <c r="B1519">
        <v>24584</v>
      </c>
      <c r="C1519" t="s">
        <v>3636</v>
      </c>
      <c r="D1519" t="s">
        <v>920</v>
      </c>
      <c r="E1519" t="s">
        <v>1275</v>
      </c>
      <c r="F1519" t="s">
        <v>2320</v>
      </c>
      <c r="G1519">
        <v>3350.7871028999998</v>
      </c>
      <c r="H1519" t="s">
        <v>248</v>
      </c>
      <c r="Q1519">
        <v>3425.28335186</v>
      </c>
      <c r="R1519">
        <v>28701.6031368</v>
      </c>
      <c r="S1519">
        <v>-15.847850944799999</v>
      </c>
      <c r="T1519">
        <v>-111.878932427</v>
      </c>
      <c r="U1519">
        <v>0</v>
      </c>
      <c r="V1519">
        <v>0</v>
      </c>
    </row>
    <row r="1520" spans="1:22" x14ac:dyDescent="0.2">
      <c r="A1520"/>
      <c r="B1520">
        <v>24585</v>
      </c>
      <c r="C1520" t="s">
        <v>3637</v>
      </c>
      <c r="D1520" t="s">
        <v>920</v>
      </c>
      <c r="E1520" t="s">
        <v>1275</v>
      </c>
      <c r="F1520" t="s">
        <v>2320</v>
      </c>
      <c r="G1520">
        <v>3444.9017635599998</v>
      </c>
      <c r="H1520" t="s">
        <v>248</v>
      </c>
      <c r="Q1520">
        <v>3388.5530723400002</v>
      </c>
      <c r="R1520">
        <v>28614.9645791</v>
      </c>
      <c r="S1520">
        <v>-14.5265524418</v>
      </c>
      <c r="T1520">
        <v>-113.16843642000001</v>
      </c>
      <c r="U1520">
        <v>0</v>
      </c>
      <c r="V1520">
        <v>0</v>
      </c>
    </row>
    <row r="1521" spans="1:22" x14ac:dyDescent="0.2">
      <c r="A1521"/>
      <c r="B1521">
        <v>24586</v>
      </c>
      <c r="C1521" t="s">
        <v>3638</v>
      </c>
      <c r="D1521" t="s">
        <v>920</v>
      </c>
      <c r="E1521" t="s">
        <v>1275</v>
      </c>
      <c r="F1521" t="s">
        <v>2320</v>
      </c>
      <c r="G1521">
        <v>3459.5308834000002</v>
      </c>
      <c r="H1521" t="s">
        <v>248</v>
      </c>
      <c r="Q1521">
        <v>3382.7927048400002</v>
      </c>
      <c r="R1521">
        <v>28601.517320399998</v>
      </c>
      <c r="S1521">
        <v>-14.503724893599999</v>
      </c>
      <c r="T1521">
        <v>-113.207624662</v>
      </c>
      <c r="U1521">
        <v>0</v>
      </c>
      <c r="V1521">
        <v>0</v>
      </c>
    </row>
    <row r="1522" spans="1:22" x14ac:dyDescent="0.2">
      <c r="A1522"/>
      <c r="B1522">
        <v>24587</v>
      </c>
      <c r="C1522" t="s">
        <v>3639</v>
      </c>
      <c r="D1522" t="s">
        <v>920</v>
      </c>
      <c r="E1522" t="s">
        <v>1275</v>
      </c>
      <c r="F1522" t="s">
        <v>2320</v>
      </c>
      <c r="G1522">
        <v>3462.4842723299998</v>
      </c>
      <c r="H1522" t="s">
        <v>248</v>
      </c>
      <c r="Q1522">
        <v>3381.62871533</v>
      </c>
      <c r="R1522">
        <v>28598.802983199999</v>
      </c>
      <c r="S1522">
        <v>-14.5009176478</v>
      </c>
      <c r="T1522">
        <v>-113.214540101</v>
      </c>
      <c r="U1522">
        <v>0</v>
      </c>
      <c r="V1522">
        <v>0</v>
      </c>
    </row>
    <row r="1523" spans="1:22" x14ac:dyDescent="0.2">
      <c r="A1523"/>
      <c r="B1523">
        <v>24588</v>
      </c>
      <c r="C1523" t="s">
        <v>3640</v>
      </c>
      <c r="D1523" t="s">
        <v>920</v>
      </c>
      <c r="E1523" t="s">
        <v>1275</v>
      </c>
      <c r="F1523" t="s">
        <v>2320</v>
      </c>
      <c r="G1523">
        <v>3482.0947748499998</v>
      </c>
      <c r="H1523" t="s">
        <v>248</v>
      </c>
      <c r="Q1523">
        <v>3373.89247011</v>
      </c>
      <c r="R1523">
        <v>28580.782932300001</v>
      </c>
      <c r="S1523">
        <v>-14.497626604100001</v>
      </c>
      <c r="T1523">
        <v>-113.251971059</v>
      </c>
      <c r="U1523">
        <v>0</v>
      </c>
      <c r="V1523">
        <v>0</v>
      </c>
    </row>
    <row r="1524" spans="1:22" x14ac:dyDescent="0.2">
      <c r="A1524"/>
      <c r="B1524">
        <v>24589</v>
      </c>
      <c r="C1524" t="s">
        <v>3641</v>
      </c>
      <c r="D1524" t="s">
        <v>920</v>
      </c>
      <c r="E1524" t="s">
        <v>1275</v>
      </c>
      <c r="F1524" t="s">
        <v>2320</v>
      </c>
      <c r="G1524">
        <v>3485.0481637799999</v>
      </c>
      <c r="H1524" t="s">
        <v>248</v>
      </c>
      <c r="Q1524">
        <v>3372.7264403099998</v>
      </c>
      <c r="R1524">
        <v>28578.069469999999</v>
      </c>
      <c r="S1524">
        <v>-14.4994425718</v>
      </c>
      <c r="T1524">
        <v>-113.256330006</v>
      </c>
      <c r="U1524">
        <v>0</v>
      </c>
      <c r="V1524">
        <v>0</v>
      </c>
    </row>
    <row r="1525" spans="1:22" x14ac:dyDescent="0.2">
      <c r="A1525"/>
      <c r="B1525">
        <v>24590</v>
      </c>
      <c r="C1525" t="s">
        <v>3642</v>
      </c>
      <c r="D1525" t="s">
        <v>920</v>
      </c>
      <c r="E1525" t="s">
        <v>1275</v>
      </c>
      <c r="F1525" t="s">
        <v>2320</v>
      </c>
      <c r="G1525">
        <v>3542.16670574</v>
      </c>
      <c r="H1525" t="s">
        <v>248</v>
      </c>
      <c r="Q1525">
        <v>3350.15281938</v>
      </c>
      <c r="R1525">
        <v>28525.600827800001</v>
      </c>
      <c r="S1525">
        <v>-14.5274335774</v>
      </c>
      <c r="T1525">
        <v>-113.28377829900001</v>
      </c>
      <c r="U1525">
        <v>0</v>
      </c>
      <c r="V1525">
        <v>0</v>
      </c>
    </row>
    <row r="1526" spans="1:22" x14ac:dyDescent="0.2">
      <c r="A1526"/>
      <c r="B1526">
        <v>24591</v>
      </c>
      <c r="C1526" t="s">
        <v>3643</v>
      </c>
      <c r="D1526" t="s">
        <v>920</v>
      </c>
      <c r="E1526" t="s">
        <v>1275</v>
      </c>
      <c r="F1526" t="s">
        <v>2320</v>
      </c>
      <c r="G1526">
        <v>3576.7213562500001</v>
      </c>
      <c r="H1526" t="s">
        <v>248</v>
      </c>
      <c r="Q1526">
        <v>3336.5016840899998</v>
      </c>
      <c r="R1526">
        <v>28493.857005400001</v>
      </c>
      <c r="S1526">
        <v>-14.5204413273</v>
      </c>
      <c r="T1526">
        <v>-113.249127731</v>
      </c>
      <c r="U1526">
        <v>0</v>
      </c>
      <c r="V1526">
        <v>0</v>
      </c>
    </row>
    <row r="1527" spans="1:22" x14ac:dyDescent="0.2">
      <c r="A1527"/>
      <c r="B1527">
        <v>24592</v>
      </c>
      <c r="C1527" t="s">
        <v>3644</v>
      </c>
      <c r="D1527" t="s">
        <v>920</v>
      </c>
      <c r="E1527" t="s">
        <v>1275</v>
      </c>
      <c r="F1527" t="s">
        <v>2320</v>
      </c>
      <c r="G1527">
        <v>3579.6747451900001</v>
      </c>
      <c r="H1527" t="s">
        <v>248</v>
      </c>
      <c r="Q1527">
        <v>3335.3360048599998</v>
      </c>
      <c r="R1527">
        <v>28491.1433923</v>
      </c>
      <c r="S1527">
        <v>-14.51900141</v>
      </c>
      <c r="T1527">
        <v>-113.24437412499999</v>
      </c>
      <c r="U1527">
        <v>0</v>
      </c>
      <c r="V1527">
        <v>0</v>
      </c>
    </row>
    <row r="1528" spans="1:22" x14ac:dyDescent="0.2">
      <c r="A1528"/>
      <c r="B1528">
        <v>24593</v>
      </c>
      <c r="C1528" t="s">
        <v>3645</v>
      </c>
      <c r="D1528" t="s">
        <v>920</v>
      </c>
      <c r="E1528" t="s">
        <v>1275</v>
      </c>
      <c r="F1528" t="s">
        <v>2320</v>
      </c>
      <c r="G1528">
        <v>3599.2852477000001</v>
      </c>
      <c r="H1528" t="s">
        <v>248</v>
      </c>
      <c r="Q1528">
        <v>3327.6024136400001</v>
      </c>
      <c r="R1528">
        <v>28473.122205</v>
      </c>
      <c r="S1528">
        <v>-14.5060758721</v>
      </c>
      <c r="T1528">
        <v>-113.205652034</v>
      </c>
      <c r="U1528">
        <v>0</v>
      </c>
      <c r="V1528">
        <v>0</v>
      </c>
    </row>
    <row r="1529" spans="1:22" x14ac:dyDescent="0.2">
      <c r="A1529"/>
      <c r="B1529">
        <v>24594</v>
      </c>
      <c r="C1529" t="s">
        <v>3646</v>
      </c>
      <c r="D1529" t="s">
        <v>920</v>
      </c>
      <c r="E1529" t="s">
        <v>1275</v>
      </c>
      <c r="F1529" t="s">
        <v>2320</v>
      </c>
      <c r="G1529">
        <v>3602.2386366300002</v>
      </c>
      <c r="H1529" t="s">
        <v>248</v>
      </c>
      <c r="Q1529">
        <v>3326.4388451599998</v>
      </c>
      <c r="R1529">
        <v>28470.407686899998</v>
      </c>
      <c r="S1529">
        <v>-14.5036225552</v>
      </c>
      <c r="T1529">
        <v>-113.19874236</v>
      </c>
      <c r="U1529">
        <v>0</v>
      </c>
      <c r="V1529">
        <v>0</v>
      </c>
    </row>
    <row r="1530" spans="1:22" x14ac:dyDescent="0.2">
      <c r="A1530"/>
      <c r="B1530">
        <v>24595</v>
      </c>
      <c r="C1530" t="s">
        <v>3647</v>
      </c>
      <c r="D1530" t="s">
        <v>920</v>
      </c>
      <c r="E1530" t="s">
        <v>1275</v>
      </c>
      <c r="F1530" t="s">
        <v>2320</v>
      </c>
      <c r="G1530">
        <v>3653.8441859200002</v>
      </c>
      <c r="H1530" t="s">
        <v>248</v>
      </c>
      <c r="Q1530">
        <v>3306.1667695800002</v>
      </c>
      <c r="R1530">
        <v>28422.952516599998</v>
      </c>
      <c r="S1530">
        <v>-14.856411744300001</v>
      </c>
      <c r="T1530">
        <v>-113.05875590300001</v>
      </c>
      <c r="U1530">
        <v>0</v>
      </c>
      <c r="V1530">
        <v>0</v>
      </c>
    </row>
    <row r="1531" spans="1:22" x14ac:dyDescent="0.2">
      <c r="A1531"/>
      <c r="B1531">
        <v>24596</v>
      </c>
      <c r="C1531" t="s">
        <v>3648</v>
      </c>
      <c r="D1531" t="s">
        <v>920</v>
      </c>
      <c r="E1531" t="s">
        <v>1275</v>
      </c>
      <c r="F1531" t="s">
        <v>2320</v>
      </c>
      <c r="G1531">
        <v>3732.7587382000002</v>
      </c>
      <c r="H1531" t="s">
        <v>248</v>
      </c>
      <c r="Q1531">
        <v>3276.78410936</v>
      </c>
      <c r="R1531">
        <v>28349.740030199999</v>
      </c>
      <c r="S1531">
        <v>-16.357917561299999</v>
      </c>
      <c r="T1531">
        <v>-110.201084757</v>
      </c>
      <c r="U1531">
        <v>0</v>
      </c>
      <c r="V1531">
        <v>0</v>
      </c>
    </row>
    <row r="1532" spans="1:22" x14ac:dyDescent="0.2">
      <c r="A1532"/>
      <c r="B1532">
        <v>24597</v>
      </c>
      <c r="C1532" t="s">
        <v>3649</v>
      </c>
      <c r="D1532" t="s">
        <v>920</v>
      </c>
      <c r="E1532" t="s">
        <v>1275</v>
      </c>
      <c r="F1532" t="s">
        <v>2320</v>
      </c>
      <c r="G1532">
        <v>3753.43246073</v>
      </c>
      <c r="H1532" t="s">
        <v>248</v>
      </c>
      <c r="Q1532">
        <v>3269.7449674700001</v>
      </c>
      <c r="R1532">
        <v>28330.3056034</v>
      </c>
      <c r="S1532">
        <v>-16.7490068034</v>
      </c>
      <c r="T1532">
        <v>-109.64401512800001</v>
      </c>
      <c r="U1532">
        <v>0</v>
      </c>
      <c r="V1532">
        <v>0</v>
      </c>
    </row>
    <row r="1533" spans="1:22" x14ac:dyDescent="0.2">
      <c r="A1533"/>
      <c r="B1533">
        <v>24598</v>
      </c>
      <c r="C1533" t="s">
        <v>3650</v>
      </c>
      <c r="D1533" t="s">
        <v>920</v>
      </c>
      <c r="E1533" t="s">
        <v>1275</v>
      </c>
      <c r="F1533" t="s">
        <v>2320</v>
      </c>
      <c r="G1533">
        <v>3871.56801804</v>
      </c>
      <c r="H1533" t="s">
        <v>248</v>
      </c>
      <c r="Q1533">
        <v>3234.1840051099998</v>
      </c>
      <c r="R1533">
        <v>28217.7629094</v>
      </c>
      <c r="S1533">
        <v>-18.6419205286</v>
      </c>
      <c r="T1533">
        <v>-101.683922295</v>
      </c>
      <c r="U1533">
        <v>0</v>
      </c>
      <c r="V1533">
        <v>0</v>
      </c>
    </row>
    <row r="1534" spans="1:22" x14ac:dyDescent="0.2">
      <c r="A1534"/>
      <c r="B1534">
        <v>24599</v>
      </c>
      <c r="C1534" t="s">
        <v>3651</v>
      </c>
      <c r="D1534" t="s">
        <v>920</v>
      </c>
      <c r="E1534" t="s">
        <v>1275</v>
      </c>
      <c r="F1534" t="s">
        <v>2320</v>
      </c>
      <c r="G1534">
        <v>4068.4606135499998</v>
      </c>
      <c r="H1534" t="s">
        <v>248</v>
      </c>
      <c r="Q1534">
        <v>3208.3615998199998</v>
      </c>
      <c r="R1534">
        <v>28022.598583800002</v>
      </c>
      <c r="S1534">
        <v>-18.576716577500001</v>
      </c>
      <c r="T1534">
        <v>-97.153829967999997</v>
      </c>
      <c r="U1534">
        <v>0</v>
      </c>
      <c r="V1534">
        <v>0</v>
      </c>
    </row>
    <row r="1535" spans="1:22" x14ac:dyDescent="0.2">
      <c r="A1535"/>
      <c r="B1535">
        <v>24600</v>
      </c>
      <c r="C1535" t="s">
        <v>3652</v>
      </c>
      <c r="D1535" t="s">
        <v>920</v>
      </c>
      <c r="E1535" t="s">
        <v>1275</v>
      </c>
      <c r="F1535" t="s">
        <v>2320</v>
      </c>
      <c r="G1535">
        <v>4265.35320907</v>
      </c>
      <c r="H1535" t="s">
        <v>248</v>
      </c>
      <c r="Q1535">
        <v>3183.9602736500001</v>
      </c>
      <c r="R1535">
        <v>27827.223931199998</v>
      </c>
      <c r="S1535">
        <v>-18.476322819300002</v>
      </c>
      <c r="T1535">
        <v>-97.086519907300001</v>
      </c>
      <c r="U1535">
        <v>0</v>
      </c>
      <c r="V1535">
        <v>0</v>
      </c>
    </row>
    <row r="1536" spans="1:22" x14ac:dyDescent="0.2">
      <c r="A1536"/>
      <c r="B1536">
        <v>24601</v>
      </c>
      <c r="C1536" t="s">
        <v>3653</v>
      </c>
      <c r="D1536" t="s">
        <v>920</v>
      </c>
      <c r="E1536" t="s">
        <v>1275</v>
      </c>
      <c r="F1536" t="s">
        <v>2320</v>
      </c>
      <c r="G1536">
        <v>4389.3955442500001</v>
      </c>
      <c r="H1536" t="s">
        <v>248</v>
      </c>
      <c r="Q1536">
        <v>3168.6957614100002</v>
      </c>
      <c r="R1536">
        <v>27704.1244186</v>
      </c>
      <c r="S1536">
        <v>-18.4047429144</v>
      </c>
      <c r="T1536">
        <v>-97.055434076400005</v>
      </c>
      <c r="U1536">
        <v>0</v>
      </c>
      <c r="V1536">
        <v>0</v>
      </c>
    </row>
    <row r="1537" spans="1:22" x14ac:dyDescent="0.2">
      <c r="A1537"/>
      <c r="B1537">
        <v>24602</v>
      </c>
      <c r="C1537" t="s">
        <v>3654</v>
      </c>
      <c r="D1537" t="s">
        <v>920</v>
      </c>
      <c r="E1537" t="s">
        <v>1275</v>
      </c>
      <c r="F1537" t="s">
        <v>2320</v>
      </c>
      <c r="G1537">
        <v>4507.5311015500001</v>
      </c>
      <c r="H1537" t="s">
        <v>248</v>
      </c>
      <c r="Q1537">
        <v>3154.2007938400002</v>
      </c>
      <c r="R1537">
        <v>27586.904408400002</v>
      </c>
      <c r="S1537">
        <v>-16.2905845069</v>
      </c>
      <c r="T1537">
        <v>-97.040262629599994</v>
      </c>
      <c r="U1537">
        <v>0</v>
      </c>
      <c r="V1537">
        <v>0</v>
      </c>
    </row>
    <row r="1538" spans="1:22" x14ac:dyDescent="0.2">
      <c r="A1538"/>
      <c r="B1538">
        <v>24603</v>
      </c>
      <c r="C1538" t="s">
        <v>3655</v>
      </c>
      <c r="D1538" t="s">
        <v>920</v>
      </c>
      <c r="E1538" t="s">
        <v>1275</v>
      </c>
      <c r="F1538" t="s">
        <v>2320</v>
      </c>
      <c r="G1538">
        <v>4528.2048240800004</v>
      </c>
      <c r="H1538" t="s">
        <v>248</v>
      </c>
      <c r="Q1538">
        <v>3151.66814944</v>
      </c>
      <c r="R1538">
        <v>27566.393269299999</v>
      </c>
      <c r="S1538">
        <v>-15.7598531944</v>
      </c>
      <c r="T1538">
        <v>-97.037942977499995</v>
      </c>
      <c r="U1538">
        <v>0</v>
      </c>
      <c r="V1538">
        <v>0</v>
      </c>
    </row>
    <row r="1539" spans="1:22" x14ac:dyDescent="0.2">
      <c r="A1539"/>
      <c r="B1539">
        <v>24604</v>
      </c>
      <c r="C1539" t="s">
        <v>3656</v>
      </c>
      <c r="D1539" t="s">
        <v>920</v>
      </c>
      <c r="E1539" t="s">
        <v>1275</v>
      </c>
      <c r="F1539" t="s">
        <v>2320</v>
      </c>
      <c r="G1539">
        <v>4622.5360665999997</v>
      </c>
      <c r="H1539" t="s">
        <v>248</v>
      </c>
      <c r="Q1539">
        <v>3140.1007189400002</v>
      </c>
      <c r="R1539">
        <v>27472.786722199999</v>
      </c>
      <c r="S1539">
        <v>-14.4212855929</v>
      </c>
      <c r="T1539">
        <v>-97.027094344099993</v>
      </c>
      <c r="U1539">
        <v>0</v>
      </c>
      <c r="V1539">
        <v>0</v>
      </c>
    </row>
    <row r="1540" spans="1:22" x14ac:dyDescent="0.2">
      <c r="A1540"/>
      <c r="B1540">
        <v>24605</v>
      </c>
      <c r="C1540" t="s">
        <v>3657</v>
      </c>
      <c r="D1540" t="s">
        <v>920</v>
      </c>
      <c r="E1540" t="s">
        <v>1275</v>
      </c>
      <c r="F1540" t="s">
        <v>2320</v>
      </c>
      <c r="G1540">
        <v>4637.1651864400001</v>
      </c>
      <c r="H1540" t="s">
        <v>248</v>
      </c>
      <c r="Q1540">
        <v>3138.3365254700002</v>
      </c>
      <c r="R1540">
        <v>27458.2644368</v>
      </c>
      <c r="S1540">
        <v>-14.429951756399999</v>
      </c>
      <c r="T1540">
        <v>-96.534356595399998</v>
      </c>
      <c r="U1540">
        <v>0</v>
      </c>
      <c r="V1540">
        <v>0</v>
      </c>
    </row>
    <row r="1541" spans="1:22" x14ac:dyDescent="0.2">
      <c r="A1541"/>
      <c r="B1541">
        <v>24606</v>
      </c>
      <c r="C1541" t="s">
        <v>3658</v>
      </c>
      <c r="D1541" t="s">
        <v>920</v>
      </c>
      <c r="E1541" t="s">
        <v>1275</v>
      </c>
      <c r="F1541" t="s">
        <v>2320</v>
      </c>
      <c r="G1541">
        <v>4640.11857538</v>
      </c>
      <c r="H1541" t="s">
        <v>248</v>
      </c>
      <c r="Q1541">
        <v>3138.0057673000001</v>
      </c>
      <c r="R1541">
        <v>27455.329629399999</v>
      </c>
      <c r="S1541">
        <v>-14.431050793000001</v>
      </c>
      <c r="T1541">
        <v>-96.326052020500001</v>
      </c>
      <c r="U1541">
        <v>0</v>
      </c>
      <c r="V1541">
        <v>0</v>
      </c>
    </row>
    <row r="1542" spans="1:22" x14ac:dyDescent="0.2">
      <c r="A1542"/>
      <c r="B1542">
        <v>24607</v>
      </c>
      <c r="C1542" t="s">
        <v>3659</v>
      </c>
      <c r="D1542" t="s">
        <v>920</v>
      </c>
      <c r="E1542" t="s">
        <v>1275</v>
      </c>
      <c r="F1542" t="s">
        <v>2320</v>
      </c>
      <c r="G1542">
        <v>4659.7290778899996</v>
      </c>
      <c r="H1542" t="s">
        <v>248</v>
      </c>
      <c r="Q1542">
        <v>3136.0803071300002</v>
      </c>
      <c r="R1542">
        <v>27435.814358799998</v>
      </c>
      <c r="S1542">
        <v>-14.432692722500001</v>
      </c>
      <c r="T1542">
        <v>-94.949410181499999</v>
      </c>
      <c r="U1542">
        <v>0</v>
      </c>
      <c r="V1542">
        <v>0</v>
      </c>
    </row>
    <row r="1543" spans="1:22" x14ac:dyDescent="0.2">
      <c r="A1543"/>
      <c r="B1543">
        <v>24608</v>
      </c>
      <c r="C1543" t="s">
        <v>3660</v>
      </c>
      <c r="D1543" t="s">
        <v>920</v>
      </c>
      <c r="E1543" t="s">
        <v>1275</v>
      </c>
      <c r="F1543" t="s">
        <v>2320</v>
      </c>
      <c r="G1543">
        <v>4662.6824668199997</v>
      </c>
      <c r="H1543" t="s">
        <v>248</v>
      </c>
      <c r="Q1543">
        <v>3135.8305507700002</v>
      </c>
      <c r="R1543">
        <v>27432.871550700002</v>
      </c>
      <c r="S1543">
        <v>-14.432448598500001</v>
      </c>
      <c r="T1543">
        <v>-94.753823862399997</v>
      </c>
      <c r="U1543">
        <v>0</v>
      </c>
      <c r="V1543">
        <v>0</v>
      </c>
    </row>
    <row r="1544" spans="1:22" x14ac:dyDescent="0.2">
      <c r="A1544"/>
      <c r="B1544">
        <v>24609</v>
      </c>
      <c r="C1544" t="s">
        <v>3661</v>
      </c>
      <c r="D1544" t="s">
        <v>920</v>
      </c>
      <c r="E1544" t="s">
        <v>1275</v>
      </c>
      <c r="F1544" t="s">
        <v>2320</v>
      </c>
      <c r="G1544">
        <v>4719.8010087800003</v>
      </c>
      <c r="H1544" t="s">
        <v>248</v>
      </c>
      <c r="Q1544">
        <v>3132.5413900200001</v>
      </c>
      <c r="R1544">
        <v>27375.8523919</v>
      </c>
      <c r="S1544">
        <v>-14.4252264922</v>
      </c>
      <c r="T1544">
        <v>-92.256473148699996</v>
      </c>
      <c r="U1544">
        <v>0</v>
      </c>
      <c r="V1544">
        <v>0</v>
      </c>
    </row>
    <row r="1545" spans="1:22" x14ac:dyDescent="0.2">
      <c r="A1545"/>
      <c r="B1545">
        <v>24610</v>
      </c>
      <c r="C1545" t="s">
        <v>3662</v>
      </c>
      <c r="D1545" t="s">
        <v>920</v>
      </c>
      <c r="E1545" t="s">
        <v>1275</v>
      </c>
      <c r="F1545" t="s">
        <v>2320</v>
      </c>
      <c r="G1545">
        <v>4754.3556592900004</v>
      </c>
      <c r="H1545" t="s">
        <v>248</v>
      </c>
      <c r="Q1545">
        <v>3131.3259067399999</v>
      </c>
      <c r="R1545">
        <v>27341.319182399999</v>
      </c>
      <c r="S1545">
        <v>-14.4201810463</v>
      </c>
      <c r="T1545">
        <v>-91.899715555100002</v>
      </c>
      <c r="U1545">
        <v>0</v>
      </c>
      <c r="V1545">
        <v>0</v>
      </c>
    </row>
    <row r="1546" spans="1:22" x14ac:dyDescent="0.2">
      <c r="A1546"/>
      <c r="B1546">
        <v>24611</v>
      </c>
      <c r="C1546" t="s">
        <v>3663</v>
      </c>
      <c r="D1546" t="s">
        <v>920</v>
      </c>
      <c r="E1546" t="s">
        <v>1275</v>
      </c>
      <c r="F1546" t="s">
        <v>2320</v>
      </c>
      <c r="G1546">
        <v>4757.3090482300004</v>
      </c>
      <c r="H1546" t="s">
        <v>248</v>
      </c>
      <c r="Q1546">
        <v>3131.2280946599999</v>
      </c>
      <c r="R1546">
        <v>27338.367413600001</v>
      </c>
      <c r="S1546">
        <v>-14.420377760399999</v>
      </c>
      <c r="T1546">
        <v>-91.896591036299995</v>
      </c>
      <c r="U1546">
        <v>0</v>
      </c>
      <c r="V1546">
        <v>0</v>
      </c>
    </row>
    <row r="1547" spans="1:22" x14ac:dyDescent="0.2">
      <c r="A1547"/>
      <c r="B1547">
        <v>24612</v>
      </c>
      <c r="C1547" t="s">
        <v>3664</v>
      </c>
      <c r="D1547" t="s">
        <v>920</v>
      </c>
      <c r="E1547" t="s">
        <v>1275</v>
      </c>
      <c r="F1547" t="s">
        <v>2320</v>
      </c>
      <c r="G1547">
        <v>4776.91955074</v>
      </c>
      <c r="H1547" t="s">
        <v>248</v>
      </c>
      <c r="Q1547">
        <v>3130.57487515</v>
      </c>
      <c r="R1547">
        <v>27318.767794300002</v>
      </c>
      <c r="S1547">
        <v>-14.4250631119</v>
      </c>
      <c r="T1547">
        <v>-91.922462154800002</v>
      </c>
      <c r="U1547">
        <v>0</v>
      </c>
      <c r="V1547">
        <v>0</v>
      </c>
    </row>
    <row r="1548" spans="1:22" x14ac:dyDescent="0.2">
      <c r="A1548"/>
      <c r="B1548">
        <v>24613</v>
      </c>
      <c r="C1548" t="s">
        <v>3665</v>
      </c>
      <c r="D1548" t="s">
        <v>920</v>
      </c>
      <c r="E1548" t="s">
        <v>1275</v>
      </c>
      <c r="F1548" t="s">
        <v>2320</v>
      </c>
      <c r="G1548">
        <v>4779.8729396700001</v>
      </c>
      <c r="H1548" t="s">
        <v>248</v>
      </c>
      <c r="Q1548">
        <v>3130.47586654</v>
      </c>
      <c r="R1548">
        <v>27315.816065499999</v>
      </c>
      <c r="S1548">
        <v>-14.4259037538</v>
      </c>
      <c r="T1548">
        <v>-91.919193492299996</v>
      </c>
      <c r="U1548">
        <v>0</v>
      </c>
      <c r="V1548">
        <v>0</v>
      </c>
    </row>
    <row r="1549" spans="1:22" x14ac:dyDescent="0.2">
      <c r="A1549"/>
      <c r="B1549">
        <v>24614</v>
      </c>
      <c r="C1549" t="s">
        <v>3666</v>
      </c>
      <c r="D1549" t="s">
        <v>920</v>
      </c>
      <c r="E1549" t="s">
        <v>1275</v>
      </c>
      <c r="F1549" t="s">
        <v>2320</v>
      </c>
      <c r="G1549">
        <v>4831.4784889599996</v>
      </c>
      <c r="H1549" t="s">
        <v>248</v>
      </c>
      <c r="Q1549">
        <v>3128.9761957599999</v>
      </c>
      <c r="R1549">
        <v>27264.2327554</v>
      </c>
      <c r="S1549">
        <v>-14.4146424917</v>
      </c>
      <c r="T1549">
        <v>-91.038123989400006</v>
      </c>
      <c r="U1549">
        <v>0</v>
      </c>
      <c r="V1549">
        <v>0</v>
      </c>
    </row>
    <row r="1550" spans="1:22" x14ac:dyDescent="0.2">
      <c r="A1550"/>
      <c r="B1550">
        <v>24615</v>
      </c>
      <c r="C1550" t="s">
        <v>3667</v>
      </c>
      <c r="D1550" t="s">
        <v>920</v>
      </c>
      <c r="E1550" t="s">
        <v>1275</v>
      </c>
      <c r="F1550" t="s">
        <v>2320</v>
      </c>
      <c r="G1550">
        <v>4911.1609223599999</v>
      </c>
      <c r="H1550" t="s">
        <v>248</v>
      </c>
      <c r="Q1550">
        <v>3133.3478427099999</v>
      </c>
      <c r="R1550">
        <v>27184.756570199999</v>
      </c>
      <c r="S1550">
        <v>-15.180023627000001</v>
      </c>
      <c r="T1550">
        <v>-82.303758169700004</v>
      </c>
      <c r="U1550">
        <v>0</v>
      </c>
      <c r="V1550">
        <v>0</v>
      </c>
    </row>
    <row r="1551" spans="1:22" x14ac:dyDescent="0.2">
      <c r="A1551"/>
      <c r="B1551">
        <v>24616</v>
      </c>
      <c r="C1551" t="s">
        <v>3668</v>
      </c>
      <c r="D1551" t="s">
        <v>920</v>
      </c>
      <c r="E1551" t="s">
        <v>1275</v>
      </c>
      <c r="F1551" t="s">
        <v>2320</v>
      </c>
      <c r="G1551">
        <v>4931.8346448900002</v>
      </c>
      <c r="H1551" t="s">
        <v>248</v>
      </c>
      <c r="Q1551">
        <v>3136.5461158100002</v>
      </c>
      <c r="R1551">
        <v>27164.337657299999</v>
      </c>
      <c r="S1551">
        <v>-15.6032234368</v>
      </c>
      <c r="T1551">
        <v>-79.900001425100001</v>
      </c>
      <c r="U1551">
        <v>0</v>
      </c>
      <c r="V1551">
        <v>0</v>
      </c>
    </row>
    <row r="1552" spans="1:22" x14ac:dyDescent="0.2">
      <c r="A1552"/>
      <c r="B1552">
        <v>24617</v>
      </c>
      <c r="C1552" t="s">
        <v>3669</v>
      </c>
      <c r="D1552" t="s">
        <v>920</v>
      </c>
      <c r="E1552" t="s">
        <v>1275</v>
      </c>
      <c r="F1552" t="s">
        <v>2320</v>
      </c>
      <c r="G1552">
        <v>5049.9702022000001</v>
      </c>
      <c r="H1552" t="s">
        <v>248</v>
      </c>
      <c r="Q1552">
        <v>3159.7538802399999</v>
      </c>
      <c r="R1552">
        <v>27048.582871499999</v>
      </c>
      <c r="S1552">
        <v>-17.887566025999998</v>
      </c>
      <c r="T1552">
        <v>-83.037775437600004</v>
      </c>
      <c r="U1552">
        <v>0</v>
      </c>
      <c r="V1552">
        <v>0</v>
      </c>
    </row>
    <row r="1553" spans="1:22" x14ac:dyDescent="0.2">
      <c r="A1553"/>
      <c r="B1553">
        <v>24618</v>
      </c>
      <c r="C1553" t="s">
        <v>3670</v>
      </c>
      <c r="D1553" t="s">
        <v>920</v>
      </c>
      <c r="E1553" t="s">
        <v>1275</v>
      </c>
      <c r="F1553" t="s">
        <v>2320</v>
      </c>
      <c r="G1553">
        <v>5246.8627977200003</v>
      </c>
      <c r="H1553" t="s">
        <v>248</v>
      </c>
      <c r="Q1553">
        <v>3151.9072290200002</v>
      </c>
      <c r="R1553">
        <v>26852.2332154</v>
      </c>
      <c r="S1553">
        <v>-18.6717820432</v>
      </c>
      <c r="T1553">
        <v>-94.712075242599994</v>
      </c>
      <c r="U1553">
        <v>0</v>
      </c>
      <c r="V1553">
        <v>0</v>
      </c>
    </row>
    <row r="1554" spans="1:22" x14ac:dyDescent="0.2">
      <c r="A1554"/>
      <c r="B1554">
        <v>24619</v>
      </c>
      <c r="C1554" t="s">
        <v>3671</v>
      </c>
      <c r="D1554" t="s">
        <v>920</v>
      </c>
      <c r="E1554" t="s">
        <v>1275</v>
      </c>
      <c r="F1554" t="s">
        <v>2320</v>
      </c>
      <c r="G1554">
        <v>5394.5322443499999</v>
      </c>
      <c r="H1554" t="s">
        <v>248</v>
      </c>
      <c r="Q1554">
        <v>3140.95317037</v>
      </c>
      <c r="R1554">
        <v>26704.9960168</v>
      </c>
      <c r="S1554">
        <v>-17.4592226406</v>
      </c>
      <c r="T1554">
        <v>-91.074638128999993</v>
      </c>
      <c r="U1554">
        <v>0</v>
      </c>
      <c r="V1554">
        <v>0</v>
      </c>
    </row>
    <row r="1555" spans="1:22" x14ac:dyDescent="0.2">
      <c r="A1555"/>
      <c r="B1555">
        <v>24620</v>
      </c>
      <c r="C1555" t="s">
        <v>3672</v>
      </c>
      <c r="D1555" t="s">
        <v>920</v>
      </c>
      <c r="E1555" t="s">
        <v>1275</v>
      </c>
      <c r="F1555" t="s">
        <v>2320</v>
      </c>
      <c r="G1555">
        <v>5512.6678016599999</v>
      </c>
      <c r="H1555" t="s">
        <v>248</v>
      </c>
      <c r="Q1555">
        <v>3148.8404639400001</v>
      </c>
      <c r="R1555">
        <v>26587.209428900002</v>
      </c>
      <c r="S1555">
        <v>-15.3592804496</v>
      </c>
      <c r="T1555">
        <v>-84.808690966900002</v>
      </c>
      <c r="U1555">
        <v>0</v>
      </c>
      <c r="V1555">
        <v>0</v>
      </c>
    </row>
    <row r="1556" spans="1:22" x14ac:dyDescent="0.2">
      <c r="A1556"/>
      <c r="B1556">
        <v>24621</v>
      </c>
      <c r="C1556" t="s">
        <v>3673</v>
      </c>
      <c r="D1556" t="s">
        <v>920</v>
      </c>
      <c r="E1556" t="s">
        <v>1275</v>
      </c>
      <c r="F1556" t="s">
        <v>2320</v>
      </c>
      <c r="G1556">
        <v>5533.3415241900002</v>
      </c>
      <c r="H1556" t="s">
        <v>248</v>
      </c>
      <c r="Q1556">
        <v>3150.7132900500001</v>
      </c>
      <c r="R1556">
        <v>26566.624080000001</v>
      </c>
      <c r="S1556">
        <v>-14.9868156024</v>
      </c>
      <c r="T1556">
        <v>-84.7943009472</v>
      </c>
      <c r="U1556">
        <v>0</v>
      </c>
      <c r="V1556">
        <v>0</v>
      </c>
    </row>
    <row r="1557" spans="1:22" x14ac:dyDescent="0.2">
      <c r="A1557"/>
      <c r="B1557">
        <v>24622</v>
      </c>
      <c r="C1557" t="s">
        <v>3674</v>
      </c>
      <c r="D1557" t="s">
        <v>920</v>
      </c>
      <c r="E1557" t="s">
        <v>1275</v>
      </c>
      <c r="F1557" t="s">
        <v>2320</v>
      </c>
      <c r="G1557">
        <v>5627.9681055999999</v>
      </c>
      <c r="H1557" t="s">
        <v>248</v>
      </c>
      <c r="Q1557">
        <v>3159.35777134</v>
      </c>
      <c r="R1557">
        <v>26472.403739000001</v>
      </c>
      <c r="S1557">
        <v>-13.639508602199999</v>
      </c>
      <c r="T1557">
        <v>-84.728306425</v>
      </c>
      <c r="U1557">
        <v>0</v>
      </c>
      <c r="V1557">
        <v>0</v>
      </c>
    </row>
    <row r="1558" spans="1:22" x14ac:dyDescent="0.2">
      <c r="A1558"/>
      <c r="B1558">
        <v>24623</v>
      </c>
      <c r="C1558" t="s">
        <v>3675</v>
      </c>
      <c r="D1558" t="s">
        <v>920</v>
      </c>
      <c r="E1558" t="s">
        <v>1275</v>
      </c>
      <c r="F1558" t="s">
        <v>2320</v>
      </c>
      <c r="G1558">
        <v>5642.5972254400003</v>
      </c>
      <c r="H1558" t="s">
        <v>248</v>
      </c>
      <c r="Q1558">
        <v>3160.70241222</v>
      </c>
      <c r="R1558">
        <v>26457.836609900001</v>
      </c>
      <c r="S1558">
        <v>-13.5995933</v>
      </c>
      <c r="T1558">
        <v>-84.724399947400002</v>
      </c>
      <c r="U1558">
        <v>0</v>
      </c>
      <c r="V1558">
        <v>0</v>
      </c>
    </row>
    <row r="1559" spans="1:22" x14ac:dyDescent="0.2">
      <c r="A1559"/>
      <c r="B1559">
        <v>24624</v>
      </c>
      <c r="C1559" t="s">
        <v>3676</v>
      </c>
      <c r="D1559" t="s">
        <v>920</v>
      </c>
      <c r="E1559" t="s">
        <v>1275</v>
      </c>
      <c r="F1559" t="s">
        <v>2320</v>
      </c>
      <c r="G1559">
        <v>5645.5506143800003</v>
      </c>
      <c r="H1559" t="s">
        <v>248</v>
      </c>
      <c r="Q1559">
        <v>3160.97397989</v>
      </c>
      <c r="R1559">
        <v>26454.895733400001</v>
      </c>
      <c r="S1559">
        <v>-13.598117157200001</v>
      </c>
      <c r="T1559">
        <v>-84.723876353500003</v>
      </c>
      <c r="U1559">
        <v>0</v>
      </c>
      <c r="V1559">
        <v>0</v>
      </c>
    </row>
    <row r="1560" spans="1:22" x14ac:dyDescent="0.2">
      <c r="A1560"/>
      <c r="B1560">
        <v>24625</v>
      </c>
      <c r="C1560" t="s">
        <v>3677</v>
      </c>
      <c r="D1560" t="s">
        <v>920</v>
      </c>
      <c r="E1560" t="s">
        <v>1275</v>
      </c>
      <c r="F1560" t="s">
        <v>2320</v>
      </c>
      <c r="G1560">
        <v>5665.1611168899999</v>
      </c>
      <c r="H1560" t="s">
        <v>248</v>
      </c>
      <c r="Q1560">
        <v>3162.7778311400002</v>
      </c>
      <c r="R1560">
        <v>26435.3683724</v>
      </c>
      <c r="S1560">
        <v>-13.6078886336</v>
      </c>
      <c r="T1560">
        <v>-84.720213694099996</v>
      </c>
      <c r="U1560">
        <v>0</v>
      </c>
      <c r="V1560">
        <v>0</v>
      </c>
    </row>
    <row r="1561" spans="1:22" x14ac:dyDescent="0.2">
      <c r="A1561"/>
      <c r="B1561">
        <v>24626</v>
      </c>
      <c r="C1561" t="s">
        <v>3678</v>
      </c>
      <c r="D1561" t="s">
        <v>920</v>
      </c>
      <c r="E1561" t="s">
        <v>1275</v>
      </c>
      <c r="F1561" t="s">
        <v>2320</v>
      </c>
      <c r="G1561">
        <v>5668.11450582</v>
      </c>
      <c r="H1561" t="s">
        <v>248</v>
      </c>
      <c r="Q1561">
        <v>3163.0496197699999</v>
      </c>
      <c r="R1561">
        <v>26432.427516200001</v>
      </c>
      <c r="S1561">
        <v>-13.609223979399999</v>
      </c>
      <c r="T1561">
        <v>-84.7194276022</v>
      </c>
      <c r="U1561">
        <v>0</v>
      </c>
      <c r="V1561">
        <v>0</v>
      </c>
    </row>
    <row r="1562" spans="1:22" x14ac:dyDescent="0.2">
      <c r="A1562"/>
      <c r="B1562">
        <v>24627</v>
      </c>
      <c r="C1562" t="s">
        <v>3679</v>
      </c>
      <c r="D1562" t="s">
        <v>920</v>
      </c>
      <c r="E1562" t="s">
        <v>1275</v>
      </c>
      <c r="F1562" t="s">
        <v>2320</v>
      </c>
      <c r="G1562">
        <v>5725.2330477799997</v>
      </c>
      <c r="H1562" t="s">
        <v>248</v>
      </c>
      <c r="Q1562">
        <v>3168.3181671399998</v>
      </c>
      <c r="R1562">
        <v>26375.552477699999</v>
      </c>
      <c r="S1562">
        <v>-13.6197569971</v>
      </c>
      <c r="T1562">
        <v>-84.692713420700002</v>
      </c>
      <c r="U1562">
        <v>0</v>
      </c>
      <c r="V1562">
        <v>0</v>
      </c>
    </row>
    <row r="1563" spans="1:22" x14ac:dyDescent="0.2">
      <c r="A1563"/>
      <c r="B1563">
        <v>24628</v>
      </c>
      <c r="C1563" t="s">
        <v>3680</v>
      </c>
      <c r="D1563" t="s">
        <v>920</v>
      </c>
      <c r="E1563" t="s">
        <v>1275</v>
      </c>
      <c r="F1563" t="s">
        <v>2320</v>
      </c>
      <c r="G1563">
        <v>5759.7876982999996</v>
      </c>
      <c r="H1563" t="s">
        <v>248</v>
      </c>
      <c r="Q1563">
        <v>3171.5185477800001</v>
      </c>
      <c r="R1563">
        <v>26341.146352799999</v>
      </c>
      <c r="S1563">
        <v>-13.6185971136</v>
      </c>
      <c r="T1563">
        <v>-84.680595965699993</v>
      </c>
      <c r="U1563">
        <v>0</v>
      </c>
      <c r="V1563">
        <v>0</v>
      </c>
    </row>
    <row r="1564" spans="1:22" x14ac:dyDescent="0.2">
      <c r="A1564"/>
      <c r="B1564">
        <v>24629</v>
      </c>
      <c r="C1564" t="s">
        <v>3681</v>
      </c>
      <c r="D1564" t="s">
        <v>920</v>
      </c>
      <c r="E1564" t="s">
        <v>1275</v>
      </c>
      <c r="F1564" t="s">
        <v>2320</v>
      </c>
      <c r="G1564">
        <v>5762.7410872299997</v>
      </c>
      <c r="H1564" t="s">
        <v>248</v>
      </c>
      <c r="Q1564">
        <v>3171.7923641900002</v>
      </c>
      <c r="R1564">
        <v>26338.2056844</v>
      </c>
      <c r="S1564">
        <v>-13.6183930456</v>
      </c>
      <c r="T1564">
        <v>-84.680054663700005</v>
      </c>
      <c r="U1564">
        <v>0</v>
      </c>
      <c r="V1564">
        <v>0</v>
      </c>
    </row>
    <row r="1565" spans="1:22" x14ac:dyDescent="0.2">
      <c r="A1565"/>
      <c r="B1565">
        <v>24630</v>
      </c>
      <c r="C1565" t="s">
        <v>3682</v>
      </c>
      <c r="D1565" t="s">
        <v>920</v>
      </c>
      <c r="E1565" t="s">
        <v>1275</v>
      </c>
      <c r="F1565" t="s">
        <v>2320</v>
      </c>
      <c r="G1565">
        <v>5782.3515897400002</v>
      </c>
      <c r="H1565" t="s">
        <v>248</v>
      </c>
      <c r="Q1565">
        <v>3173.6109686099999</v>
      </c>
      <c r="R1565">
        <v>26318.679689299999</v>
      </c>
      <c r="S1565">
        <v>-13.616618884699999</v>
      </c>
      <c r="T1565">
        <v>-84.678435188999998</v>
      </c>
      <c r="U1565">
        <v>0</v>
      </c>
      <c r="V1565">
        <v>0</v>
      </c>
    </row>
    <row r="1566" spans="1:22" x14ac:dyDescent="0.2">
      <c r="A1566"/>
      <c r="B1566">
        <v>24631</v>
      </c>
      <c r="C1566" t="s">
        <v>3683</v>
      </c>
      <c r="D1566" t="s">
        <v>920</v>
      </c>
      <c r="E1566" t="s">
        <v>1275</v>
      </c>
      <c r="F1566" t="s">
        <v>2320</v>
      </c>
      <c r="G1566">
        <v>5785.3049786700003</v>
      </c>
      <c r="H1566" t="s">
        <v>248</v>
      </c>
      <c r="Q1566">
        <v>3173.88488065</v>
      </c>
      <c r="R1566">
        <v>26315.739029799999</v>
      </c>
      <c r="S1566">
        <v>-13.6162885669</v>
      </c>
      <c r="T1566">
        <v>-84.678488697500001</v>
      </c>
      <c r="U1566">
        <v>0</v>
      </c>
      <c r="V1566">
        <v>0</v>
      </c>
    </row>
    <row r="1567" spans="1:22" x14ac:dyDescent="0.2">
      <c r="A1567"/>
      <c r="B1567">
        <v>24632</v>
      </c>
      <c r="C1567" t="s">
        <v>3684</v>
      </c>
      <c r="D1567" t="s">
        <v>920</v>
      </c>
      <c r="E1567" t="s">
        <v>1275</v>
      </c>
      <c r="F1567" t="s">
        <v>2320</v>
      </c>
      <c r="G1567">
        <v>5836.9105279599999</v>
      </c>
      <c r="H1567" t="s">
        <v>248</v>
      </c>
      <c r="Q1567">
        <v>3178.6667300899999</v>
      </c>
      <c r="R1567">
        <v>26264.355505799998</v>
      </c>
      <c r="S1567">
        <v>-13.607849783400001</v>
      </c>
      <c r="T1567">
        <v>-84.691989069000002</v>
      </c>
      <c r="U1567">
        <v>0</v>
      </c>
      <c r="V1567">
        <v>0</v>
      </c>
    </row>
    <row r="1568" spans="1:22" x14ac:dyDescent="0.2">
      <c r="A1568"/>
      <c r="B1568">
        <v>24633</v>
      </c>
      <c r="C1568" t="s">
        <v>3685</v>
      </c>
      <c r="D1568" t="s">
        <v>920</v>
      </c>
      <c r="E1568" t="s">
        <v>1275</v>
      </c>
      <c r="F1568" t="s">
        <v>2320</v>
      </c>
      <c r="G1568">
        <v>5915.3131594899996</v>
      </c>
      <c r="H1568" t="s">
        <v>248</v>
      </c>
      <c r="Q1568">
        <v>3185.8959754500002</v>
      </c>
      <c r="R1568">
        <v>26186.287196199999</v>
      </c>
      <c r="S1568">
        <v>-13.7188160226</v>
      </c>
      <c r="T1568">
        <v>-84.680085507800001</v>
      </c>
      <c r="U1568">
        <v>0</v>
      </c>
      <c r="V1568">
        <v>0</v>
      </c>
    </row>
    <row r="1569" spans="1:22" x14ac:dyDescent="0.2">
      <c r="A1569"/>
      <c r="B1569">
        <v>24634</v>
      </c>
      <c r="C1569" t="s">
        <v>3686</v>
      </c>
      <c r="D1569" t="s">
        <v>920</v>
      </c>
      <c r="E1569" t="s">
        <v>1275</v>
      </c>
      <c r="F1569" t="s">
        <v>2320</v>
      </c>
      <c r="G1569">
        <v>5935.9868820199999</v>
      </c>
      <c r="H1569" t="s">
        <v>248</v>
      </c>
      <c r="Q1569">
        <v>3187.8270200299999</v>
      </c>
      <c r="R1569">
        <v>26165.705018299999</v>
      </c>
      <c r="S1569">
        <v>-13.9347718678</v>
      </c>
      <c r="T1569">
        <v>-84.596950821600004</v>
      </c>
      <c r="U1569">
        <v>0</v>
      </c>
      <c r="V1569">
        <v>0</v>
      </c>
    </row>
    <row r="1570" spans="1:22" x14ac:dyDescent="0.2">
      <c r="A1570"/>
      <c r="B1570">
        <v>24635</v>
      </c>
      <c r="C1570" t="s">
        <v>3687</v>
      </c>
      <c r="D1570" t="s">
        <v>920</v>
      </c>
      <c r="E1570" t="s">
        <v>1275</v>
      </c>
      <c r="F1570" t="s">
        <v>2320</v>
      </c>
      <c r="G1570">
        <v>6054.1224393299999</v>
      </c>
      <c r="H1570" t="s">
        <v>248</v>
      </c>
      <c r="Q1570">
        <v>3199.4974556699999</v>
      </c>
      <c r="R1570">
        <v>26048.169118900001</v>
      </c>
      <c r="S1570">
        <v>-16.173043084</v>
      </c>
      <c r="T1570">
        <v>-84.135621519099999</v>
      </c>
      <c r="U1570">
        <v>0</v>
      </c>
      <c r="V1570">
        <v>0</v>
      </c>
    </row>
    <row r="1571" spans="1:22" x14ac:dyDescent="0.2">
      <c r="A1571"/>
      <c r="B1571">
        <v>24636</v>
      </c>
      <c r="C1571" t="s">
        <v>3688</v>
      </c>
      <c r="D1571" t="s">
        <v>920</v>
      </c>
      <c r="E1571" t="s">
        <v>1275</v>
      </c>
      <c r="F1571" t="s">
        <v>2320</v>
      </c>
      <c r="G1571">
        <v>6160.4444409099997</v>
      </c>
      <c r="H1571" t="s">
        <v>248</v>
      </c>
      <c r="Q1571">
        <v>3210.3980231099999</v>
      </c>
      <c r="R1571">
        <v>25942.426097700001</v>
      </c>
      <c r="S1571">
        <v>-18.143876667600001</v>
      </c>
      <c r="T1571">
        <v>-84.1535524544</v>
      </c>
      <c r="U1571">
        <v>0</v>
      </c>
      <c r="V1571">
        <v>0</v>
      </c>
    </row>
    <row r="1572" spans="1:22" x14ac:dyDescent="0.2">
      <c r="A1572"/>
      <c r="B1572">
        <v>24637</v>
      </c>
      <c r="C1572" t="s">
        <v>3689</v>
      </c>
      <c r="D1572" t="s">
        <v>920</v>
      </c>
      <c r="E1572" t="s">
        <v>1275</v>
      </c>
      <c r="F1572" t="s">
        <v>2320</v>
      </c>
      <c r="G1572">
        <v>6278.5799982199997</v>
      </c>
      <c r="H1572" t="s">
        <v>248</v>
      </c>
      <c r="Q1572">
        <v>3222.0604823899998</v>
      </c>
      <c r="R1572">
        <v>25824.869532299999</v>
      </c>
      <c r="S1572">
        <v>-18.310335847600001</v>
      </c>
      <c r="T1572">
        <v>-84.591900103300006</v>
      </c>
      <c r="U1572">
        <v>0</v>
      </c>
      <c r="V1572">
        <v>0</v>
      </c>
    </row>
    <row r="1573" spans="1:22" x14ac:dyDescent="0.2">
      <c r="A1573"/>
      <c r="B1573">
        <v>24638</v>
      </c>
      <c r="C1573" t="s">
        <v>3690</v>
      </c>
      <c r="D1573" t="s">
        <v>920</v>
      </c>
      <c r="E1573" t="s">
        <v>1275</v>
      </c>
      <c r="F1573" t="s">
        <v>2320</v>
      </c>
      <c r="G1573">
        <v>6299.25372075</v>
      </c>
      <c r="H1573" t="s">
        <v>248</v>
      </c>
      <c r="Q1573">
        <v>3223.9891482200001</v>
      </c>
      <c r="R1573">
        <v>25804.287677799999</v>
      </c>
      <c r="S1573">
        <v>-18.047514835400001</v>
      </c>
      <c r="T1573">
        <v>-84.701856427799996</v>
      </c>
      <c r="U1573">
        <v>0</v>
      </c>
      <c r="V1573">
        <v>0</v>
      </c>
    </row>
    <row r="1574" spans="1:22" x14ac:dyDescent="0.2">
      <c r="A1574"/>
      <c r="B1574">
        <v>24639</v>
      </c>
      <c r="C1574" t="s">
        <v>3691</v>
      </c>
      <c r="D1574" t="s">
        <v>920</v>
      </c>
      <c r="E1574" t="s">
        <v>1275</v>
      </c>
      <c r="F1574" t="s">
        <v>2412</v>
      </c>
      <c r="G1574">
        <v>88.532296338799995</v>
      </c>
      <c r="H1574" t="s">
        <v>248</v>
      </c>
      <c r="Q1574">
        <v>3219.9391101599999</v>
      </c>
      <c r="R1574">
        <v>25701.917384600001</v>
      </c>
      <c r="S1574">
        <v>-15.709172475900001</v>
      </c>
      <c r="T1574">
        <v>-110.819980622</v>
      </c>
      <c r="U1574">
        <v>0</v>
      </c>
      <c r="V1574">
        <v>0</v>
      </c>
    </row>
    <row r="1575" spans="1:22" x14ac:dyDescent="0.2">
      <c r="A1575"/>
      <c r="B1575">
        <v>24640</v>
      </c>
      <c r="C1575" t="s">
        <v>3692</v>
      </c>
      <c r="D1575" t="s">
        <v>920</v>
      </c>
      <c r="E1575" t="s">
        <v>1275</v>
      </c>
      <c r="F1575" t="s">
        <v>2412</v>
      </c>
      <c r="G1575">
        <v>237.297735424</v>
      </c>
      <c r="H1575" t="s">
        <v>248</v>
      </c>
      <c r="Q1575">
        <v>3104.7928908899999</v>
      </c>
      <c r="R1575">
        <v>25620.592206099998</v>
      </c>
      <c r="S1575">
        <v>-12.155532410999999</v>
      </c>
      <c r="T1575">
        <v>-173.25139582599999</v>
      </c>
      <c r="U1575">
        <v>0</v>
      </c>
      <c r="V1575">
        <v>0</v>
      </c>
    </row>
    <row r="1576" spans="1:22" x14ac:dyDescent="0.2">
      <c r="A1576"/>
      <c r="B1576">
        <v>24641</v>
      </c>
      <c r="C1576" t="s">
        <v>3693</v>
      </c>
      <c r="D1576" t="s">
        <v>920</v>
      </c>
      <c r="E1576" t="s">
        <v>1275</v>
      </c>
      <c r="F1576" t="s">
        <v>2412</v>
      </c>
      <c r="G1576">
        <v>312.73173073599997</v>
      </c>
      <c r="H1576" t="s">
        <v>248</v>
      </c>
      <c r="Q1576">
        <v>3029.5903398199998</v>
      </c>
      <c r="R1576">
        <v>25614.9260555</v>
      </c>
      <c r="S1576">
        <v>-11.1293151703</v>
      </c>
      <c r="T1576">
        <v>-176.79357270400001</v>
      </c>
      <c r="U1576">
        <v>0</v>
      </c>
      <c r="V1576">
        <v>0</v>
      </c>
    </row>
    <row r="1577" spans="1:22" x14ac:dyDescent="0.2">
      <c r="A1577"/>
      <c r="B1577">
        <v>24642</v>
      </c>
      <c r="C1577" t="s">
        <v>3694</v>
      </c>
      <c r="D1577" t="s">
        <v>920</v>
      </c>
      <c r="E1577" t="s">
        <v>1275</v>
      </c>
      <c r="F1577" t="s">
        <v>2412</v>
      </c>
      <c r="G1577">
        <v>327.46942690200001</v>
      </c>
      <c r="H1577" t="s">
        <v>248</v>
      </c>
      <c r="Q1577">
        <v>3014.8735928400001</v>
      </c>
      <c r="R1577">
        <v>25614.141153</v>
      </c>
      <c r="S1577">
        <v>-11.139445369200001</v>
      </c>
      <c r="T1577">
        <v>-177.098439173</v>
      </c>
      <c r="U1577">
        <v>0</v>
      </c>
      <c r="V1577">
        <v>0</v>
      </c>
    </row>
    <row r="1578" spans="1:22" x14ac:dyDescent="0.2">
      <c r="A1578"/>
      <c r="B1578">
        <v>24643</v>
      </c>
      <c r="C1578" t="s">
        <v>3695</v>
      </c>
      <c r="D1578" t="s">
        <v>920</v>
      </c>
      <c r="E1578" t="s">
        <v>1275</v>
      </c>
      <c r="F1578" t="s">
        <v>2412</v>
      </c>
      <c r="G1578">
        <v>330.44473568400002</v>
      </c>
      <c r="H1578" t="s">
        <v>248</v>
      </c>
      <c r="Q1578">
        <v>3011.9020228899999</v>
      </c>
      <c r="R1578">
        <v>25613.992171800001</v>
      </c>
      <c r="S1578">
        <v>-11.145589788100001</v>
      </c>
      <c r="T1578">
        <v>-177.16185494999999</v>
      </c>
      <c r="U1578">
        <v>0</v>
      </c>
      <c r="V1578">
        <v>0</v>
      </c>
    </row>
    <row r="1579" spans="1:22" x14ac:dyDescent="0.2">
      <c r="A1579"/>
      <c r="B1579">
        <v>24644</v>
      </c>
      <c r="C1579" t="s">
        <v>3696</v>
      </c>
      <c r="D1579" t="s">
        <v>920</v>
      </c>
      <c r="E1579" t="s">
        <v>1275</v>
      </c>
      <c r="F1579" t="s">
        <v>2412</v>
      </c>
      <c r="G1579">
        <v>350.200785994</v>
      </c>
      <c r="H1579" t="s">
        <v>248</v>
      </c>
      <c r="Q1579">
        <v>2992.1663212799999</v>
      </c>
      <c r="R1579">
        <v>25613.097556600002</v>
      </c>
      <c r="S1579">
        <v>-11.1373773501</v>
      </c>
      <c r="T1579">
        <v>-177.673532118</v>
      </c>
      <c r="U1579">
        <v>0</v>
      </c>
      <c r="V1579">
        <v>0</v>
      </c>
    </row>
    <row r="1580" spans="1:22" x14ac:dyDescent="0.2">
      <c r="A1580"/>
      <c r="B1580">
        <v>24645</v>
      </c>
      <c r="C1580" t="s">
        <v>3697</v>
      </c>
      <c r="D1580" t="s">
        <v>920</v>
      </c>
      <c r="E1580" t="s">
        <v>1275</v>
      </c>
      <c r="F1580" t="s">
        <v>2412</v>
      </c>
      <c r="G1580">
        <v>353.17609477600001</v>
      </c>
      <c r="H1580" t="s">
        <v>248</v>
      </c>
      <c r="Q1580">
        <v>2989.1933795199998</v>
      </c>
      <c r="R1580">
        <v>25612.9791</v>
      </c>
      <c r="S1580">
        <v>-11.1306186171</v>
      </c>
      <c r="T1580">
        <v>-177.76331768599999</v>
      </c>
      <c r="U1580">
        <v>0</v>
      </c>
      <c r="V1580">
        <v>0</v>
      </c>
    </row>
    <row r="1581" spans="1:22" x14ac:dyDescent="0.2">
      <c r="A1581"/>
      <c r="B1581">
        <v>24646</v>
      </c>
      <c r="C1581" t="s">
        <v>3698</v>
      </c>
      <c r="D1581" t="s">
        <v>920</v>
      </c>
      <c r="E1581" t="s">
        <v>1275</v>
      </c>
      <c r="F1581" t="s">
        <v>2412</v>
      </c>
      <c r="G1581">
        <v>410.718566614</v>
      </c>
      <c r="H1581" t="s">
        <v>248</v>
      </c>
      <c r="Q1581">
        <v>2931.6686114399999</v>
      </c>
      <c r="R1581">
        <v>25611.6428996</v>
      </c>
      <c r="S1581">
        <v>-11.134181508599999</v>
      </c>
      <c r="T1581">
        <v>-179.34607617500001</v>
      </c>
      <c r="U1581">
        <v>0</v>
      </c>
      <c r="V1581">
        <v>0</v>
      </c>
    </row>
    <row r="1582" spans="1:22" x14ac:dyDescent="0.2">
      <c r="A1582"/>
      <c r="B1582">
        <v>24647</v>
      </c>
      <c r="C1582" t="s">
        <v>3699</v>
      </c>
      <c r="D1582" t="s">
        <v>920</v>
      </c>
      <c r="E1582" t="s">
        <v>1275</v>
      </c>
      <c r="F1582" t="s">
        <v>2412</v>
      </c>
      <c r="G1582">
        <v>445.52967935999999</v>
      </c>
      <c r="H1582" t="s">
        <v>248</v>
      </c>
      <c r="Q1582">
        <v>2896.8589106200002</v>
      </c>
      <c r="R1582">
        <v>25611.333068200001</v>
      </c>
      <c r="S1582">
        <v>-11.126716781200001</v>
      </c>
      <c r="T1582">
        <v>-179.59759101200001</v>
      </c>
      <c r="U1582">
        <v>0</v>
      </c>
      <c r="V1582">
        <v>0</v>
      </c>
    </row>
    <row r="1583" spans="1:22" x14ac:dyDescent="0.2">
      <c r="A1583"/>
      <c r="B1583">
        <v>24648</v>
      </c>
      <c r="C1583" t="s">
        <v>3700</v>
      </c>
      <c r="D1583" t="s">
        <v>920</v>
      </c>
      <c r="E1583" t="s">
        <v>1275</v>
      </c>
      <c r="F1583" t="s">
        <v>2412</v>
      </c>
      <c r="G1583">
        <v>448.504988142</v>
      </c>
      <c r="H1583" t="s">
        <v>248</v>
      </c>
      <c r="Q1583">
        <v>2893.8836737500001</v>
      </c>
      <c r="R1583">
        <v>25611.312464300001</v>
      </c>
      <c r="S1583">
        <v>-11.128548589399999</v>
      </c>
      <c r="T1583">
        <v>-179.608262384</v>
      </c>
      <c r="U1583">
        <v>0</v>
      </c>
      <c r="V1583">
        <v>0</v>
      </c>
    </row>
    <row r="1584" spans="1:22" x14ac:dyDescent="0.2">
      <c r="A1584"/>
      <c r="B1584">
        <v>24649</v>
      </c>
      <c r="C1584" t="s">
        <v>3701</v>
      </c>
      <c r="D1584" t="s">
        <v>920</v>
      </c>
      <c r="E1584" t="s">
        <v>1275</v>
      </c>
      <c r="F1584" t="s">
        <v>2412</v>
      </c>
      <c r="G1584">
        <v>468.26103845199998</v>
      </c>
      <c r="H1584" t="s">
        <v>248</v>
      </c>
      <c r="Q1584">
        <v>2874.12808481</v>
      </c>
      <c r="R1584">
        <v>25611.177648199999</v>
      </c>
      <c r="S1584">
        <v>-11.134119758700001</v>
      </c>
      <c r="T1584">
        <v>-179.581312868</v>
      </c>
      <c r="U1584">
        <v>0</v>
      </c>
      <c r="V1584">
        <v>0</v>
      </c>
    </row>
    <row r="1585" spans="1:22" x14ac:dyDescent="0.2">
      <c r="A1585"/>
      <c r="B1585">
        <v>24650</v>
      </c>
      <c r="C1585" t="s">
        <v>3702</v>
      </c>
      <c r="D1585" t="s">
        <v>920</v>
      </c>
      <c r="E1585" t="s">
        <v>1275</v>
      </c>
      <c r="F1585" t="s">
        <v>2412</v>
      </c>
      <c r="G1585">
        <v>471.23634723399999</v>
      </c>
      <c r="H1585" t="s">
        <v>248</v>
      </c>
      <c r="Q1585">
        <v>2871.15285898</v>
      </c>
      <c r="R1585">
        <v>25611.1554344</v>
      </c>
      <c r="S1585">
        <v>-11.1341387078</v>
      </c>
      <c r="T1585">
        <v>-179.562566745</v>
      </c>
      <c r="U1585">
        <v>0</v>
      </c>
      <c r="V1585">
        <v>0</v>
      </c>
    </row>
    <row r="1586" spans="1:22" x14ac:dyDescent="0.2">
      <c r="A1586"/>
      <c r="B1586">
        <v>24651</v>
      </c>
      <c r="C1586" t="s">
        <v>3703</v>
      </c>
      <c r="D1586" t="s">
        <v>920</v>
      </c>
      <c r="E1586" t="s">
        <v>1275</v>
      </c>
      <c r="F1586" t="s">
        <v>2412</v>
      </c>
      <c r="G1586">
        <v>523.224909346</v>
      </c>
      <c r="H1586" t="s">
        <v>248</v>
      </c>
      <c r="Q1586">
        <v>2819.1699803400002</v>
      </c>
      <c r="R1586">
        <v>25610.5866781</v>
      </c>
      <c r="S1586">
        <v>-11.5813736703</v>
      </c>
      <c r="T1586">
        <v>-179.20648982599999</v>
      </c>
      <c r="U1586">
        <v>0</v>
      </c>
      <c r="V1586">
        <v>0</v>
      </c>
    </row>
    <row r="1587" spans="1:22" x14ac:dyDescent="0.2">
      <c r="A1587"/>
      <c r="B1587">
        <v>24652</v>
      </c>
      <c r="C1587" t="s">
        <v>3704</v>
      </c>
      <c r="D1587" t="s">
        <v>920</v>
      </c>
      <c r="E1587" t="s">
        <v>1275</v>
      </c>
      <c r="F1587" t="s">
        <v>2412</v>
      </c>
      <c r="G1587">
        <v>572.77371825800003</v>
      </c>
      <c r="H1587" t="s">
        <v>248</v>
      </c>
      <c r="Q1587">
        <v>2769.9765993800002</v>
      </c>
      <c r="R1587">
        <v>25605.964309399998</v>
      </c>
      <c r="S1587">
        <v>-12.543427386999999</v>
      </c>
      <c r="T1587">
        <v>-166.348550915</v>
      </c>
      <c r="U1587">
        <v>0</v>
      </c>
      <c r="V1587">
        <v>0</v>
      </c>
    </row>
    <row r="1588" spans="1:22" x14ac:dyDescent="0.2">
      <c r="A1588"/>
      <c r="B1588">
        <v>24653</v>
      </c>
      <c r="C1588" t="s">
        <v>3705</v>
      </c>
      <c r="D1588" t="s">
        <v>920</v>
      </c>
      <c r="E1588" t="s">
        <v>1275</v>
      </c>
      <c r="F1588" t="s">
        <v>2412</v>
      </c>
      <c r="G1588">
        <v>721.53915734300006</v>
      </c>
      <c r="H1588" t="s">
        <v>248</v>
      </c>
      <c r="Q1588">
        <v>2674.1481521800001</v>
      </c>
      <c r="R1588">
        <v>25504.604107800002</v>
      </c>
      <c r="S1588">
        <v>-15.415246292400001</v>
      </c>
      <c r="T1588">
        <v>-97.996723435199996</v>
      </c>
      <c r="U1588">
        <v>0</v>
      </c>
      <c r="V1588">
        <v>0</v>
      </c>
    </row>
    <row r="1589" spans="1:22" x14ac:dyDescent="0.2">
      <c r="A1589"/>
      <c r="B1589">
        <v>24654</v>
      </c>
      <c r="C1589" t="s">
        <v>3706</v>
      </c>
      <c r="D1589" t="s">
        <v>920</v>
      </c>
      <c r="E1589" t="s">
        <v>1275</v>
      </c>
      <c r="F1589" t="s">
        <v>2337</v>
      </c>
      <c r="G1589">
        <v>13.7441546865</v>
      </c>
      <c r="H1589" t="s">
        <v>248</v>
      </c>
      <c r="Q1589">
        <v>2673.8803308000001</v>
      </c>
      <c r="R1589">
        <v>25440.365705799999</v>
      </c>
      <c r="S1589">
        <v>-16.333123596299998</v>
      </c>
      <c r="T1589">
        <v>-88.025325103399993</v>
      </c>
      <c r="U1589">
        <v>0</v>
      </c>
      <c r="V1589">
        <v>0</v>
      </c>
    </row>
    <row r="1590" spans="1:22" x14ac:dyDescent="0.2">
      <c r="A1590"/>
      <c r="B1590">
        <v>24655</v>
      </c>
      <c r="C1590" t="s">
        <v>3707</v>
      </c>
      <c r="D1590" t="s">
        <v>920</v>
      </c>
      <c r="E1590" t="s">
        <v>1275</v>
      </c>
      <c r="F1590" t="s">
        <v>2337</v>
      </c>
      <c r="G1590">
        <v>34.085774844100001</v>
      </c>
      <c r="H1590" t="s">
        <v>248</v>
      </c>
      <c r="Q1590">
        <v>2674.5932556799999</v>
      </c>
      <c r="R1590">
        <v>25420.036907099999</v>
      </c>
      <c r="S1590">
        <v>-16.4444551072</v>
      </c>
      <c r="T1590">
        <v>-87.965722330700004</v>
      </c>
      <c r="U1590">
        <v>0</v>
      </c>
      <c r="V1590">
        <v>0</v>
      </c>
    </row>
    <row r="1591" spans="1:22" x14ac:dyDescent="0.2">
      <c r="A1591"/>
      <c r="B1591">
        <v>24656</v>
      </c>
      <c r="C1591" t="s">
        <v>3708</v>
      </c>
      <c r="D1591" t="s">
        <v>920</v>
      </c>
      <c r="E1591" t="s">
        <v>1275</v>
      </c>
      <c r="F1591" t="s">
        <v>2337</v>
      </c>
      <c r="G1591">
        <v>97.047932474999996</v>
      </c>
      <c r="H1591" t="s">
        <v>248</v>
      </c>
      <c r="Q1591">
        <v>2676.8380723700002</v>
      </c>
      <c r="R1591">
        <v>25357.117312300001</v>
      </c>
      <c r="S1591">
        <v>-16.030196029999999</v>
      </c>
      <c r="T1591">
        <v>-87.960937033299999</v>
      </c>
      <c r="U1591">
        <v>0</v>
      </c>
      <c r="V1591">
        <v>0</v>
      </c>
    </row>
    <row r="1592" spans="1:22" x14ac:dyDescent="0.2">
      <c r="A1592"/>
      <c r="B1592">
        <v>24657</v>
      </c>
      <c r="C1592" t="s">
        <v>3709</v>
      </c>
      <c r="D1592" t="s">
        <v>920</v>
      </c>
      <c r="E1592" t="s">
        <v>1275</v>
      </c>
      <c r="F1592" t="s">
        <v>2337</v>
      </c>
      <c r="G1592">
        <v>213.285761947</v>
      </c>
      <c r="H1592" t="s">
        <v>248</v>
      </c>
      <c r="Q1592">
        <v>2680.9460384099998</v>
      </c>
      <c r="R1592">
        <v>25240.963660599999</v>
      </c>
      <c r="S1592">
        <v>-14.3942057746</v>
      </c>
      <c r="T1592">
        <v>-87.978616858899997</v>
      </c>
      <c r="U1592">
        <v>0</v>
      </c>
      <c r="V1592">
        <v>0</v>
      </c>
    </row>
    <row r="1593" spans="1:22" x14ac:dyDescent="0.2">
      <c r="A1593"/>
      <c r="B1593">
        <v>24658</v>
      </c>
      <c r="C1593" t="s">
        <v>3710</v>
      </c>
      <c r="D1593" t="s">
        <v>920</v>
      </c>
      <c r="E1593" t="s">
        <v>1275</v>
      </c>
      <c r="F1593" t="s">
        <v>2337</v>
      </c>
      <c r="G1593">
        <v>233.62738210500001</v>
      </c>
      <c r="H1593" t="s">
        <v>248</v>
      </c>
      <c r="Q1593">
        <v>2681.6630720500002</v>
      </c>
      <c r="R1593">
        <v>25220.635398999999</v>
      </c>
      <c r="S1593">
        <v>-14.2253317066</v>
      </c>
      <c r="T1593">
        <v>-87.981600222599994</v>
      </c>
      <c r="U1593">
        <v>0</v>
      </c>
      <c r="V1593">
        <v>0</v>
      </c>
    </row>
    <row r="1594" spans="1:22" x14ac:dyDescent="0.2">
      <c r="A1594"/>
      <c r="B1594">
        <v>24659</v>
      </c>
      <c r="C1594" t="s">
        <v>3711</v>
      </c>
      <c r="D1594" t="s">
        <v>920</v>
      </c>
      <c r="E1594" t="s">
        <v>1275</v>
      </c>
      <c r="F1594" t="s">
        <v>2337</v>
      </c>
      <c r="G1594">
        <v>325.22279172899999</v>
      </c>
      <c r="H1594" t="s">
        <v>248</v>
      </c>
      <c r="Q1594">
        <v>2684.8711426099999</v>
      </c>
      <c r="R1594">
        <v>25129.096372200001</v>
      </c>
      <c r="S1594">
        <v>-14.1449547317</v>
      </c>
      <c r="T1594">
        <v>-87.997157059200006</v>
      </c>
      <c r="U1594">
        <v>0</v>
      </c>
      <c r="V1594">
        <v>0</v>
      </c>
    </row>
    <row r="1595" spans="1:22" x14ac:dyDescent="0.2">
      <c r="A1595"/>
      <c r="B1595">
        <v>24660</v>
      </c>
      <c r="C1595" t="s">
        <v>3712</v>
      </c>
      <c r="D1595" t="s">
        <v>920</v>
      </c>
      <c r="E1595" t="s">
        <v>1275</v>
      </c>
      <c r="F1595" t="s">
        <v>2337</v>
      </c>
      <c r="G1595">
        <v>339.61690961199997</v>
      </c>
      <c r="H1595" t="s">
        <v>248</v>
      </c>
      <c r="Q1595">
        <v>2685.3741250200001</v>
      </c>
      <c r="R1595">
        <v>25114.711045</v>
      </c>
      <c r="S1595">
        <v>-14.146215464000001</v>
      </c>
      <c r="T1595">
        <v>-87.997845004499993</v>
      </c>
      <c r="U1595">
        <v>0</v>
      </c>
      <c r="V1595">
        <v>0</v>
      </c>
    </row>
    <row r="1596" spans="1:22" x14ac:dyDescent="0.2">
      <c r="A1596"/>
      <c r="B1596">
        <v>24661</v>
      </c>
      <c r="C1596" t="s">
        <v>3713</v>
      </c>
      <c r="D1596" t="s">
        <v>920</v>
      </c>
      <c r="E1596" t="s">
        <v>1275</v>
      </c>
      <c r="F1596" t="s">
        <v>2337</v>
      </c>
      <c r="G1596">
        <v>342.522855349</v>
      </c>
      <c r="H1596" t="s">
        <v>248</v>
      </c>
      <c r="Q1596">
        <v>2685.47564573</v>
      </c>
      <c r="R1596">
        <v>25111.806873199999</v>
      </c>
      <c r="S1596">
        <v>-14.146399860500001</v>
      </c>
      <c r="T1596">
        <v>-87.998027510499995</v>
      </c>
      <c r="U1596">
        <v>0</v>
      </c>
      <c r="V1596">
        <v>0</v>
      </c>
    </row>
    <row r="1597" spans="1:22" x14ac:dyDescent="0.2">
      <c r="A1597"/>
      <c r="B1597">
        <v>24662</v>
      </c>
      <c r="C1597" t="s">
        <v>3714</v>
      </c>
      <c r="D1597" t="s">
        <v>920</v>
      </c>
      <c r="E1597" t="s">
        <v>1275</v>
      </c>
      <c r="F1597" t="s">
        <v>2337</v>
      </c>
      <c r="G1597">
        <v>361.81833504100001</v>
      </c>
      <c r="H1597" t="s">
        <v>248</v>
      </c>
      <c r="Q1597">
        <v>2686.1494637699998</v>
      </c>
      <c r="R1597">
        <v>25092.5231623</v>
      </c>
      <c r="S1597">
        <v>-14.1470267006</v>
      </c>
      <c r="T1597">
        <v>-87.999611051299993</v>
      </c>
      <c r="U1597">
        <v>0</v>
      </c>
      <c r="V1597">
        <v>0</v>
      </c>
    </row>
    <row r="1598" spans="1:22" x14ac:dyDescent="0.2">
      <c r="A1598"/>
      <c r="B1598">
        <v>24663</v>
      </c>
      <c r="C1598" t="s">
        <v>3715</v>
      </c>
      <c r="D1598" t="s">
        <v>920</v>
      </c>
      <c r="E1598" t="s">
        <v>1275</v>
      </c>
      <c r="F1598" t="s">
        <v>2337</v>
      </c>
      <c r="G1598">
        <v>364.72428077799998</v>
      </c>
      <c r="H1598" t="s">
        <v>248</v>
      </c>
      <c r="Q1598">
        <v>2686.25089213</v>
      </c>
      <c r="R1598">
        <v>25089.6189872</v>
      </c>
      <c r="S1598">
        <v>-14.1470311113</v>
      </c>
      <c r="T1598">
        <v>-87.999905515400002</v>
      </c>
      <c r="U1598">
        <v>0</v>
      </c>
      <c r="V1598">
        <v>0</v>
      </c>
    </row>
    <row r="1599" spans="1:22" x14ac:dyDescent="0.2">
      <c r="A1599"/>
      <c r="B1599">
        <v>24664</v>
      </c>
      <c r="C1599" t="s">
        <v>3716</v>
      </c>
      <c r="D1599" t="s">
        <v>920</v>
      </c>
      <c r="E1599" t="s">
        <v>1275</v>
      </c>
      <c r="F1599" t="s">
        <v>2337</v>
      </c>
      <c r="G1599">
        <v>420.92527132800001</v>
      </c>
      <c r="H1599" t="s">
        <v>248</v>
      </c>
      <c r="Q1599">
        <v>2688.2086146699999</v>
      </c>
      <c r="R1599">
        <v>25033.452105299999</v>
      </c>
      <c r="S1599">
        <v>-14.142482770000001</v>
      </c>
      <c r="T1599">
        <v>-88.008482754599996</v>
      </c>
      <c r="U1599">
        <v>0</v>
      </c>
      <c r="V1599">
        <v>0</v>
      </c>
    </row>
    <row r="1600" spans="1:22" x14ac:dyDescent="0.2">
      <c r="A1600"/>
      <c r="B1600">
        <v>24665</v>
      </c>
      <c r="C1600" t="s">
        <v>3717</v>
      </c>
      <c r="D1600" t="s">
        <v>920</v>
      </c>
      <c r="E1600" t="s">
        <v>1275</v>
      </c>
      <c r="F1600" t="s">
        <v>2337</v>
      </c>
      <c r="G1600">
        <v>454.924836449</v>
      </c>
      <c r="H1600" t="s">
        <v>248</v>
      </c>
      <c r="Q1600">
        <v>2689.3879231699998</v>
      </c>
      <c r="R1600">
        <v>24999.4729998</v>
      </c>
      <c r="S1600">
        <v>-14.1354533657</v>
      </c>
      <c r="T1600">
        <v>-88.016332642799995</v>
      </c>
      <c r="U1600">
        <v>0</v>
      </c>
      <c r="V1600">
        <v>0</v>
      </c>
    </row>
    <row r="1601" spans="1:22" x14ac:dyDescent="0.2">
      <c r="A1601"/>
      <c r="B1601">
        <v>24666</v>
      </c>
      <c r="C1601" t="s">
        <v>3718</v>
      </c>
      <c r="D1601" t="s">
        <v>920</v>
      </c>
      <c r="E1601" t="s">
        <v>1275</v>
      </c>
      <c r="F1601" t="s">
        <v>2337</v>
      </c>
      <c r="G1601">
        <v>457.83078218499998</v>
      </c>
      <c r="H1601" t="s">
        <v>248</v>
      </c>
      <c r="Q1601">
        <v>2689.4884920499999</v>
      </c>
      <c r="R1601">
        <v>24996.568794899998</v>
      </c>
      <c r="S1601">
        <v>-14.134702966300001</v>
      </c>
      <c r="T1601">
        <v>-88.017096627599997</v>
      </c>
      <c r="U1601">
        <v>0</v>
      </c>
      <c r="V1601">
        <v>0</v>
      </c>
    </row>
    <row r="1602" spans="1:22" x14ac:dyDescent="0.2">
      <c r="A1602"/>
      <c r="B1602">
        <v>24667</v>
      </c>
      <c r="C1602" t="s">
        <v>3719</v>
      </c>
      <c r="D1602" t="s">
        <v>920</v>
      </c>
      <c r="E1602" t="s">
        <v>1275</v>
      </c>
      <c r="F1602" t="s">
        <v>2337</v>
      </c>
      <c r="G1602">
        <v>477.12626187799998</v>
      </c>
      <c r="H1602" t="s">
        <v>248</v>
      </c>
      <c r="Q1602">
        <v>2690.1552422899999</v>
      </c>
      <c r="R1602">
        <v>24977.284839200001</v>
      </c>
      <c r="S1602">
        <v>-14.1291227609</v>
      </c>
      <c r="T1602">
        <v>-88.022541187599998</v>
      </c>
      <c r="U1602">
        <v>0</v>
      </c>
      <c r="V1602">
        <v>0</v>
      </c>
    </row>
    <row r="1603" spans="1:22" x14ac:dyDescent="0.2">
      <c r="A1603"/>
      <c r="B1603">
        <v>24668</v>
      </c>
      <c r="C1603" t="s">
        <v>3720</v>
      </c>
      <c r="D1603" t="s">
        <v>920</v>
      </c>
      <c r="E1603" t="s">
        <v>1275</v>
      </c>
      <c r="F1603" t="s">
        <v>2337</v>
      </c>
      <c r="G1603">
        <v>480.032207615</v>
      </c>
      <c r="H1603" t="s">
        <v>248</v>
      </c>
      <c r="Q1603">
        <v>2690.2554936299998</v>
      </c>
      <c r="R1603">
        <v>24974.3806234</v>
      </c>
      <c r="S1603">
        <v>-14.128192375699999</v>
      </c>
      <c r="T1603">
        <v>-88.023417130599995</v>
      </c>
      <c r="U1603">
        <v>0</v>
      </c>
      <c r="V1603">
        <v>0</v>
      </c>
    </row>
    <row r="1604" spans="1:22" x14ac:dyDescent="0.2">
      <c r="A1604"/>
      <c r="B1604">
        <v>24669</v>
      </c>
      <c r="C1604" t="s">
        <v>3721</v>
      </c>
      <c r="D1604" t="s">
        <v>920</v>
      </c>
      <c r="E1604" t="s">
        <v>1275</v>
      </c>
      <c r="F1604" t="s">
        <v>2337</v>
      </c>
      <c r="G1604">
        <v>530.80876612199995</v>
      </c>
      <c r="H1604" t="s">
        <v>248</v>
      </c>
      <c r="Q1604">
        <v>2692.0052785799999</v>
      </c>
      <c r="R1604">
        <v>24923.634637399999</v>
      </c>
      <c r="S1604">
        <v>-14.281663869100001</v>
      </c>
      <c r="T1604">
        <v>-88.018832585200002</v>
      </c>
      <c r="U1604">
        <v>0</v>
      </c>
      <c r="V1604">
        <v>0</v>
      </c>
    </row>
    <row r="1605" spans="1:22" x14ac:dyDescent="0.2">
      <c r="A1605"/>
      <c r="B1605">
        <v>24670</v>
      </c>
      <c r="C1605" t="s">
        <v>3722</v>
      </c>
      <c r="D1605" t="s">
        <v>920</v>
      </c>
      <c r="E1605" t="s">
        <v>1275</v>
      </c>
      <c r="F1605" t="s">
        <v>2337</v>
      </c>
      <c r="G1605">
        <v>608.49438215299995</v>
      </c>
      <c r="H1605" t="s">
        <v>248</v>
      </c>
      <c r="Q1605">
        <v>2694.6962017400001</v>
      </c>
      <c r="R1605">
        <v>24846.005664699998</v>
      </c>
      <c r="S1605">
        <v>-15.4882271862</v>
      </c>
      <c r="T1605">
        <v>-88.018319711199993</v>
      </c>
      <c r="U1605">
        <v>0</v>
      </c>
      <c r="V1605">
        <v>0</v>
      </c>
    </row>
    <row r="1606" spans="1:22" x14ac:dyDescent="0.2">
      <c r="A1606"/>
      <c r="B1606">
        <v>24671</v>
      </c>
      <c r="C1606" t="s">
        <v>3723</v>
      </c>
      <c r="D1606" t="s">
        <v>920</v>
      </c>
      <c r="E1606" t="s">
        <v>1275</v>
      </c>
      <c r="F1606" t="s">
        <v>2337</v>
      </c>
      <c r="G1606">
        <v>628.83600231100002</v>
      </c>
      <c r="H1606" t="s">
        <v>248</v>
      </c>
      <c r="Q1606">
        <v>2695.3988198100001</v>
      </c>
      <c r="R1606">
        <v>24825.680384899999</v>
      </c>
      <c r="S1606">
        <v>-15.9015568025</v>
      </c>
      <c r="T1606">
        <v>-88.021894846099997</v>
      </c>
      <c r="U1606">
        <v>0</v>
      </c>
      <c r="V1606">
        <v>0</v>
      </c>
    </row>
    <row r="1607" spans="1:22" x14ac:dyDescent="0.2">
      <c r="A1607"/>
      <c r="B1607">
        <v>24672</v>
      </c>
      <c r="C1607" t="s">
        <v>3724</v>
      </c>
      <c r="D1607" t="s">
        <v>920</v>
      </c>
      <c r="E1607" t="s">
        <v>1275</v>
      </c>
      <c r="F1607" t="s">
        <v>2337</v>
      </c>
      <c r="G1607">
        <v>745.07383178299995</v>
      </c>
      <c r="H1607" t="s">
        <v>248</v>
      </c>
      <c r="Q1607">
        <v>2699.3966344599999</v>
      </c>
      <c r="R1607">
        <v>24709.533157599999</v>
      </c>
      <c r="S1607">
        <v>-18.1457985049</v>
      </c>
      <c r="T1607">
        <v>-88.032411192500007</v>
      </c>
      <c r="U1607">
        <v>0</v>
      </c>
      <c r="V1607">
        <v>0</v>
      </c>
    </row>
    <row r="1608" spans="1:22" x14ac:dyDescent="0.2">
      <c r="A1608"/>
      <c r="B1608">
        <v>24673</v>
      </c>
      <c r="C1608" t="s">
        <v>3725</v>
      </c>
      <c r="D1608" t="s">
        <v>920</v>
      </c>
      <c r="E1608" t="s">
        <v>1275</v>
      </c>
      <c r="F1608" t="s">
        <v>2337</v>
      </c>
      <c r="G1608">
        <v>867.17198515799998</v>
      </c>
      <c r="H1608" t="s">
        <v>248</v>
      </c>
      <c r="Q1608">
        <v>2703.5970228000001</v>
      </c>
      <c r="R1608">
        <v>24587.510541399999</v>
      </c>
      <c r="S1608">
        <v>-18.940606941199999</v>
      </c>
      <c r="T1608">
        <v>-88.022233771900005</v>
      </c>
      <c r="U1608">
        <v>0</v>
      </c>
      <c r="V1608">
        <v>0</v>
      </c>
    </row>
    <row r="1609" spans="1:22" x14ac:dyDescent="0.2">
      <c r="A1609"/>
      <c r="B1609">
        <v>24674</v>
      </c>
      <c r="C1609" t="s">
        <v>3726</v>
      </c>
      <c r="D1609" t="s">
        <v>920</v>
      </c>
      <c r="E1609" t="s">
        <v>1275</v>
      </c>
      <c r="F1609" t="s">
        <v>2337</v>
      </c>
      <c r="G1609">
        <v>909.38569022800004</v>
      </c>
      <c r="H1609" t="s">
        <v>248</v>
      </c>
      <c r="Q1609">
        <v>2705.05573663</v>
      </c>
      <c r="R1609">
        <v>24545.323394700001</v>
      </c>
      <c r="S1609">
        <v>-18.6357224301</v>
      </c>
      <c r="T1609">
        <v>-88.016966853300005</v>
      </c>
      <c r="U1609">
        <v>0</v>
      </c>
      <c r="V1609">
        <v>0</v>
      </c>
    </row>
    <row r="1610" spans="1:22" x14ac:dyDescent="0.2">
      <c r="A1610"/>
      <c r="B1610">
        <v>24675</v>
      </c>
      <c r="C1610" t="s">
        <v>3727</v>
      </c>
      <c r="D1610" t="s">
        <v>920</v>
      </c>
      <c r="E1610" t="s">
        <v>1275</v>
      </c>
      <c r="F1610" t="s">
        <v>2337</v>
      </c>
      <c r="G1610">
        <v>963.04882150100002</v>
      </c>
      <c r="H1610" t="s">
        <v>248</v>
      </c>
      <c r="Q1610">
        <v>2706.69110194</v>
      </c>
      <c r="R1610">
        <v>24491.696055600001</v>
      </c>
      <c r="S1610">
        <v>-17.666604379900001</v>
      </c>
      <c r="T1610">
        <v>-89.8493548764</v>
      </c>
      <c r="U1610">
        <v>0</v>
      </c>
      <c r="V1610">
        <v>0</v>
      </c>
    </row>
    <row r="1611" spans="1:22" x14ac:dyDescent="0.2">
      <c r="A1611"/>
      <c r="B1611">
        <v>24676</v>
      </c>
      <c r="C1611" t="s">
        <v>3728</v>
      </c>
      <c r="D1611" t="s">
        <v>920</v>
      </c>
      <c r="E1611" t="s">
        <v>1275</v>
      </c>
      <c r="F1611" t="s">
        <v>2337</v>
      </c>
      <c r="G1611">
        <v>1046.9047289800001</v>
      </c>
      <c r="H1611" t="s">
        <v>248</v>
      </c>
      <c r="Q1611">
        <v>2698.84560827</v>
      </c>
      <c r="R1611">
        <v>24408.357803899999</v>
      </c>
      <c r="S1611">
        <v>-16.019525496100002</v>
      </c>
      <c r="T1611">
        <v>-100.97540080500001</v>
      </c>
      <c r="U1611">
        <v>0</v>
      </c>
      <c r="V1611">
        <v>0</v>
      </c>
    </row>
    <row r="1612" spans="1:22" x14ac:dyDescent="0.2">
      <c r="A1612"/>
      <c r="B1612">
        <v>24677</v>
      </c>
      <c r="C1612" t="s">
        <v>3729</v>
      </c>
      <c r="D1612" t="s">
        <v>920</v>
      </c>
      <c r="E1612" t="s">
        <v>1275</v>
      </c>
      <c r="F1612" t="s">
        <v>2337</v>
      </c>
      <c r="G1612">
        <v>1213.8997439899999</v>
      </c>
      <c r="H1612" t="s">
        <v>248</v>
      </c>
      <c r="Q1612">
        <v>2660.4046309300002</v>
      </c>
      <c r="R1612">
        <v>24245.885691200001</v>
      </c>
      <c r="S1612">
        <v>-12.757036949</v>
      </c>
      <c r="T1612">
        <v>-103.522685747</v>
      </c>
      <c r="U1612">
        <v>0</v>
      </c>
      <c r="V1612">
        <v>0</v>
      </c>
    </row>
    <row r="1613" spans="1:22" x14ac:dyDescent="0.2">
      <c r="A1613"/>
      <c r="B1613">
        <v>24678</v>
      </c>
      <c r="C1613" t="s">
        <v>3730</v>
      </c>
      <c r="D1613" t="s">
        <v>920</v>
      </c>
      <c r="E1613" t="s">
        <v>1275</v>
      </c>
      <c r="F1613" t="s">
        <v>2340</v>
      </c>
      <c r="G1613">
        <v>125.7548591</v>
      </c>
      <c r="H1613" t="s">
        <v>248</v>
      </c>
      <c r="Q1613">
        <v>2630.0772073200001</v>
      </c>
      <c r="R1613">
        <v>24119.829726399999</v>
      </c>
      <c r="S1613">
        <v>-10.212008387799999</v>
      </c>
      <c r="T1613">
        <v>-103.356378773</v>
      </c>
      <c r="U1613">
        <v>0</v>
      </c>
      <c r="V1613">
        <v>0</v>
      </c>
    </row>
    <row r="1614" spans="1:22" x14ac:dyDescent="0.2">
      <c r="A1614"/>
      <c r="B1614">
        <v>24679</v>
      </c>
      <c r="C1614" t="s">
        <v>3731</v>
      </c>
      <c r="D1614" t="s">
        <v>920</v>
      </c>
      <c r="E1614" t="s">
        <v>1275</v>
      </c>
      <c r="F1614" t="s">
        <v>2340</v>
      </c>
      <c r="G1614">
        <v>147.06064402199999</v>
      </c>
      <c r="H1614" t="s">
        <v>248</v>
      </c>
      <c r="Q1614">
        <v>2625.1798962299999</v>
      </c>
      <c r="R1614">
        <v>24099.098637800002</v>
      </c>
      <c r="S1614">
        <v>-9.79418765502</v>
      </c>
      <c r="T1614">
        <v>-103.222480014</v>
      </c>
      <c r="U1614">
        <v>0</v>
      </c>
      <c r="V1614">
        <v>0</v>
      </c>
    </row>
    <row r="1615" spans="1:22" x14ac:dyDescent="0.2">
      <c r="A1615"/>
      <c r="B1615">
        <v>24680</v>
      </c>
      <c r="C1615" t="s">
        <v>3732</v>
      </c>
      <c r="D1615" t="s">
        <v>920</v>
      </c>
      <c r="E1615" t="s">
        <v>1275</v>
      </c>
      <c r="F1615" t="s">
        <v>2340</v>
      </c>
      <c r="G1615">
        <v>300.16807271800002</v>
      </c>
      <c r="H1615" t="s">
        <v>248</v>
      </c>
      <c r="Q1615">
        <v>2624.78172915</v>
      </c>
      <c r="R1615">
        <v>23947.987654799999</v>
      </c>
      <c r="S1615">
        <v>-6.8868460966800003</v>
      </c>
      <c r="T1615">
        <v>-85.712188086500007</v>
      </c>
      <c r="U1615">
        <v>0</v>
      </c>
      <c r="V1615">
        <v>0</v>
      </c>
    </row>
    <row r="1616" spans="1:22" x14ac:dyDescent="0.2">
      <c r="A1616"/>
      <c r="B1616">
        <v>24681</v>
      </c>
      <c r="C1616" t="s">
        <v>3733</v>
      </c>
      <c r="D1616" t="s">
        <v>920</v>
      </c>
      <c r="E1616" t="s">
        <v>1275</v>
      </c>
      <c r="F1616" t="s">
        <v>2340</v>
      </c>
      <c r="G1616">
        <v>377.33559658399997</v>
      </c>
      <c r="H1616" t="s">
        <v>248</v>
      </c>
      <c r="Q1616">
        <v>2614.7854982899999</v>
      </c>
      <c r="R1616">
        <v>23871.988746399998</v>
      </c>
      <c r="S1616">
        <v>-6.5922707420200002</v>
      </c>
      <c r="T1616">
        <v>-105.08346543099999</v>
      </c>
      <c r="U1616">
        <v>0</v>
      </c>
      <c r="V1616">
        <v>0</v>
      </c>
    </row>
    <row r="1617" spans="1:22" x14ac:dyDescent="0.2">
      <c r="A1617"/>
      <c r="B1617">
        <v>24682</v>
      </c>
      <c r="C1617" t="s">
        <v>3734</v>
      </c>
      <c r="D1617" t="s">
        <v>920</v>
      </c>
      <c r="E1617" t="s">
        <v>1275</v>
      </c>
      <c r="F1617" t="s">
        <v>2340</v>
      </c>
      <c r="G1617">
        <v>392.41197581900002</v>
      </c>
      <c r="H1617" t="s">
        <v>248</v>
      </c>
      <c r="Q1617">
        <v>2610.8513731899998</v>
      </c>
      <c r="R1617">
        <v>23857.434715700001</v>
      </c>
      <c r="S1617">
        <v>-6.58789052831</v>
      </c>
      <c r="T1617">
        <v>-105.16692764699999</v>
      </c>
      <c r="U1617">
        <v>0</v>
      </c>
      <c r="V1617">
        <v>0</v>
      </c>
    </row>
    <row r="1618" spans="1:22" x14ac:dyDescent="0.2">
      <c r="A1618"/>
      <c r="B1618">
        <v>24683</v>
      </c>
      <c r="C1618" t="s">
        <v>3735</v>
      </c>
      <c r="D1618" t="s">
        <v>920</v>
      </c>
      <c r="E1618" t="s">
        <v>1275</v>
      </c>
      <c r="F1618" t="s">
        <v>2340</v>
      </c>
      <c r="G1618">
        <v>395.455659379</v>
      </c>
      <c r="H1618" t="s">
        <v>248</v>
      </c>
      <c r="Q1618">
        <v>2610.0546519999998</v>
      </c>
      <c r="R1618">
        <v>23854.497158099999</v>
      </c>
      <c r="S1618">
        <v>-6.5871759968800001</v>
      </c>
      <c r="T1618">
        <v>-105.182286506</v>
      </c>
      <c r="U1618">
        <v>0</v>
      </c>
      <c r="V1618">
        <v>0</v>
      </c>
    </row>
    <row r="1619" spans="1:22" x14ac:dyDescent="0.2">
      <c r="A1619"/>
      <c r="B1619">
        <v>24684</v>
      </c>
      <c r="C1619" t="s">
        <v>3736</v>
      </c>
      <c r="D1619" t="s">
        <v>920</v>
      </c>
      <c r="E1619" t="s">
        <v>1275</v>
      </c>
      <c r="F1619" t="s">
        <v>2340</v>
      </c>
      <c r="G1619">
        <v>415.66571821999997</v>
      </c>
      <c r="H1619" t="s">
        <v>248</v>
      </c>
      <c r="Q1619">
        <v>2604.7460027699999</v>
      </c>
      <c r="R1619">
        <v>23834.996783099999</v>
      </c>
      <c r="S1619">
        <v>-6.5838781092499996</v>
      </c>
      <c r="T1619">
        <v>-105.271565497</v>
      </c>
      <c r="U1619">
        <v>0</v>
      </c>
      <c r="V1619">
        <v>0</v>
      </c>
    </row>
    <row r="1620" spans="1:22" x14ac:dyDescent="0.2">
      <c r="A1620"/>
      <c r="B1620">
        <v>24685</v>
      </c>
      <c r="C1620" t="s">
        <v>3737</v>
      </c>
      <c r="D1620" t="s">
        <v>920</v>
      </c>
      <c r="E1620" t="s">
        <v>1275</v>
      </c>
      <c r="F1620" t="s">
        <v>2340</v>
      </c>
      <c r="G1620">
        <v>418.70940178000001</v>
      </c>
      <c r="H1620" t="s">
        <v>248</v>
      </c>
      <c r="Q1620">
        <v>2603.9440161399998</v>
      </c>
      <c r="R1620">
        <v>23832.060658599999</v>
      </c>
      <c r="S1620">
        <v>-6.5835993010199996</v>
      </c>
      <c r="T1620">
        <v>-105.283097901</v>
      </c>
      <c r="U1620">
        <v>0</v>
      </c>
      <c r="V1620">
        <v>0</v>
      </c>
    </row>
    <row r="1621" spans="1:22" x14ac:dyDescent="0.2">
      <c r="A1621"/>
      <c r="B1621">
        <v>24686</v>
      </c>
      <c r="C1621" t="s">
        <v>3738</v>
      </c>
      <c r="D1621" t="s">
        <v>920</v>
      </c>
      <c r="E1621" t="s">
        <v>1275</v>
      </c>
      <c r="F1621" t="s">
        <v>2340</v>
      </c>
      <c r="G1621">
        <v>477.574241836</v>
      </c>
      <c r="H1621" t="s">
        <v>248</v>
      </c>
      <c r="Q1621">
        <v>2588.3507799200002</v>
      </c>
      <c r="R1621">
        <v>23775.2987092</v>
      </c>
      <c r="S1621">
        <v>-6.5892834143099996</v>
      </c>
      <c r="T1621">
        <v>-105.40692208599999</v>
      </c>
      <c r="U1621">
        <v>0</v>
      </c>
      <c r="V1621">
        <v>0</v>
      </c>
    </row>
    <row r="1622" spans="1:22" x14ac:dyDescent="0.2">
      <c r="A1622"/>
      <c r="B1622">
        <v>24687</v>
      </c>
      <c r="C1622" t="s">
        <v>3739</v>
      </c>
      <c r="D1622" t="s">
        <v>920</v>
      </c>
      <c r="E1622" t="s">
        <v>1275</v>
      </c>
      <c r="F1622" t="s">
        <v>2340</v>
      </c>
      <c r="G1622">
        <v>513.18533949200003</v>
      </c>
      <c r="H1622" t="s">
        <v>248</v>
      </c>
      <c r="Q1622">
        <v>2578.9016993999999</v>
      </c>
      <c r="R1622">
        <v>23740.9641056</v>
      </c>
      <c r="S1622">
        <v>-6.5938169482399998</v>
      </c>
      <c r="T1622">
        <v>-105.34915706699999</v>
      </c>
      <c r="U1622">
        <v>0</v>
      </c>
      <c r="V1622">
        <v>0</v>
      </c>
    </row>
    <row r="1623" spans="1:22" x14ac:dyDescent="0.2">
      <c r="A1623"/>
      <c r="B1623">
        <v>24688</v>
      </c>
      <c r="C1623" t="s">
        <v>3740</v>
      </c>
      <c r="D1623" t="s">
        <v>920</v>
      </c>
      <c r="E1623" t="s">
        <v>1275</v>
      </c>
      <c r="F1623" t="s">
        <v>2340</v>
      </c>
      <c r="G1623">
        <v>516.229023052</v>
      </c>
      <c r="H1623" t="s">
        <v>248</v>
      </c>
      <c r="Q1623">
        <v>2578.0962528199998</v>
      </c>
      <c r="R1623">
        <v>23738.028928399999</v>
      </c>
      <c r="S1623">
        <v>-6.5941634134499996</v>
      </c>
      <c r="T1623">
        <v>-105.3405905</v>
      </c>
      <c r="U1623">
        <v>0</v>
      </c>
      <c r="V1623">
        <v>0</v>
      </c>
    </row>
    <row r="1624" spans="1:22" x14ac:dyDescent="0.2">
      <c r="A1624"/>
      <c r="B1624">
        <v>24689</v>
      </c>
      <c r="C1624" t="s">
        <v>3741</v>
      </c>
      <c r="D1624" t="s">
        <v>920</v>
      </c>
      <c r="E1624" t="s">
        <v>1275</v>
      </c>
      <c r="F1624" t="s">
        <v>2340</v>
      </c>
      <c r="G1624">
        <v>536.43908189299998</v>
      </c>
      <c r="H1624" t="s">
        <v>248</v>
      </c>
      <c r="Q1624">
        <v>2572.7602731900001</v>
      </c>
      <c r="R1624">
        <v>23718.536013100002</v>
      </c>
      <c r="S1624">
        <v>-6.5969278565599998</v>
      </c>
      <c r="T1624">
        <v>-105.27507295700001</v>
      </c>
      <c r="U1624">
        <v>0</v>
      </c>
      <c r="V1624">
        <v>0</v>
      </c>
    </row>
    <row r="1625" spans="1:22" x14ac:dyDescent="0.2">
      <c r="A1625"/>
      <c r="B1625">
        <v>24690</v>
      </c>
      <c r="C1625" t="s">
        <v>3742</v>
      </c>
      <c r="D1625" t="s">
        <v>920</v>
      </c>
      <c r="E1625" t="s">
        <v>1275</v>
      </c>
      <c r="F1625" t="s">
        <v>2340</v>
      </c>
      <c r="G1625">
        <v>539.48276545299996</v>
      </c>
      <c r="H1625" t="s">
        <v>248</v>
      </c>
      <c r="Q1625">
        <v>2571.9586891600002</v>
      </c>
      <c r="R1625">
        <v>23715.599778700001</v>
      </c>
      <c r="S1625">
        <v>-6.5974140549699998</v>
      </c>
      <c r="T1625">
        <v>-105.263905325</v>
      </c>
      <c r="U1625">
        <v>0</v>
      </c>
      <c r="V1625">
        <v>0</v>
      </c>
    </row>
    <row r="1626" spans="1:22" x14ac:dyDescent="0.2">
      <c r="A1626"/>
      <c r="B1626">
        <v>24691</v>
      </c>
      <c r="C1626" t="s">
        <v>3743</v>
      </c>
      <c r="D1626" t="s">
        <v>920</v>
      </c>
      <c r="E1626" t="s">
        <v>1275</v>
      </c>
      <c r="F1626" t="s">
        <v>2340</v>
      </c>
      <c r="G1626">
        <v>592.66606286399997</v>
      </c>
      <c r="H1626" t="s">
        <v>248</v>
      </c>
      <c r="Q1626">
        <v>2558.0685419599999</v>
      </c>
      <c r="R1626">
        <v>23664.2624798</v>
      </c>
      <c r="S1626">
        <v>-6.61864440004</v>
      </c>
      <c r="T1626">
        <v>-104.68610410300001</v>
      </c>
      <c r="U1626">
        <v>0</v>
      </c>
      <c r="V1626">
        <v>0</v>
      </c>
    </row>
    <row r="1627" spans="1:22" x14ac:dyDescent="0.2">
      <c r="A1627"/>
      <c r="B1627">
        <v>24692</v>
      </c>
      <c r="C1627" t="s">
        <v>3744</v>
      </c>
      <c r="D1627" t="s">
        <v>920</v>
      </c>
      <c r="E1627" t="s">
        <v>1275</v>
      </c>
      <c r="F1627" t="s">
        <v>2340</v>
      </c>
      <c r="G1627">
        <v>643.35353975500004</v>
      </c>
      <c r="H1627" t="s">
        <v>248</v>
      </c>
      <c r="Q1627">
        <v>2550.3252707000001</v>
      </c>
      <c r="R1627">
        <v>23614.250873199999</v>
      </c>
      <c r="S1627">
        <v>-7.1294806681700003</v>
      </c>
      <c r="T1627">
        <v>-93.808182491500006</v>
      </c>
      <c r="U1627">
        <v>0</v>
      </c>
      <c r="V1627">
        <v>0</v>
      </c>
    </row>
    <row r="1628" spans="1:22" x14ac:dyDescent="0.2">
      <c r="A1628"/>
      <c r="B1628">
        <v>24693</v>
      </c>
      <c r="C1628" t="s">
        <v>3745</v>
      </c>
      <c r="D1628" t="s">
        <v>920</v>
      </c>
      <c r="E1628" t="s">
        <v>1275</v>
      </c>
      <c r="F1628" t="s">
        <v>2340</v>
      </c>
      <c r="G1628">
        <v>680.71982826399994</v>
      </c>
      <c r="H1628" t="s">
        <v>248</v>
      </c>
      <c r="Q1628">
        <v>2549.2137416599999</v>
      </c>
      <c r="R1628">
        <v>23576.9122498</v>
      </c>
      <c r="S1628">
        <v>-7.8130994881499998</v>
      </c>
      <c r="T1628">
        <v>-90.729973835799996</v>
      </c>
      <c r="U1628">
        <v>0</v>
      </c>
      <c r="V1628">
        <v>0</v>
      </c>
    </row>
    <row r="1629" spans="1:22" x14ac:dyDescent="0.2">
      <c r="A1629"/>
      <c r="B1629">
        <v>24694</v>
      </c>
      <c r="C1629" t="s">
        <v>3746</v>
      </c>
      <c r="D1629" t="s">
        <v>920</v>
      </c>
      <c r="E1629" t="s">
        <v>1275</v>
      </c>
      <c r="F1629" t="s">
        <v>2340</v>
      </c>
      <c r="G1629">
        <v>702.02561318599999</v>
      </c>
      <c r="H1629" t="s">
        <v>248</v>
      </c>
      <c r="Q1629">
        <v>2548.98406303</v>
      </c>
      <c r="R1629">
        <v>23555.611423499999</v>
      </c>
      <c r="S1629">
        <v>-8.2108320387100004</v>
      </c>
      <c r="T1629">
        <v>-90.555949275200007</v>
      </c>
      <c r="U1629">
        <v>0</v>
      </c>
      <c r="V1629">
        <v>0</v>
      </c>
    </row>
    <row r="1630" spans="1:22" x14ac:dyDescent="0.2">
      <c r="A1630"/>
      <c r="B1630">
        <v>24695</v>
      </c>
      <c r="C1630" t="s">
        <v>3747</v>
      </c>
      <c r="D1630" t="s">
        <v>920</v>
      </c>
      <c r="E1630" t="s">
        <v>1275</v>
      </c>
      <c r="F1630" t="s">
        <v>2340</v>
      </c>
      <c r="G1630">
        <v>716.40194520199998</v>
      </c>
      <c r="H1630" t="s">
        <v>248</v>
      </c>
      <c r="Q1630">
        <v>2548.8496705699999</v>
      </c>
      <c r="R1630">
        <v>23541.238187200001</v>
      </c>
      <c r="S1630">
        <v>-8.4771622255299999</v>
      </c>
      <c r="T1630">
        <v>-90.520886540399999</v>
      </c>
      <c r="U1630">
        <v>0</v>
      </c>
      <c r="V1630">
        <v>0</v>
      </c>
    </row>
    <row r="1631" spans="1:22" x14ac:dyDescent="0.2">
      <c r="A1631"/>
      <c r="B1631">
        <v>24696</v>
      </c>
      <c r="C1631" t="s">
        <v>3748</v>
      </c>
      <c r="D1631" t="s">
        <v>920</v>
      </c>
      <c r="E1631" t="s">
        <v>1275</v>
      </c>
      <c r="F1631" t="s">
        <v>2350</v>
      </c>
      <c r="G1631">
        <v>10.6537840241</v>
      </c>
      <c r="H1631" t="s">
        <v>248</v>
      </c>
      <c r="Q1631">
        <v>2548.0385785899998</v>
      </c>
      <c r="R1631">
        <v>23468.449055699999</v>
      </c>
      <c r="S1631">
        <v>-9.79738268893</v>
      </c>
      <c r="T1631">
        <v>-90.878928266299994</v>
      </c>
      <c r="U1631">
        <v>0</v>
      </c>
      <c r="V1631">
        <v>0</v>
      </c>
    </row>
    <row r="1632" spans="1:22" x14ac:dyDescent="0.2">
      <c r="A1632"/>
      <c r="B1632">
        <v>24697</v>
      </c>
      <c r="C1632" t="s">
        <v>3749</v>
      </c>
      <c r="D1632" t="s">
        <v>920</v>
      </c>
      <c r="E1632" t="s">
        <v>1275</v>
      </c>
      <c r="F1632" t="s">
        <v>2350</v>
      </c>
      <c r="G1632">
        <v>29.6002431808</v>
      </c>
      <c r="H1632" t="s">
        <v>248</v>
      </c>
      <c r="Q1632">
        <v>2547.8038087300001</v>
      </c>
      <c r="R1632">
        <v>23449.507318799999</v>
      </c>
      <c r="S1632">
        <v>-10.1468607495</v>
      </c>
      <c r="T1632">
        <v>-90.953253359100003</v>
      </c>
      <c r="U1632">
        <v>0</v>
      </c>
      <c r="V1632">
        <v>0</v>
      </c>
    </row>
    <row r="1633" spans="1:22" x14ac:dyDescent="0.2">
      <c r="A1633"/>
      <c r="B1633">
        <v>24698</v>
      </c>
      <c r="C1633" t="s">
        <v>3750</v>
      </c>
      <c r="D1633" t="s">
        <v>920</v>
      </c>
      <c r="E1633" t="s">
        <v>1275</v>
      </c>
      <c r="F1633" t="s">
        <v>2350</v>
      </c>
      <c r="G1633">
        <v>78.341305091899997</v>
      </c>
      <c r="H1633" t="s">
        <v>248</v>
      </c>
      <c r="Q1633">
        <v>2542.0588619199998</v>
      </c>
      <c r="R1633">
        <v>23401.209382199999</v>
      </c>
      <c r="S1633">
        <v>-11.0389540567</v>
      </c>
      <c r="T1633">
        <v>-103.36418974999999</v>
      </c>
      <c r="U1633">
        <v>0</v>
      </c>
      <c r="V1633">
        <v>0</v>
      </c>
    </row>
    <row r="1634" spans="1:22" x14ac:dyDescent="0.2">
      <c r="A1634"/>
      <c r="B1634">
        <v>24699</v>
      </c>
      <c r="C1634" t="s">
        <v>3751</v>
      </c>
      <c r="D1634" t="s">
        <v>920</v>
      </c>
      <c r="E1634" t="s">
        <v>1275</v>
      </c>
      <c r="F1634" t="s">
        <v>2350</v>
      </c>
      <c r="G1634">
        <v>98.792251316900007</v>
      </c>
      <c r="H1634" t="s">
        <v>248</v>
      </c>
      <c r="Q1634">
        <v>2536.31949166</v>
      </c>
      <c r="R1634">
        <v>23381.593216900001</v>
      </c>
      <c r="S1634">
        <v>-11.410080925400001</v>
      </c>
      <c r="T1634">
        <v>-109.262825767</v>
      </c>
      <c r="U1634">
        <v>0</v>
      </c>
      <c r="V1634">
        <v>0</v>
      </c>
    </row>
    <row r="1635" spans="1:22" x14ac:dyDescent="0.2">
      <c r="A1635"/>
      <c r="B1635">
        <v>24700</v>
      </c>
      <c r="C1635" t="s">
        <v>3752</v>
      </c>
      <c r="D1635" t="s">
        <v>920</v>
      </c>
      <c r="E1635" t="s">
        <v>1275</v>
      </c>
      <c r="F1635" t="s">
        <v>2350</v>
      </c>
      <c r="G1635">
        <v>131.79018778099999</v>
      </c>
      <c r="H1635" t="s">
        <v>248</v>
      </c>
      <c r="Q1635">
        <v>2523.2497828800001</v>
      </c>
      <c r="R1635">
        <v>23351.320982400001</v>
      </c>
      <c r="S1635">
        <v>-12.009194472700001</v>
      </c>
      <c r="T1635">
        <v>-115.23139886200001</v>
      </c>
      <c r="U1635">
        <v>0</v>
      </c>
      <c r="V1635">
        <v>0</v>
      </c>
    </row>
    <row r="1636" spans="1:22" x14ac:dyDescent="0.2">
      <c r="A1636"/>
      <c r="B1636">
        <v>24701</v>
      </c>
      <c r="C1636" t="s">
        <v>3753</v>
      </c>
      <c r="D1636" t="s">
        <v>920</v>
      </c>
      <c r="E1636" t="s">
        <v>1275</v>
      </c>
      <c r="F1636" t="s">
        <v>2350</v>
      </c>
      <c r="G1636">
        <v>160.87933726899999</v>
      </c>
      <c r="H1636" t="s">
        <v>248</v>
      </c>
      <c r="Q1636">
        <v>2510.8964117999999</v>
      </c>
      <c r="R1636">
        <v>23324.990637800001</v>
      </c>
      <c r="S1636">
        <v>-12.5422662887</v>
      </c>
      <c r="T1636">
        <v>-114.968110192</v>
      </c>
      <c r="U1636">
        <v>0</v>
      </c>
      <c r="V1636">
        <v>0</v>
      </c>
    </row>
    <row r="1637" spans="1:22" x14ac:dyDescent="0.2">
      <c r="A1637"/>
      <c r="B1637">
        <v>24702</v>
      </c>
      <c r="C1637" t="s">
        <v>3754</v>
      </c>
      <c r="D1637" t="s">
        <v>920</v>
      </c>
      <c r="E1637" t="s">
        <v>1275</v>
      </c>
      <c r="F1637" t="s">
        <v>2350</v>
      </c>
      <c r="G1637">
        <v>208.202294145</v>
      </c>
      <c r="H1637" t="s">
        <v>248</v>
      </c>
      <c r="Q1637">
        <v>2492.322443</v>
      </c>
      <c r="R1637">
        <v>23281.489000000001</v>
      </c>
      <c r="S1637">
        <v>-13.403307825100001</v>
      </c>
      <c r="T1637">
        <v>-110.554967058</v>
      </c>
      <c r="U1637">
        <v>0</v>
      </c>
      <c r="V1637">
        <v>0</v>
      </c>
    </row>
    <row r="1638" spans="1:22" x14ac:dyDescent="0.2">
      <c r="A1638"/>
      <c r="B1638">
        <v>24703</v>
      </c>
      <c r="C1638" t="s">
        <v>3755</v>
      </c>
      <c r="D1638" t="s">
        <v>920</v>
      </c>
      <c r="E1638" t="s">
        <v>1275</v>
      </c>
      <c r="F1638" t="s">
        <v>2350</v>
      </c>
      <c r="G1638">
        <v>241.085054566</v>
      </c>
      <c r="H1638" t="s">
        <v>248</v>
      </c>
      <c r="Q1638">
        <v>2481.70320442</v>
      </c>
      <c r="R1638">
        <v>23250.378854999999</v>
      </c>
      <c r="S1638">
        <v>-14.0050631305</v>
      </c>
      <c r="T1638">
        <v>-107.224395419</v>
      </c>
      <c r="U1638">
        <v>0</v>
      </c>
      <c r="V1638">
        <v>0</v>
      </c>
    </row>
    <row r="1639" spans="1:22" x14ac:dyDescent="0.2">
      <c r="A1639"/>
      <c r="B1639">
        <v>26000</v>
      </c>
      <c r="C1639" t="s">
        <v>3756</v>
      </c>
      <c r="D1639" t="s">
        <v>1045</v>
      </c>
      <c r="E1639" t="s">
        <v>3757</v>
      </c>
      <c r="F1639" t="s">
        <v>2302</v>
      </c>
      <c r="G1639">
        <v>0.244414557192</v>
      </c>
      <c r="H1639" t="s">
        <v>12</v>
      </c>
      <c r="Q1639">
        <v>6873.3148452400001</v>
      </c>
      <c r="R1639">
        <v>36780.973010599999</v>
      </c>
      <c r="S1639">
        <v>-9.1508727728300006</v>
      </c>
      <c r="T1639">
        <v>53.226044629999997</v>
      </c>
      <c r="U1639">
        <v>0</v>
      </c>
      <c r="V1639">
        <v>0</v>
      </c>
    </row>
    <row r="1640" spans="1:22" x14ac:dyDescent="0.2">
      <c r="A1640"/>
      <c r="B1640">
        <v>26001</v>
      </c>
      <c r="C1640" t="s">
        <v>3758</v>
      </c>
      <c r="D1640" t="s">
        <v>1045</v>
      </c>
      <c r="E1640" t="s">
        <v>3757</v>
      </c>
      <c r="F1640" t="s">
        <v>2302</v>
      </c>
      <c r="G1640">
        <v>0.244414557192</v>
      </c>
      <c r="H1640" t="s">
        <v>1270</v>
      </c>
      <c r="Q1640">
        <v>6873.3148452400001</v>
      </c>
      <c r="R1640">
        <v>36780.973010599999</v>
      </c>
      <c r="S1640">
        <v>-9.1508727728300006</v>
      </c>
      <c r="T1640">
        <v>-126.77395537</v>
      </c>
      <c r="U1640">
        <v>0</v>
      </c>
      <c r="V1640">
        <v>0</v>
      </c>
    </row>
    <row r="1641" spans="1:22" x14ac:dyDescent="0.2">
      <c r="A1641"/>
      <c r="B1641">
        <v>26002</v>
      </c>
      <c r="C1641" t="s">
        <v>3759</v>
      </c>
      <c r="D1641" t="s">
        <v>1045</v>
      </c>
      <c r="E1641" t="s">
        <v>1046</v>
      </c>
      <c r="F1641" t="s">
        <v>1915</v>
      </c>
      <c r="G1641">
        <v>220.95753804200001</v>
      </c>
      <c r="H1641" t="s">
        <v>12</v>
      </c>
      <c r="Q1641">
        <v>7154.1455845299997</v>
      </c>
      <c r="R1641">
        <v>37157.455181600002</v>
      </c>
      <c r="S1641">
        <v>-10.8362861306</v>
      </c>
      <c r="T1641">
        <v>57.560038272500002</v>
      </c>
      <c r="U1641">
        <v>0</v>
      </c>
      <c r="V1641">
        <v>0</v>
      </c>
    </row>
    <row r="1642" spans="1:22" x14ac:dyDescent="0.2">
      <c r="A1642"/>
      <c r="B1642">
        <v>26003</v>
      </c>
      <c r="C1642" t="s">
        <v>3760</v>
      </c>
      <c r="D1642" t="s">
        <v>1045</v>
      </c>
      <c r="E1642" t="s">
        <v>3757</v>
      </c>
      <c r="F1642" t="s">
        <v>1915</v>
      </c>
      <c r="G1642">
        <v>220.95753804200001</v>
      </c>
      <c r="H1642" t="s">
        <v>1270</v>
      </c>
      <c r="Q1642">
        <v>7154.1455845299997</v>
      </c>
      <c r="R1642">
        <v>37157.455181600002</v>
      </c>
      <c r="S1642">
        <v>-10.8362861306</v>
      </c>
      <c r="T1642">
        <v>-122.439961728</v>
      </c>
      <c r="U1642">
        <v>0</v>
      </c>
      <c r="V1642">
        <v>0</v>
      </c>
    </row>
    <row r="1643" spans="1:22" x14ac:dyDescent="0.2">
      <c r="A1643"/>
      <c r="B1643">
        <v>26004</v>
      </c>
      <c r="C1643" t="s">
        <v>3761</v>
      </c>
      <c r="D1643" t="s">
        <v>1045</v>
      </c>
      <c r="E1643" t="s">
        <v>1047</v>
      </c>
      <c r="F1643" t="s">
        <v>1915</v>
      </c>
      <c r="G1643">
        <v>574.88846040600004</v>
      </c>
      <c r="H1643" t="s">
        <v>12</v>
      </c>
      <c r="Q1643">
        <v>7052.5616571800001</v>
      </c>
      <c r="R1643">
        <v>37447.825445299997</v>
      </c>
      <c r="S1643">
        <v>-14.1547586291</v>
      </c>
      <c r="T1643">
        <v>148.092026608</v>
      </c>
      <c r="U1643">
        <v>0</v>
      </c>
      <c r="V1643">
        <v>0</v>
      </c>
    </row>
    <row r="1644" spans="1:22" x14ac:dyDescent="0.2">
      <c r="A1644"/>
      <c r="B1644">
        <v>26005</v>
      </c>
      <c r="C1644" t="s">
        <v>3762</v>
      </c>
      <c r="D1644" t="s">
        <v>1045</v>
      </c>
      <c r="E1644" t="s">
        <v>1046</v>
      </c>
      <c r="F1644" t="s">
        <v>1915</v>
      </c>
      <c r="G1644">
        <v>574.88846040600004</v>
      </c>
      <c r="H1644" t="s">
        <v>1270</v>
      </c>
      <c r="Q1644">
        <v>7052.5616571800001</v>
      </c>
      <c r="R1644">
        <v>37447.825445299997</v>
      </c>
      <c r="S1644">
        <v>-14.1547586291</v>
      </c>
      <c r="T1644">
        <v>-31.907973391700001</v>
      </c>
      <c r="U1644">
        <v>0</v>
      </c>
      <c r="V1644">
        <v>0</v>
      </c>
    </row>
    <row r="1645" spans="1:22" x14ac:dyDescent="0.2">
      <c r="A1645"/>
      <c r="B1645">
        <v>26006</v>
      </c>
      <c r="C1645" t="s">
        <v>3763</v>
      </c>
      <c r="D1645" t="s">
        <v>1045</v>
      </c>
      <c r="E1645" t="s">
        <v>3757</v>
      </c>
      <c r="F1645" t="s">
        <v>1915</v>
      </c>
      <c r="G1645">
        <v>891.02530073800006</v>
      </c>
      <c r="H1645" t="s">
        <v>12</v>
      </c>
      <c r="Q1645">
        <v>6763.40016595</v>
      </c>
      <c r="R1645">
        <v>37570.872563299999</v>
      </c>
      <c r="S1645">
        <v>-14.134702198199999</v>
      </c>
      <c r="T1645">
        <v>163.88996632600001</v>
      </c>
      <c r="U1645">
        <v>0</v>
      </c>
      <c r="V1645">
        <v>0</v>
      </c>
    </row>
    <row r="1646" spans="1:22" x14ac:dyDescent="0.2">
      <c r="A1646"/>
      <c r="B1646">
        <v>26007</v>
      </c>
      <c r="C1646" t="s">
        <v>3764</v>
      </c>
      <c r="D1646" t="s">
        <v>1045</v>
      </c>
      <c r="E1646" t="s">
        <v>1047</v>
      </c>
      <c r="F1646" t="s">
        <v>1915</v>
      </c>
      <c r="G1646">
        <v>891.02530073800006</v>
      </c>
      <c r="H1646" t="s">
        <v>1270</v>
      </c>
      <c r="Q1646">
        <v>6763.40016595</v>
      </c>
      <c r="R1646">
        <v>37570.872563299999</v>
      </c>
      <c r="S1646">
        <v>-14.134702198199999</v>
      </c>
      <c r="T1646">
        <v>-16.1100336742</v>
      </c>
      <c r="U1646">
        <v>0</v>
      </c>
      <c r="V1646">
        <v>0</v>
      </c>
    </row>
    <row r="1647" spans="1:22" x14ac:dyDescent="0.2">
      <c r="A1647"/>
      <c r="B1647">
        <v>26008</v>
      </c>
      <c r="C1647" t="s">
        <v>3765</v>
      </c>
      <c r="D1647" t="s">
        <v>1045</v>
      </c>
      <c r="E1647" t="s">
        <v>3757</v>
      </c>
      <c r="F1647" t="s">
        <v>1915</v>
      </c>
      <c r="G1647">
        <v>966.22242411699995</v>
      </c>
      <c r="H1647" t="s">
        <v>12</v>
      </c>
      <c r="Q1647">
        <v>6691.2211754299997</v>
      </c>
      <c r="R1647">
        <v>37592.165733599999</v>
      </c>
      <c r="S1647">
        <v>-13.932566210499999</v>
      </c>
      <c r="T1647">
        <v>162.542667967</v>
      </c>
      <c r="U1647">
        <v>0</v>
      </c>
      <c r="V1647">
        <v>0</v>
      </c>
    </row>
    <row r="1648" spans="1:22" x14ac:dyDescent="0.2">
      <c r="A1648"/>
      <c r="B1648">
        <v>26009</v>
      </c>
      <c r="C1648" t="s">
        <v>3766</v>
      </c>
      <c r="D1648" t="s">
        <v>1045</v>
      </c>
      <c r="E1648" t="s">
        <v>3757</v>
      </c>
      <c r="F1648" t="s">
        <v>1915</v>
      </c>
      <c r="G1648">
        <v>966.22242411699995</v>
      </c>
      <c r="H1648" t="s">
        <v>1270</v>
      </c>
      <c r="Q1648">
        <v>6691.2211754299997</v>
      </c>
      <c r="R1648">
        <v>37592.165733599999</v>
      </c>
      <c r="S1648">
        <v>-13.932566210499999</v>
      </c>
      <c r="T1648">
        <v>-17.457332033099998</v>
      </c>
      <c r="U1648">
        <v>0</v>
      </c>
      <c r="V1648">
        <v>0</v>
      </c>
    </row>
    <row r="1649" spans="1:22" x14ac:dyDescent="0.2">
      <c r="A1649"/>
      <c r="B1649">
        <v>26010</v>
      </c>
      <c r="C1649" t="s">
        <v>3767</v>
      </c>
      <c r="D1649" t="s">
        <v>1045</v>
      </c>
      <c r="E1649" t="s">
        <v>3757</v>
      </c>
      <c r="F1649" t="s">
        <v>1915</v>
      </c>
      <c r="G1649">
        <v>1069.8188771099999</v>
      </c>
      <c r="H1649" t="s">
        <v>12</v>
      </c>
      <c r="Q1649">
        <v>6594.1230410500002</v>
      </c>
      <c r="R1649">
        <v>37628.602482100003</v>
      </c>
      <c r="S1649">
        <v>-13.6291887158</v>
      </c>
      <c r="T1649">
        <v>159.19420248599999</v>
      </c>
      <c r="U1649">
        <v>0</v>
      </c>
      <c r="V1649">
        <v>0</v>
      </c>
    </row>
    <row r="1650" spans="1:22" x14ac:dyDescent="0.2">
      <c r="A1650"/>
      <c r="B1650">
        <v>26011</v>
      </c>
      <c r="C1650" t="s">
        <v>3768</v>
      </c>
      <c r="D1650" t="s">
        <v>1045</v>
      </c>
      <c r="E1650" t="s">
        <v>3757</v>
      </c>
      <c r="F1650" t="s">
        <v>1915</v>
      </c>
      <c r="G1650">
        <v>1069.8188771099999</v>
      </c>
      <c r="H1650" t="s">
        <v>1270</v>
      </c>
      <c r="Q1650">
        <v>6594.1230410500002</v>
      </c>
      <c r="R1650">
        <v>37628.602482100003</v>
      </c>
      <c r="S1650">
        <v>-13.6291887158</v>
      </c>
      <c r="T1650">
        <v>-20.8057975137</v>
      </c>
      <c r="U1650">
        <v>0</v>
      </c>
      <c r="V1650">
        <v>0</v>
      </c>
    </row>
    <row r="1651" spans="1:22" x14ac:dyDescent="0.2">
      <c r="A1651"/>
      <c r="B1651">
        <v>26012</v>
      </c>
      <c r="C1651" t="s">
        <v>3769</v>
      </c>
      <c r="D1651" t="s">
        <v>1045</v>
      </c>
      <c r="E1651" t="s">
        <v>3757</v>
      </c>
      <c r="F1651" t="s">
        <v>1915</v>
      </c>
      <c r="G1651">
        <v>1243.65601283</v>
      </c>
      <c r="H1651" t="s">
        <v>12</v>
      </c>
      <c r="Q1651">
        <v>6425.4287748799998</v>
      </c>
      <c r="R1651">
        <v>37665.677107299998</v>
      </c>
      <c r="S1651">
        <v>-10.722206465899999</v>
      </c>
      <c r="T1651">
        <v>172.35493735399999</v>
      </c>
      <c r="U1651">
        <v>0</v>
      </c>
      <c r="V1651">
        <v>0</v>
      </c>
    </row>
    <row r="1652" spans="1:22" x14ac:dyDescent="0.2">
      <c r="A1652"/>
      <c r="B1652">
        <v>26013</v>
      </c>
      <c r="C1652" t="s">
        <v>3770</v>
      </c>
      <c r="D1652" t="s">
        <v>1045</v>
      </c>
      <c r="E1652" t="s">
        <v>3757</v>
      </c>
      <c r="F1652" t="s">
        <v>1915</v>
      </c>
      <c r="G1652">
        <v>1243.65601283</v>
      </c>
      <c r="H1652" t="s">
        <v>1270</v>
      </c>
      <c r="Q1652">
        <v>6425.4287748799998</v>
      </c>
      <c r="R1652">
        <v>37665.677107299998</v>
      </c>
      <c r="S1652">
        <v>-10.722206465899999</v>
      </c>
      <c r="T1652">
        <v>-7.6450626463700004</v>
      </c>
      <c r="U1652">
        <v>0</v>
      </c>
      <c r="V1652">
        <v>0</v>
      </c>
    </row>
    <row r="1653" spans="1:22" x14ac:dyDescent="0.2">
      <c r="A1653"/>
      <c r="B1653">
        <v>26014</v>
      </c>
      <c r="C1653" t="s">
        <v>3771</v>
      </c>
      <c r="D1653" t="s">
        <v>1045</v>
      </c>
      <c r="E1653" t="s">
        <v>3757</v>
      </c>
      <c r="F1653" t="s">
        <v>1915</v>
      </c>
      <c r="G1653">
        <v>1561.17127157</v>
      </c>
      <c r="H1653" t="s">
        <v>12</v>
      </c>
      <c r="Q1653">
        <v>6110.8030675600003</v>
      </c>
      <c r="R1653">
        <v>37707.9649661</v>
      </c>
      <c r="S1653">
        <v>-4.9189304443499999</v>
      </c>
      <c r="T1653">
        <v>172.14183839699999</v>
      </c>
      <c r="U1653">
        <v>0</v>
      </c>
      <c r="V1653">
        <v>0</v>
      </c>
    </row>
    <row r="1654" spans="1:22" x14ac:dyDescent="0.2">
      <c r="A1654"/>
      <c r="B1654">
        <v>26015</v>
      </c>
      <c r="C1654" t="s">
        <v>3772</v>
      </c>
      <c r="D1654" t="s">
        <v>1045</v>
      </c>
      <c r="E1654" t="s">
        <v>3757</v>
      </c>
      <c r="F1654" t="s">
        <v>1915</v>
      </c>
      <c r="G1654">
        <v>1561.17127157</v>
      </c>
      <c r="H1654" t="s">
        <v>1270</v>
      </c>
      <c r="Q1654">
        <v>6110.8030675600003</v>
      </c>
      <c r="R1654">
        <v>37707.9649661</v>
      </c>
      <c r="S1654">
        <v>-4.9189304443499999</v>
      </c>
      <c r="T1654">
        <v>-7.8581616028000001</v>
      </c>
      <c r="U1654">
        <v>0</v>
      </c>
      <c r="V1654">
        <v>0</v>
      </c>
    </row>
    <row r="1655" spans="1:22" x14ac:dyDescent="0.2">
      <c r="A1655"/>
      <c r="B1655">
        <v>26016</v>
      </c>
      <c r="C1655" t="s">
        <v>3773</v>
      </c>
      <c r="D1655" t="s">
        <v>1045</v>
      </c>
      <c r="E1655" t="s">
        <v>3757</v>
      </c>
      <c r="F1655" t="s">
        <v>1915</v>
      </c>
      <c r="G1655">
        <v>1662.9689374300001</v>
      </c>
      <c r="H1655" t="s">
        <v>12</v>
      </c>
      <c r="Q1655">
        <v>6010.9338861400001</v>
      </c>
      <c r="R1655">
        <v>37728.465502899999</v>
      </c>
      <c r="S1655">
        <v>-5.5430994427</v>
      </c>
      <c r="T1655">
        <v>167.713469476</v>
      </c>
      <c r="U1655">
        <v>0</v>
      </c>
      <c r="V1655">
        <v>0</v>
      </c>
    </row>
    <row r="1656" spans="1:22" x14ac:dyDescent="0.2">
      <c r="A1656"/>
      <c r="B1656">
        <v>26017</v>
      </c>
      <c r="C1656" t="s">
        <v>3774</v>
      </c>
      <c r="D1656" t="s">
        <v>1045</v>
      </c>
      <c r="E1656" t="s">
        <v>3757</v>
      </c>
      <c r="F1656" t="s">
        <v>1915</v>
      </c>
      <c r="G1656">
        <v>1662.9689374300001</v>
      </c>
      <c r="H1656" t="s">
        <v>1270</v>
      </c>
      <c r="Q1656">
        <v>6010.9338861400001</v>
      </c>
      <c r="R1656">
        <v>37728.465502899999</v>
      </c>
      <c r="S1656">
        <v>-5.5430994427</v>
      </c>
      <c r="T1656">
        <v>-12.2865305243</v>
      </c>
      <c r="U1656">
        <v>0</v>
      </c>
      <c r="V1656">
        <v>0</v>
      </c>
    </row>
    <row r="1657" spans="1:22" x14ac:dyDescent="0.2">
      <c r="A1657"/>
      <c r="B1657">
        <v>26018</v>
      </c>
      <c r="C1657" t="s">
        <v>3775</v>
      </c>
      <c r="D1657" t="s">
        <v>1045</v>
      </c>
      <c r="E1657" t="s">
        <v>3757</v>
      </c>
      <c r="F1657" t="s">
        <v>1915</v>
      </c>
      <c r="G1657">
        <v>1774.54262036</v>
      </c>
      <c r="H1657" t="s">
        <v>12</v>
      </c>
      <c r="Q1657">
        <v>5900.7496848299998</v>
      </c>
      <c r="R1657">
        <v>37743.397474700003</v>
      </c>
      <c r="S1657">
        <v>-7.8269087689600001</v>
      </c>
      <c r="T1657">
        <v>174.24243557400001</v>
      </c>
      <c r="U1657">
        <v>0</v>
      </c>
      <c r="V1657">
        <v>0</v>
      </c>
    </row>
    <row r="1658" spans="1:22" x14ac:dyDescent="0.2">
      <c r="A1658"/>
      <c r="B1658">
        <v>26019</v>
      </c>
      <c r="C1658" t="s">
        <v>3776</v>
      </c>
      <c r="D1658" t="s">
        <v>1045</v>
      </c>
      <c r="E1658" t="s">
        <v>3757</v>
      </c>
      <c r="F1658" t="s">
        <v>1915</v>
      </c>
      <c r="G1658">
        <v>1774.54262036</v>
      </c>
      <c r="H1658" t="s">
        <v>1270</v>
      </c>
      <c r="Q1658">
        <v>5900.7496848299998</v>
      </c>
      <c r="R1658">
        <v>37743.397474700003</v>
      </c>
      <c r="S1658">
        <v>-7.8269087689600001</v>
      </c>
      <c r="T1658">
        <v>-5.7575644263600001</v>
      </c>
      <c r="U1658">
        <v>0</v>
      </c>
      <c r="V1658">
        <v>0</v>
      </c>
    </row>
    <row r="1659" spans="1:22" x14ac:dyDescent="0.2">
      <c r="A1659"/>
      <c r="B1659">
        <v>26020</v>
      </c>
      <c r="C1659" t="s">
        <v>3777</v>
      </c>
      <c r="D1659" t="s">
        <v>1045</v>
      </c>
      <c r="E1659" t="s">
        <v>3757</v>
      </c>
      <c r="F1659" t="s">
        <v>1915</v>
      </c>
      <c r="G1659">
        <v>1816.33509338</v>
      </c>
      <c r="H1659" t="s">
        <v>12</v>
      </c>
      <c r="Q1659">
        <v>5859.2071456399999</v>
      </c>
      <c r="R1659">
        <v>37747.466543499999</v>
      </c>
      <c r="S1659">
        <v>-8.8522092677500002</v>
      </c>
      <c r="T1659">
        <v>175.115415885</v>
      </c>
      <c r="U1659">
        <v>0</v>
      </c>
      <c r="V1659">
        <v>0</v>
      </c>
    </row>
    <row r="1660" spans="1:22" x14ac:dyDescent="0.2">
      <c r="A1660"/>
      <c r="B1660">
        <v>26021</v>
      </c>
      <c r="C1660" t="s">
        <v>3778</v>
      </c>
      <c r="D1660" t="s">
        <v>1045</v>
      </c>
      <c r="E1660" t="s">
        <v>3757</v>
      </c>
      <c r="F1660" t="s">
        <v>1915</v>
      </c>
      <c r="G1660">
        <v>1816.33509338</v>
      </c>
      <c r="H1660" t="s">
        <v>1270</v>
      </c>
      <c r="Q1660">
        <v>5859.2071456399999</v>
      </c>
      <c r="R1660">
        <v>37747.466543499999</v>
      </c>
      <c r="S1660">
        <v>-8.8522092677500002</v>
      </c>
      <c r="T1660">
        <v>-4.88458411468</v>
      </c>
      <c r="U1660">
        <v>0</v>
      </c>
      <c r="V1660">
        <v>0</v>
      </c>
    </row>
    <row r="1661" spans="1:22" x14ac:dyDescent="0.2">
      <c r="A1661"/>
      <c r="B1661">
        <v>26022</v>
      </c>
      <c r="C1661" t="s">
        <v>3779</v>
      </c>
      <c r="D1661" t="s">
        <v>1045</v>
      </c>
      <c r="E1661" t="s">
        <v>3757</v>
      </c>
      <c r="F1661" t="s">
        <v>1915</v>
      </c>
      <c r="G1661">
        <v>2122.0115954299999</v>
      </c>
      <c r="H1661" t="s">
        <v>12</v>
      </c>
      <c r="Q1661">
        <v>5561.4107973700002</v>
      </c>
      <c r="R1661">
        <v>37699.519561399997</v>
      </c>
      <c r="S1661">
        <v>-10.9906788438</v>
      </c>
      <c r="T1661">
        <v>-160.115436905</v>
      </c>
      <c r="U1661">
        <v>0</v>
      </c>
      <c r="V1661">
        <v>0</v>
      </c>
    </row>
    <row r="1662" spans="1:22" x14ac:dyDescent="0.2">
      <c r="A1662"/>
      <c r="B1662">
        <v>26023</v>
      </c>
      <c r="C1662" t="s">
        <v>3780</v>
      </c>
      <c r="D1662" t="s">
        <v>1045</v>
      </c>
      <c r="E1662" t="s">
        <v>3757</v>
      </c>
      <c r="F1662" t="s">
        <v>1915</v>
      </c>
      <c r="G1662">
        <v>2122.0115954299999</v>
      </c>
      <c r="H1662" t="s">
        <v>1270</v>
      </c>
      <c r="Q1662">
        <v>5561.4107973700002</v>
      </c>
      <c r="R1662">
        <v>37699.519561399997</v>
      </c>
      <c r="S1662">
        <v>-10.9906788438</v>
      </c>
      <c r="T1662">
        <v>19.884563094800001</v>
      </c>
      <c r="U1662">
        <v>0</v>
      </c>
      <c r="V1662">
        <v>0</v>
      </c>
    </row>
    <row r="1663" spans="1:22" x14ac:dyDescent="0.2">
      <c r="A1663"/>
      <c r="B1663">
        <v>26024</v>
      </c>
      <c r="C1663" t="s">
        <v>3781</v>
      </c>
      <c r="D1663" t="s">
        <v>1045</v>
      </c>
      <c r="E1663" t="s">
        <v>1048</v>
      </c>
      <c r="F1663" t="s">
        <v>1915</v>
      </c>
      <c r="G1663">
        <v>2175.3006645400001</v>
      </c>
      <c r="H1663" t="s">
        <v>12</v>
      </c>
      <c r="Q1663">
        <v>5511.3696823099999</v>
      </c>
      <c r="R1663">
        <v>37681.277480899997</v>
      </c>
      <c r="S1663">
        <v>-10.4807111538</v>
      </c>
      <c r="T1663">
        <v>-159.56262217099999</v>
      </c>
      <c r="U1663">
        <v>0</v>
      </c>
      <c r="V1663">
        <v>0</v>
      </c>
    </row>
    <row r="1664" spans="1:22" x14ac:dyDescent="0.2">
      <c r="A1664"/>
      <c r="B1664">
        <v>26025</v>
      </c>
      <c r="C1664" t="s">
        <v>3782</v>
      </c>
      <c r="D1664" t="s">
        <v>1045</v>
      </c>
      <c r="E1664" t="s">
        <v>3757</v>
      </c>
      <c r="F1664" t="s">
        <v>1915</v>
      </c>
      <c r="G1664">
        <v>2175.3006645400001</v>
      </c>
      <c r="H1664" t="s">
        <v>1270</v>
      </c>
      <c r="Q1664">
        <v>5511.3696823099999</v>
      </c>
      <c r="R1664">
        <v>37681.277480899997</v>
      </c>
      <c r="S1664">
        <v>-10.4807111538</v>
      </c>
      <c r="T1664">
        <v>20.437377829199999</v>
      </c>
      <c r="U1664">
        <v>0</v>
      </c>
      <c r="V1664">
        <v>0</v>
      </c>
    </row>
    <row r="1665" spans="1:22" x14ac:dyDescent="0.2">
      <c r="A1665"/>
      <c r="B1665">
        <v>26026</v>
      </c>
      <c r="C1665" t="s">
        <v>3783</v>
      </c>
      <c r="D1665" t="s">
        <v>1045</v>
      </c>
      <c r="E1665" t="s">
        <v>3757</v>
      </c>
      <c r="F1665" t="s">
        <v>1915</v>
      </c>
      <c r="G1665">
        <v>2321.01219911</v>
      </c>
      <c r="H1665" t="s">
        <v>12</v>
      </c>
      <c r="Q1665">
        <v>5383.7029835399999</v>
      </c>
      <c r="R1665">
        <v>37612.919331800003</v>
      </c>
      <c r="S1665">
        <v>-10.082392086500001</v>
      </c>
      <c r="T1665">
        <v>-147.480794535</v>
      </c>
      <c r="U1665">
        <v>0</v>
      </c>
      <c r="V1665">
        <v>0</v>
      </c>
    </row>
    <row r="1666" spans="1:22" x14ac:dyDescent="0.2">
      <c r="A1666"/>
      <c r="B1666">
        <v>26027</v>
      </c>
      <c r="C1666" t="s">
        <v>3784</v>
      </c>
      <c r="D1666" t="s">
        <v>1045</v>
      </c>
      <c r="E1666" t="s">
        <v>1048</v>
      </c>
      <c r="F1666" t="s">
        <v>1915</v>
      </c>
      <c r="G1666">
        <v>2321.01219911</v>
      </c>
      <c r="H1666" t="s">
        <v>1270</v>
      </c>
      <c r="Q1666">
        <v>5383.7029835399999</v>
      </c>
      <c r="R1666">
        <v>37612.919331800003</v>
      </c>
      <c r="S1666">
        <v>-10.082392086500001</v>
      </c>
      <c r="T1666">
        <v>32.519205464800002</v>
      </c>
      <c r="U1666">
        <v>0</v>
      </c>
      <c r="V1666">
        <v>0</v>
      </c>
    </row>
    <row r="1667" spans="1:22" x14ac:dyDescent="0.2">
      <c r="A1667"/>
      <c r="B1667">
        <v>26028</v>
      </c>
      <c r="C1667" t="s">
        <v>3785</v>
      </c>
      <c r="D1667" t="s">
        <v>1045</v>
      </c>
      <c r="E1667" t="s">
        <v>3757</v>
      </c>
      <c r="F1667" t="s">
        <v>1915</v>
      </c>
      <c r="G1667">
        <v>2383.0116994300001</v>
      </c>
      <c r="H1667" t="s">
        <v>12</v>
      </c>
      <c r="Q1667">
        <v>5331.5110834200004</v>
      </c>
      <c r="R1667">
        <v>37579.503104199997</v>
      </c>
      <c r="S1667">
        <v>-10.0867274794</v>
      </c>
      <c r="T1667">
        <v>-146.878956265</v>
      </c>
      <c r="U1667">
        <v>0</v>
      </c>
      <c r="V1667">
        <v>0</v>
      </c>
    </row>
    <row r="1668" spans="1:22" x14ac:dyDescent="0.2">
      <c r="A1668"/>
      <c r="B1668">
        <v>26029</v>
      </c>
      <c r="C1668" t="s">
        <v>3786</v>
      </c>
      <c r="D1668" t="s">
        <v>1045</v>
      </c>
      <c r="E1668" t="s">
        <v>3757</v>
      </c>
      <c r="F1668" t="s">
        <v>1915</v>
      </c>
      <c r="G1668">
        <v>2383.0116994300001</v>
      </c>
      <c r="H1668" t="s">
        <v>1270</v>
      </c>
      <c r="Q1668">
        <v>5331.5110834200004</v>
      </c>
      <c r="R1668">
        <v>37579.503104199997</v>
      </c>
      <c r="S1668">
        <v>-10.0867274794</v>
      </c>
      <c r="T1668">
        <v>33.121043734899999</v>
      </c>
      <c r="U1668">
        <v>0</v>
      </c>
      <c r="V1668">
        <v>0</v>
      </c>
    </row>
    <row r="1669" spans="1:22" x14ac:dyDescent="0.2">
      <c r="A1669"/>
      <c r="B1669">
        <v>26030</v>
      </c>
      <c r="C1669" t="s">
        <v>3787</v>
      </c>
      <c r="D1669" t="s">
        <v>1045</v>
      </c>
      <c r="E1669" t="s">
        <v>3757</v>
      </c>
      <c r="F1669" t="s">
        <v>1915</v>
      </c>
      <c r="G1669">
        <v>2535.8890545300001</v>
      </c>
      <c r="H1669" t="s">
        <v>12</v>
      </c>
      <c r="Q1669">
        <v>5208.5429117200001</v>
      </c>
      <c r="R1669">
        <v>37489.202604999999</v>
      </c>
      <c r="S1669">
        <v>-10.174704502999999</v>
      </c>
      <c r="T1669">
        <v>-141.57828940600001</v>
      </c>
      <c r="U1669">
        <v>0</v>
      </c>
      <c r="V1669">
        <v>0</v>
      </c>
    </row>
    <row r="1670" spans="1:22" x14ac:dyDescent="0.2">
      <c r="A1670"/>
      <c r="B1670">
        <v>26031</v>
      </c>
      <c r="C1670" t="s">
        <v>3788</v>
      </c>
      <c r="D1670" t="s">
        <v>1045</v>
      </c>
      <c r="E1670" t="s">
        <v>3757</v>
      </c>
      <c r="F1670" t="s">
        <v>1915</v>
      </c>
      <c r="G1670">
        <v>2535.8890545300001</v>
      </c>
      <c r="H1670" t="s">
        <v>1270</v>
      </c>
      <c r="Q1670">
        <v>5208.5429117200001</v>
      </c>
      <c r="R1670">
        <v>37489.202604999999</v>
      </c>
      <c r="S1670">
        <v>-10.174704502999999</v>
      </c>
      <c r="T1670">
        <v>38.421710593699999</v>
      </c>
      <c r="U1670">
        <v>0</v>
      </c>
      <c r="V1670">
        <v>0</v>
      </c>
    </row>
    <row r="1671" spans="1:22" x14ac:dyDescent="0.2">
      <c r="A1671"/>
      <c r="B1671">
        <v>26032</v>
      </c>
      <c r="C1671" t="s">
        <v>3789</v>
      </c>
      <c r="D1671" t="s">
        <v>1045</v>
      </c>
      <c r="E1671" t="s">
        <v>3757</v>
      </c>
      <c r="F1671" t="s">
        <v>1915</v>
      </c>
      <c r="G1671">
        <v>2619.7086249700001</v>
      </c>
      <c r="H1671" t="s">
        <v>12</v>
      </c>
      <c r="Q1671">
        <v>5143.0032089599999</v>
      </c>
      <c r="R1671">
        <v>37437.016264500002</v>
      </c>
      <c r="S1671">
        <v>-11.846099243399999</v>
      </c>
      <c r="T1671">
        <v>-141.05421781699999</v>
      </c>
      <c r="U1671">
        <v>0</v>
      </c>
      <c r="V1671">
        <v>0</v>
      </c>
    </row>
    <row r="1672" spans="1:22" x14ac:dyDescent="0.2">
      <c r="A1672"/>
      <c r="B1672">
        <v>26033</v>
      </c>
      <c r="C1672" t="s">
        <v>3790</v>
      </c>
      <c r="D1672" t="s">
        <v>1045</v>
      </c>
      <c r="E1672" t="s">
        <v>3757</v>
      </c>
      <c r="F1672" t="s">
        <v>1915</v>
      </c>
      <c r="G1672">
        <v>2619.7086249700001</v>
      </c>
      <c r="H1672" t="s">
        <v>1270</v>
      </c>
      <c r="Q1672">
        <v>5143.0032089599999</v>
      </c>
      <c r="R1672">
        <v>37437.016264500002</v>
      </c>
      <c r="S1672">
        <v>-11.846099243399999</v>
      </c>
      <c r="T1672">
        <v>38.945782182800002</v>
      </c>
      <c r="U1672">
        <v>0</v>
      </c>
      <c r="V1672">
        <v>0</v>
      </c>
    </row>
    <row r="1673" spans="1:22" x14ac:dyDescent="0.2">
      <c r="A1673"/>
      <c r="B1673">
        <v>26034</v>
      </c>
      <c r="C1673" t="s">
        <v>3791</v>
      </c>
      <c r="D1673" t="s">
        <v>1045</v>
      </c>
      <c r="E1673" t="s">
        <v>3757</v>
      </c>
      <c r="F1673" t="s">
        <v>1915</v>
      </c>
      <c r="G1673">
        <v>2826.5202663</v>
      </c>
      <c r="H1673" t="s">
        <v>12</v>
      </c>
      <c r="Q1673">
        <v>5000.7523411000002</v>
      </c>
      <c r="R1673">
        <v>37288.4480769</v>
      </c>
      <c r="S1673">
        <v>-16.9910180613</v>
      </c>
      <c r="T1673">
        <v>-128.51714424299999</v>
      </c>
      <c r="U1673">
        <v>0</v>
      </c>
      <c r="V1673">
        <v>0</v>
      </c>
    </row>
    <row r="1674" spans="1:22" x14ac:dyDescent="0.2">
      <c r="A1674"/>
      <c r="B1674">
        <v>26035</v>
      </c>
      <c r="C1674" t="s">
        <v>3792</v>
      </c>
      <c r="D1674" t="s">
        <v>1045</v>
      </c>
      <c r="E1674" t="s">
        <v>3757</v>
      </c>
      <c r="F1674" t="s">
        <v>1915</v>
      </c>
      <c r="G1674">
        <v>2826.5202663</v>
      </c>
      <c r="H1674" t="s">
        <v>1270</v>
      </c>
      <c r="Q1674">
        <v>5000.7523411000002</v>
      </c>
      <c r="R1674">
        <v>37288.4480769</v>
      </c>
      <c r="S1674">
        <v>-16.9910180613</v>
      </c>
      <c r="T1674">
        <v>51.482855756699998</v>
      </c>
      <c r="U1674">
        <v>0</v>
      </c>
      <c r="V1674">
        <v>0</v>
      </c>
    </row>
    <row r="1675" spans="1:22" x14ac:dyDescent="0.2">
      <c r="A1675"/>
      <c r="B1675">
        <v>26036</v>
      </c>
      <c r="C1675" t="s">
        <v>3793</v>
      </c>
      <c r="D1675" t="s">
        <v>1045</v>
      </c>
      <c r="E1675" t="s">
        <v>3757</v>
      </c>
      <c r="F1675" t="s">
        <v>1915</v>
      </c>
      <c r="G1675">
        <v>2887.2097803299998</v>
      </c>
      <c r="H1675" t="s">
        <v>12</v>
      </c>
      <c r="Q1675">
        <v>4963.0590759400002</v>
      </c>
      <c r="R1675">
        <v>37240.924592900003</v>
      </c>
      <c r="S1675">
        <v>-17.842343697499999</v>
      </c>
      <c r="T1675">
        <v>-127.935652332</v>
      </c>
      <c r="U1675">
        <v>0</v>
      </c>
      <c r="V1675">
        <v>0</v>
      </c>
    </row>
    <row r="1676" spans="1:22" x14ac:dyDescent="0.2">
      <c r="A1676"/>
      <c r="B1676">
        <v>26037</v>
      </c>
      <c r="C1676" t="s">
        <v>3794</v>
      </c>
      <c r="D1676" t="s">
        <v>1045</v>
      </c>
      <c r="E1676" t="s">
        <v>3757</v>
      </c>
      <c r="F1676" t="s">
        <v>1915</v>
      </c>
      <c r="G1676">
        <v>2887.2097803299998</v>
      </c>
      <c r="H1676" t="s">
        <v>1270</v>
      </c>
      <c r="Q1676">
        <v>4963.0590759400002</v>
      </c>
      <c r="R1676">
        <v>37240.924592900003</v>
      </c>
      <c r="S1676">
        <v>-17.842343697499999</v>
      </c>
      <c r="T1676">
        <v>52.064347668400003</v>
      </c>
      <c r="U1676">
        <v>0</v>
      </c>
      <c r="V1676">
        <v>0</v>
      </c>
    </row>
    <row r="1677" spans="1:22" x14ac:dyDescent="0.2">
      <c r="A1677"/>
      <c r="B1677">
        <v>26038</v>
      </c>
      <c r="C1677" t="s">
        <v>3795</v>
      </c>
      <c r="D1677" t="s">
        <v>1045</v>
      </c>
      <c r="E1677" t="s">
        <v>3757</v>
      </c>
      <c r="F1677" t="s">
        <v>1915</v>
      </c>
      <c r="G1677">
        <v>3026.6451119499998</v>
      </c>
      <c r="H1677" t="s">
        <v>12</v>
      </c>
      <c r="Q1677">
        <v>4886.3960789800003</v>
      </c>
      <c r="R1677">
        <v>37125.014776099997</v>
      </c>
      <c r="S1677">
        <v>-16.814815410400001</v>
      </c>
      <c r="T1677">
        <v>-120.64919054400001</v>
      </c>
      <c r="U1677">
        <v>0</v>
      </c>
      <c r="V1677">
        <v>0</v>
      </c>
    </row>
    <row r="1678" spans="1:22" x14ac:dyDescent="0.2">
      <c r="A1678"/>
      <c r="B1678">
        <v>26039</v>
      </c>
      <c r="C1678" t="s">
        <v>3796</v>
      </c>
      <c r="D1678" t="s">
        <v>1045</v>
      </c>
      <c r="E1678" t="s">
        <v>3757</v>
      </c>
      <c r="F1678" t="s">
        <v>1915</v>
      </c>
      <c r="G1678">
        <v>3026.6451119499998</v>
      </c>
      <c r="H1678" t="s">
        <v>1270</v>
      </c>
      <c r="Q1678">
        <v>4886.3960789800003</v>
      </c>
      <c r="R1678">
        <v>37125.014776099997</v>
      </c>
      <c r="S1678">
        <v>-16.814815410400001</v>
      </c>
      <c r="T1678">
        <v>59.350809455700002</v>
      </c>
      <c r="U1678">
        <v>0</v>
      </c>
      <c r="V1678">
        <v>0</v>
      </c>
    </row>
    <row r="1679" spans="1:22" x14ac:dyDescent="0.2">
      <c r="A1679"/>
      <c r="B1679">
        <v>26040</v>
      </c>
      <c r="C1679" t="s">
        <v>3797</v>
      </c>
      <c r="D1679" t="s">
        <v>1045</v>
      </c>
      <c r="E1679" t="s">
        <v>3757</v>
      </c>
      <c r="F1679" t="s">
        <v>1915</v>
      </c>
      <c r="G1679">
        <v>3136.7817203700001</v>
      </c>
      <c r="H1679" t="s">
        <v>12</v>
      </c>
      <c r="Q1679">
        <v>4830.8292563599998</v>
      </c>
      <c r="R1679">
        <v>37029.965358699999</v>
      </c>
      <c r="S1679">
        <v>-14.6217057481</v>
      </c>
      <c r="T1679">
        <v>-120.323197185</v>
      </c>
      <c r="U1679">
        <v>0</v>
      </c>
      <c r="V1679">
        <v>0</v>
      </c>
    </row>
    <row r="1680" spans="1:22" x14ac:dyDescent="0.2">
      <c r="A1680"/>
      <c r="B1680">
        <v>26041</v>
      </c>
      <c r="C1680" t="s">
        <v>3798</v>
      </c>
      <c r="D1680" t="s">
        <v>1045</v>
      </c>
      <c r="E1680" t="s">
        <v>3757</v>
      </c>
      <c r="F1680" t="s">
        <v>1915</v>
      </c>
      <c r="G1680">
        <v>3136.7817203700001</v>
      </c>
      <c r="H1680" t="s">
        <v>1270</v>
      </c>
      <c r="Q1680">
        <v>4830.8292563599998</v>
      </c>
      <c r="R1680">
        <v>37029.965358699999</v>
      </c>
      <c r="S1680">
        <v>-14.6217057481</v>
      </c>
      <c r="T1680">
        <v>59.676802815400002</v>
      </c>
      <c r="U1680">
        <v>0</v>
      </c>
      <c r="V1680">
        <v>0</v>
      </c>
    </row>
    <row r="1681" spans="1:22" x14ac:dyDescent="0.2">
      <c r="A1681"/>
      <c r="B1681">
        <v>26042</v>
      </c>
      <c r="C1681" t="s">
        <v>3799</v>
      </c>
      <c r="D1681" t="s">
        <v>1045</v>
      </c>
      <c r="E1681" t="s">
        <v>3757</v>
      </c>
      <c r="F1681" t="s">
        <v>1915</v>
      </c>
      <c r="G1681">
        <v>3271.9449325199998</v>
      </c>
      <c r="H1681" t="s">
        <v>12</v>
      </c>
      <c r="Q1681">
        <v>4776.5477240800001</v>
      </c>
      <c r="R1681">
        <v>36906.991431199996</v>
      </c>
      <c r="S1681">
        <v>-13.5734000664</v>
      </c>
      <c r="T1681">
        <v>-109.716271577</v>
      </c>
      <c r="U1681">
        <v>0</v>
      </c>
      <c r="V1681">
        <v>0</v>
      </c>
    </row>
    <row r="1682" spans="1:22" x14ac:dyDescent="0.2">
      <c r="A1682"/>
      <c r="B1682">
        <v>26043</v>
      </c>
      <c r="C1682" t="s">
        <v>3800</v>
      </c>
      <c r="D1682" t="s">
        <v>1045</v>
      </c>
      <c r="E1682" t="s">
        <v>3757</v>
      </c>
      <c r="F1682" t="s">
        <v>1915</v>
      </c>
      <c r="G1682">
        <v>3271.9449325199998</v>
      </c>
      <c r="H1682" t="s">
        <v>1270</v>
      </c>
      <c r="Q1682">
        <v>4776.5477240800001</v>
      </c>
      <c r="R1682">
        <v>36906.991431199996</v>
      </c>
      <c r="S1682">
        <v>-13.5734000664</v>
      </c>
      <c r="T1682">
        <v>70.283728423300005</v>
      </c>
      <c r="U1682">
        <v>0</v>
      </c>
      <c r="V1682">
        <v>0</v>
      </c>
    </row>
    <row r="1683" spans="1:22" x14ac:dyDescent="0.2">
      <c r="A1683"/>
      <c r="B1683">
        <v>26044</v>
      </c>
      <c r="C1683" t="s">
        <v>3801</v>
      </c>
      <c r="D1683" t="s">
        <v>1045</v>
      </c>
      <c r="E1683" t="s">
        <v>3757</v>
      </c>
      <c r="F1683" t="s">
        <v>1915</v>
      </c>
      <c r="G1683">
        <v>3297.16705658</v>
      </c>
      <c r="H1683" t="s">
        <v>12</v>
      </c>
      <c r="Q1683">
        <v>4768.0970307199996</v>
      </c>
      <c r="R1683">
        <v>36883.244888200003</v>
      </c>
      <c r="S1683">
        <v>-13.5780550785</v>
      </c>
      <c r="T1683">
        <v>-109.33410556299999</v>
      </c>
      <c r="U1683">
        <v>0</v>
      </c>
      <c r="V1683">
        <v>0</v>
      </c>
    </row>
    <row r="1684" spans="1:22" x14ac:dyDescent="0.2">
      <c r="A1684"/>
      <c r="B1684">
        <v>26045</v>
      </c>
      <c r="C1684" t="s">
        <v>3802</v>
      </c>
      <c r="D1684" t="s">
        <v>1045</v>
      </c>
      <c r="E1684" t="s">
        <v>3757</v>
      </c>
      <c r="F1684" t="s">
        <v>1915</v>
      </c>
      <c r="G1684">
        <v>3297.16705658</v>
      </c>
      <c r="H1684" t="s">
        <v>1270</v>
      </c>
      <c r="Q1684">
        <v>4768.0970307199996</v>
      </c>
      <c r="R1684">
        <v>36883.244888200003</v>
      </c>
      <c r="S1684">
        <v>-13.5780550785</v>
      </c>
      <c r="T1684">
        <v>70.6658944367</v>
      </c>
      <c r="U1684">
        <v>0</v>
      </c>
      <c r="V1684">
        <v>0</v>
      </c>
    </row>
    <row r="1685" spans="1:22" x14ac:dyDescent="0.2">
      <c r="A1685"/>
      <c r="B1685">
        <v>26046</v>
      </c>
      <c r="C1685" t="s">
        <v>3803</v>
      </c>
      <c r="D1685" t="s">
        <v>1045</v>
      </c>
      <c r="E1685" t="s">
        <v>3757</v>
      </c>
      <c r="F1685" t="s">
        <v>1915</v>
      </c>
      <c r="G1685">
        <v>3543.5226870000001</v>
      </c>
      <c r="H1685" t="s">
        <v>12</v>
      </c>
      <c r="Q1685">
        <v>4709.3953241299996</v>
      </c>
      <c r="R1685">
        <v>36644.8584577</v>
      </c>
      <c r="S1685">
        <v>-13.6733725132</v>
      </c>
      <c r="T1685">
        <v>-99.233501749699997</v>
      </c>
      <c r="U1685">
        <v>0</v>
      </c>
      <c r="V1685">
        <v>0</v>
      </c>
    </row>
    <row r="1686" spans="1:22" x14ac:dyDescent="0.2">
      <c r="A1686"/>
      <c r="B1686">
        <v>26047</v>
      </c>
      <c r="C1686" t="s">
        <v>3804</v>
      </c>
      <c r="D1686" t="s">
        <v>1045</v>
      </c>
      <c r="E1686" t="s">
        <v>3757</v>
      </c>
      <c r="F1686" t="s">
        <v>1915</v>
      </c>
      <c r="G1686">
        <v>3543.5226870000001</v>
      </c>
      <c r="H1686" t="s">
        <v>1270</v>
      </c>
      <c r="Q1686">
        <v>4709.3953241299996</v>
      </c>
      <c r="R1686">
        <v>36644.8584577</v>
      </c>
      <c r="S1686">
        <v>-13.6733725132</v>
      </c>
      <c r="T1686">
        <v>80.766498250300003</v>
      </c>
      <c r="U1686">
        <v>0</v>
      </c>
      <c r="V1686">
        <v>0</v>
      </c>
    </row>
    <row r="1687" spans="1:22" x14ac:dyDescent="0.2">
      <c r="A1687"/>
      <c r="B1687">
        <v>26048</v>
      </c>
      <c r="C1687" t="s">
        <v>3805</v>
      </c>
      <c r="D1687" t="s">
        <v>1045</v>
      </c>
      <c r="E1687" t="s">
        <v>3757</v>
      </c>
      <c r="F1687" t="s">
        <v>1915</v>
      </c>
      <c r="G1687">
        <v>3601.58245244</v>
      </c>
      <c r="H1687" t="s">
        <v>12</v>
      </c>
      <c r="Q1687">
        <v>4700.2683094900003</v>
      </c>
      <c r="R1687">
        <v>36587.554517299999</v>
      </c>
      <c r="S1687">
        <v>-14.547104104600001</v>
      </c>
      <c r="T1687">
        <v>-98.622947532699996</v>
      </c>
      <c r="U1687">
        <v>0</v>
      </c>
      <c r="V1687">
        <v>0</v>
      </c>
    </row>
    <row r="1688" spans="1:22" x14ac:dyDescent="0.2">
      <c r="A1688"/>
      <c r="B1688">
        <v>26049</v>
      </c>
      <c r="C1688" t="s">
        <v>3806</v>
      </c>
      <c r="D1688" t="s">
        <v>1045</v>
      </c>
      <c r="E1688" t="s">
        <v>3757</v>
      </c>
      <c r="F1688" t="s">
        <v>1915</v>
      </c>
      <c r="G1688">
        <v>3601.58245244</v>
      </c>
      <c r="H1688" t="s">
        <v>1270</v>
      </c>
      <c r="Q1688">
        <v>4700.2683094900003</v>
      </c>
      <c r="R1688">
        <v>36587.554517299999</v>
      </c>
      <c r="S1688">
        <v>-14.547104104600001</v>
      </c>
      <c r="T1688">
        <v>81.377052467300004</v>
      </c>
      <c r="U1688">
        <v>0</v>
      </c>
      <c r="V1688">
        <v>0</v>
      </c>
    </row>
    <row r="1689" spans="1:22" x14ac:dyDescent="0.2">
      <c r="A1689"/>
      <c r="B1689">
        <v>26050</v>
      </c>
      <c r="C1689" t="s">
        <v>3807</v>
      </c>
      <c r="D1689" t="s">
        <v>1045</v>
      </c>
      <c r="E1689" t="s">
        <v>3757</v>
      </c>
      <c r="F1689" t="s">
        <v>1915</v>
      </c>
      <c r="G1689">
        <v>3717.23273449</v>
      </c>
      <c r="H1689" t="s">
        <v>12</v>
      </c>
      <c r="Q1689">
        <v>4692.9656913400004</v>
      </c>
      <c r="R1689">
        <v>36472.6788285</v>
      </c>
      <c r="S1689">
        <v>-16.383549285000001</v>
      </c>
      <c r="T1689">
        <v>-90.347516753700006</v>
      </c>
      <c r="U1689">
        <v>0</v>
      </c>
      <c r="V1689">
        <v>0</v>
      </c>
    </row>
    <row r="1690" spans="1:22" x14ac:dyDescent="0.2">
      <c r="A1690"/>
      <c r="B1690">
        <v>26051</v>
      </c>
      <c r="C1690" t="s">
        <v>3808</v>
      </c>
      <c r="D1690" t="s">
        <v>1045</v>
      </c>
      <c r="E1690" t="s">
        <v>3757</v>
      </c>
      <c r="F1690" t="s">
        <v>1915</v>
      </c>
      <c r="G1690">
        <v>3717.23273449</v>
      </c>
      <c r="H1690" t="s">
        <v>1270</v>
      </c>
      <c r="Q1690">
        <v>4692.9656913400004</v>
      </c>
      <c r="R1690">
        <v>36472.6788285</v>
      </c>
      <c r="S1690">
        <v>-16.383549285000001</v>
      </c>
      <c r="T1690">
        <v>89.652483246299994</v>
      </c>
      <c r="U1690">
        <v>0</v>
      </c>
      <c r="V1690">
        <v>0</v>
      </c>
    </row>
    <row r="1691" spans="1:22" x14ac:dyDescent="0.2">
      <c r="A1691"/>
      <c r="B1691">
        <v>26052</v>
      </c>
      <c r="C1691" t="s">
        <v>3809</v>
      </c>
      <c r="D1691" t="s">
        <v>1045</v>
      </c>
      <c r="E1691" t="s">
        <v>1048</v>
      </c>
      <c r="F1691" t="s">
        <v>1915</v>
      </c>
      <c r="G1691">
        <v>3890.2193567200002</v>
      </c>
      <c r="H1691" t="s">
        <v>12</v>
      </c>
      <c r="Q1691">
        <v>4692.1211073300001</v>
      </c>
      <c r="R1691">
        <v>36299.691326100001</v>
      </c>
      <c r="S1691">
        <v>-16.234354639199999</v>
      </c>
      <c r="T1691">
        <v>-90.4336941217</v>
      </c>
      <c r="U1691">
        <v>0</v>
      </c>
      <c r="V1691">
        <v>0</v>
      </c>
    </row>
    <row r="1692" spans="1:22" x14ac:dyDescent="0.2">
      <c r="A1692"/>
      <c r="B1692">
        <v>26053</v>
      </c>
      <c r="C1692" t="s">
        <v>3810</v>
      </c>
      <c r="D1692" t="s">
        <v>1045</v>
      </c>
      <c r="E1692" t="s">
        <v>3757</v>
      </c>
      <c r="F1692" t="s">
        <v>1915</v>
      </c>
      <c r="G1692">
        <v>3890.2193567200002</v>
      </c>
      <c r="H1692" t="s">
        <v>1270</v>
      </c>
      <c r="Q1692">
        <v>4692.1211073300001</v>
      </c>
      <c r="R1692">
        <v>36299.691326100001</v>
      </c>
      <c r="S1692">
        <v>-16.234354639199999</v>
      </c>
      <c r="T1692">
        <v>89.5663058783</v>
      </c>
      <c r="U1692">
        <v>0</v>
      </c>
      <c r="V1692">
        <v>0</v>
      </c>
    </row>
    <row r="1693" spans="1:22" x14ac:dyDescent="0.2">
      <c r="A1693"/>
      <c r="B1693">
        <v>26054</v>
      </c>
      <c r="C1693" t="s">
        <v>3811</v>
      </c>
      <c r="D1693" t="s">
        <v>1045</v>
      </c>
      <c r="E1693" t="s">
        <v>3757</v>
      </c>
      <c r="F1693" t="s">
        <v>1915</v>
      </c>
      <c r="G1693">
        <v>4061.8177845300002</v>
      </c>
      <c r="H1693" t="s">
        <v>12</v>
      </c>
      <c r="Q1693">
        <v>4662.2337017199998</v>
      </c>
      <c r="R1693">
        <v>36130.877038099999</v>
      </c>
      <c r="S1693">
        <v>-16.442380910899999</v>
      </c>
      <c r="T1693">
        <v>-107.377969369</v>
      </c>
      <c r="U1693">
        <v>0</v>
      </c>
      <c r="V1693">
        <v>0</v>
      </c>
    </row>
    <row r="1694" spans="1:22" x14ac:dyDescent="0.2">
      <c r="A1694"/>
      <c r="B1694">
        <v>26055</v>
      </c>
      <c r="C1694" t="s">
        <v>3812</v>
      </c>
      <c r="D1694" t="s">
        <v>1045</v>
      </c>
      <c r="E1694" t="s">
        <v>1048</v>
      </c>
      <c r="F1694" t="s">
        <v>1915</v>
      </c>
      <c r="G1694">
        <v>4061.8177845300002</v>
      </c>
      <c r="H1694" t="s">
        <v>1270</v>
      </c>
      <c r="Q1694">
        <v>4662.2337017199998</v>
      </c>
      <c r="R1694">
        <v>36130.877038099999</v>
      </c>
      <c r="S1694">
        <v>-16.442380910899999</v>
      </c>
      <c r="T1694">
        <v>72.622030631200005</v>
      </c>
      <c r="U1694">
        <v>0</v>
      </c>
      <c r="V1694">
        <v>0</v>
      </c>
    </row>
    <row r="1695" spans="1:22" x14ac:dyDescent="0.2">
      <c r="A1695"/>
      <c r="B1695">
        <v>26056</v>
      </c>
      <c r="C1695" t="s">
        <v>3813</v>
      </c>
      <c r="D1695" t="s">
        <v>1045</v>
      </c>
      <c r="E1695" t="s">
        <v>1048</v>
      </c>
      <c r="F1695" t="s">
        <v>1915</v>
      </c>
      <c r="G1695">
        <v>4099.3088100300001</v>
      </c>
      <c r="H1695" t="s">
        <v>12</v>
      </c>
      <c r="Q1695">
        <v>4651.0438016999997</v>
      </c>
      <c r="R1695">
        <v>36095.086706299997</v>
      </c>
      <c r="S1695">
        <v>-16.024736539500001</v>
      </c>
      <c r="T1695">
        <v>-107.615159213</v>
      </c>
      <c r="U1695">
        <v>0</v>
      </c>
      <c r="V1695">
        <v>0</v>
      </c>
    </row>
    <row r="1696" spans="1:22" x14ac:dyDescent="0.2">
      <c r="A1696"/>
      <c r="B1696">
        <v>26057</v>
      </c>
      <c r="C1696" t="s">
        <v>3814</v>
      </c>
      <c r="D1696" t="s">
        <v>1045</v>
      </c>
      <c r="E1696" t="s">
        <v>3757</v>
      </c>
      <c r="F1696" t="s">
        <v>1915</v>
      </c>
      <c r="G1696">
        <v>4099.3088100300001</v>
      </c>
      <c r="H1696" t="s">
        <v>1270</v>
      </c>
      <c r="Q1696">
        <v>4651.0438016999997</v>
      </c>
      <c r="R1696">
        <v>36095.086706299997</v>
      </c>
      <c r="S1696">
        <v>-16.024736539500001</v>
      </c>
      <c r="T1696">
        <v>72.384840787399995</v>
      </c>
      <c r="U1696">
        <v>0</v>
      </c>
      <c r="V1696">
        <v>0</v>
      </c>
    </row>
    <row r="1697" spans="1:22" x14ac:dyDescent="0.2">
      <c r="A1697"/>
      <c r="B1697">
        <v>26058</v>
      </c>
      <c r="C1697" t="s">
        <v>3815</v>
      </c>
      <c r="D1697" t="s">
        <v>1045</v>
      </c>
      <c r="E1697" t="s">
        <v>3757</v>
      </c>
      <c r="F1697" t="s">
        <v>1915</v>
      </c>
      <c r="G1697">
        <v>4354.6974802300001</v>
      </c>
      <c r="H1697" t="s">
        <v>12</v>
      </c>
      <c r="Q1697">
        <v>4516.0101058</v>
      </c>
      <c r="R1697">
        <v>35880.585712200002</v>
      </c>
      <c r="S1697">
        <v>-12.9674240283</v>
      </c>
      <c r="T1697">
        <v>-134.50102369300001</v>
      </c>
      <c r="U1697">
        <v>0</v>
      </c>
      <c r="V1697">
        <v>0</v>
      </c>
    </row>
    <row r="1698" spans="1:22" x14ac:dyDescent="0.2">
      <c r="A1698"/>
      <c r="B1698">
        <v>26059</v>
      </c>
      <c r="C1698" t="s">
        <v>3816</v>
      </c>
      <c r="D1698" t="s">
        <v>1045</v>
      </c>
      <c r="E1698" t="s">
        <v>1048</v>
      </c>
      <c r="F1698" t="s">
        <v>1915</v>
      </c>
      <c r="G1698">
        <v>4354.6974802300001</v>
      </c>
      <c r="H1698" t="s">
        <v>1270</v>
      </c>
      <c r="Q1698">
        <v>4516.0101058</v>
      </c>
      <c r="R1698">
        <v>35880.585712200002</v>
      </c>
      <c r="S1698">
        <v>-12.9674240283</v>
      </c>
      <c r="T1698">
        <v>45.498976306599999</v>
      </c>
      <c r="U1698">
        <v>0</v>
      </c>
      <c r="V1698">
        <v>0</v>
      </c>
    </row>
    <row r="1699" spans="1:22" x14ac:dyDescent="0.2">
      <c r="A1699"/>
      <c r="B1699">
        <v>26060</v>
      </c>
      <c r="C1699" t="s">
        <v>3817</v>
      </c>
      <c r="D1699" t="s">
        <v>1045</v>
      </c>
      <c r="E1699" t="s">
        <v>3757</v>
      </c>
      <c r="F1699" t="s">
        <v>1915</v>
      </c>
      <c r="G1699">
        <v>4567.01301917</v>
      </c>
      <c r="H1699" t="s">
        <v>12</v>
      </c>
      <c r="Q1699">
        <v>4366.79740511</v>
      </c>
      <c r="R1699">
        <v>35729.554924999997</v>
      </c>
      <c r="S1699">
        <v>-12.9555923765</v>
      </c>
      <c r="T1699">
        <v>-134.342378274</v>
      </c>
      <c r="U1699">
        <v>0</v>
      </c>
      <c r="V1699">
        <v>0</v>
      </c>
    </row>
    <row r="1700" spans="1:22" x14ac:dyDescent="0.2">
      <c r="A1700"/>
      <c r="B1700">
        <v>26061</v>
      </c>
      <c r="C1700" t="s">
        <v>3818</v>
      </c>
      <c r="D1700" t="s">
        <v>1045</v>
      </c>
      <c r="E1700" t="s">
        <v>3757</v>
      </c>
      <c r="F1700" t="s">
        <v>1915</v>
      </c>
      <c r="G1700">
        <v>4567.01301917</v>
      </c>
      <c r="H1700" t="s">
        <v>1270</v>
      </c>
      <c r="Q1700">
        <v>4366.79740511</v>
      </c>
      <c r="R1700">
        <v>35729.554924999997</v>
      </c>
      <c r="S1700">
        <v>-12.9555923765</v>
      </c>
      <c r="T1700">
        <v>45.657621725699997</v>
      </c>
      <c r="U1700">
        <v>0</v>
      </c>
      <c r="V1700">
        <v>0</v>
      </c>
    </row>
    <row r="1701" spans="1:22" x14ac:dyDescent="0.2">
      <c r="A1701"/>
      <c r="B1701">
        <v>26062</v>
      </c>
      <c r="C1701" t="s">
        <v>3819</v>
      </c>
      <c r="D1701" t="s">
        <v>1045</v>
      </c>
      <c r="E1701" t="s">
        <v>3757</v>
      </c>
      <c r="F1701" t="s">
        <v>1915</v>
      </c>
      <c r="G1701">
        <v>4775.8580720500004</v>
      </c>
      <c r="H1701" t="s">
        <v>12</v>
      </c>
      <c r="Q1701">
        <v>4242.5453054899999</v>
      </c>
      <c r="R1701">
        <v>35563.382192199999</v>
      </c>
      <c r="S1701">
        <v>-15.0004940862</v>
      </c>
      <c r="T1701">
        <v>-120.04488711</v>
      </c>
      <c r="U1701">
        <v>0</v>
      </c>
      <c r="V1701">
        <v>0</v>
      </c>
    </row>
    <row r="1702" spans="1:22" x14ac:dyDescent="0.2">
      <c r="A1702"/>
      <c r="B1702">
        <v>26063</v>
      </c>
      <c r="C1702" t="s">
        <v>3820</v>
      </c>
      <c r="D1702" t="s">
        <v>1045</v>
      </c>
      <c r="E1702" t="s">
        <v>3757</v>
      </c>
      <c r="F1702" t="s">
        <v>1915</v>
      </c>
      <c r="G1702">
        <v>4775.8580720500004</v>
      </c>
      <c r="H1702" t="s">
        <v>1270</v>
      </c>
      <c r="Q1702">
        <v>4242.5453054899999</v>
      </c>
      <c r="R1702">
        <v>35563.382192199999</v>
      </c>
      <c r="S1702">
        <v>-15.0004940862</v>
      </c>
      <c r="T1702">
        <v>59.955112889900001</v>
      </c>
      <c r="U1702">
        <v>0</v>
      </c>
      <c r="V1702">
        <v>0</v>
      </c>
    </row>
    <row r="1703" spans="1:22" x14ac:dyDescent="0.2">
      <c r="A1703"/>
      <c r="B1703">
        <v>26064</v>
      </c>
      <c r="C1703" t="s">
        <v>3821</v>
      </c>
      <c r="D1703" t="s">
        <v>1045</v>
      </c>
      <c r="E1703" t="s">
        <v>3757</v>
      </c>
      <c r="F1703" t="s">
        <v>1915</v>
      </c>
      <c r="G1703">
        <v>4829.4013175999999</v>
      </c>
      <c r="H1703" t="s">
        <v>12</v>
      </c>
      <c r="Q1703">
        <v>4215.7753455100001</v>
      </c>
      <c r="R1703">
        <v>35517.013906400003</v>
      </c>
      <c r="S1703">
        <v>-15.003090046800001</v>
      </c>
      <c r="T1703">
        <v>-119.99562089200001</v>
      </c>
      <c r="U1703">
        <v>0</v>
      </c>
      <c r="V1703">
        <v>0</v>
      </c>
    </row>
    <row r="1704" spans="1:22" x14ac:dyDescent="0.2">
      <c r="A1704"/>
      <c r="B1704">
        <v>26065</v>
      </c>
      <c r="C1704" t="s">
        <v>3822</v>
      </c>
      <c r="D1704" t="s">
        <v>1045</v>
      </c>
      <c r="E1704" t="s">
        <v>3757</v>
      </c>
      <c r="F1704" t="s">
        <v>1915</v>
      </c>
      <c r="G1704">
        <v>4829.4013175999999</v>
      </c>
      <c r="H1704" t="s">
        <v>1270</v>
      </c>
      <c r="Q1704">
        <v>4215.7753455100001</v>
      </c>
      <c r="R1704">
        <v>35517.013906400003</v>
      </c>
      <c r="S1704">
        <v>-15.003090046800001</v>
      </c>
      <c r="T1704">
        <v>60.004379108000002</v>
      </c>
      <c r="U1704">
        <v>0</v>
      </c>
      <c r="V1704">
        <v>0</v>
      </c>
    </row>
    <row r="1705" spans="1:22" x14ac:dyDescent="0.2">
      <c r="A1705"/>
      <c r="B1705">
        <v>26066</v>
      </c>
      <c r="C1705" t="s">
        <v>3823</v>
      </c>
      <c r="D1705" t="s">
        <v>1045</v>
      </c>
      <c r="E1705" t="s">
        <v>3757</v>
      </c>
      <c r="F1705" t="s">
        <v>1915</v>
      </c>
      <c r="G1705">
        <v>5048.2667879800001</v>
      </c>
      <c r="H1705" t="s">
        <v>12</v>
      </c>
      <c r="Q1705">
        <v>4143.5998392199999</v>
      </c>
      <c r="R1705">
        <v>35312.879150399996</v>
      </c>
      <c r="S1705">
        <v>-14.9586063657</v>
      </c>
      <c r="T1705">
        <v>-99.982477469299994</v>
      </c>
      <c r="U1705">
        <v>0</v>
      </c>
      <c r="V1705">
        <v>0</v>
      </c>
    </row>
    <row r="1706" spans="1:22" x14ac:dyDescent="0.2">
      <c r="A1706"/>
      <c r="B1706">
        <v>26067</v>
      </c>
      <c r="C1706" t="s">
        <v>3824</v>
      </c>
      <c r="D1706" t="s">
        <v>1045</v>
      </c>
      <c r="E1706" t="s">
        <v>3757</v>
      </c>
      <c r="F1706" t="s">
        <v>1915</v>
      </c>
      <c r="G1706">
        <v>5048.2667879800001</v>
      </c>
      <c r="H1706" t="s">
        <v>1270</v>
      </c>
      <c r="Q1706">
        <v>4143.5998392199999</v>
      </c>
      <c r="R1706">
        <v>35312.879150399996</v>
      </c>
      <c r="S1706">
        <v>-14.9586063657</v>
      </c>
      <c r="T1706">
        <v>80.017522530700006</v>
      </c>
      <c r="U1706">
        <v>0</v>
      </c>
      <c r="V1706">
        <v>0</v>
      </c>
    </row>
    <row r="1707" spans="1:22" x14ac:dyDescent="0.2">
      <c r="A1707"/>
      <c r="B1707">
        <v>26068</v>
      </c>
      <c r="C1707" t="s">
        <v>3825</v>
      </c>
      <c r="D1707" t="s">
        <v>1045</v>
      </c>
      <c r="E1707" t="s">
        <v>3757</v>
      </c>
      <c r="F1707" t="s">
        <v>1915</v>
      </c>
      <c r="G1707">
        <v>5186.2357170300002</v>
      </c>
      <c r="H1707" t="s">
        <v>12</v>
      </c>
      <c r="Q1707">
        <v>4133.8108551100004</v>
      </c>
      <c r="R1707">
        <v>35176.052358499997</v>
      </c>
      <c r="S1707">
        <v>-14.911682370399999</v>
      </c>
      <c r="T1707">
        <v>-89.240266122199998</v>
      </c>
      <c r="U1707">
        <v>0</v>
      </c>
      <c r="V1707">
        <v>0</v>
      </c>
    </row>
    <row r="1708" spans="1:22" x14ac:dyDescent="0.2">
      <c r="A1708"/>
      <c r="B1708">
        <v>26069</v>
      </c>
      <c r="C1708" t="s">
        <v>3826</v>
      </c>
      <c r="D1708" t="s">
        <v>1045</v>
      </c>
      <c r="E1708" t="s">
        <v>3757</v>
      </c>
      <c r="F1708" t="s">
        <v>1915</v>
      </c>
      <c r="G1708">
        <v>5186.2357170300002</v>
      </c>
      <c r="H1708" t="s">
        <v>1270</v>
      </c>
      <c r="Q1708">
        <v>4133.8108551100004</v>
      </c>
      <c r="R1708">
        <v>35176.052358499997</v>
      </c>
      <c r="S1708">
        <v>-14.911682370399999</v>
      </c>
      <c r="T1708">
        <v>90.759733877800002</v>
      </c>
      <c r="U1708">
        <v>0</v>
      </c>
      <c r="V1708">
        <v>0</v>
      </c>
    </row>
    <row r="1709" spans="1:22" x14ac:dyDescent="0.2">
      <c r="A1709"/>
      <c r="B1709">
        <v>26070</v>
      </c>
      <c r="C1709" t="s">
        <v>3827</v>
      </c>
      <c r="D1709" t="s">
        <v>1045</v>
      </c>
      <c r="E1709" t="s">
        <v>3757</v>
      </c>
      <c r="F1709" t="s">
        <v>1915</v>
      </c>
      <c r="G1709">
        <v>5453.3751597600003</v>
      </c>
      <c r="H1709" t="s">
        <v>12</v>
      </c>
      <c r="Q1709">
        <v>4138.2978451999998</v>
      </c>
      <c r="R1709">
        <v>34909.0029067</v>
      </c>
      <c r="S1709">
        <v>-11.144136980500001</v>
      </c>
      <c r="T1709">
        <v>-88.8239645548</v>
      </c>
      <c r="U1709">
        <v>0</v>
      </c>
      <c r="V1709">
        <v>0</v>
      </c>
    </row>
    <row r="1710" spans="1:22" x14ac:dyDescent="0.2">
      <c r="A1710"/>
      <c r="B1710">
        <v>26071</v>
      </c>
      <c r="C1710" t="s">
        <v>3828</v>
      </c>
      <c r="D1710" t="s">
        <v>1045</v>
      </c>
      <c r="E1710" t="s">
        <v>3757</v>
      </c>
      <c r="F1710" t="s">
        <v>1915</v>
      </c>
      <c r="G1710">
        <v>5453.3751597600003</v>
      </c>
      <c r="H1710" t="s">
        <v>1270</v>
      </c>
      <c r="Q1710">
        <v>4138.2978451999998</v>
      </c>
      <c r="R1710">
        <v>34909.0029067</v>
      </c>
      <c r="S1710">
        <v>-11.144136980500001</v>
      </c>
      <c r="T1710">
        <v>91.1760354452</v>
      </c>
      <c r="U1710">
        <v>0</v>
      </c>
      <c r="V1710">
        <v>0</v>
      </c>
    </row>
    <row r="1711" spans="1:22" x14ac:dyDescent="0.2">
      <c r="A1711"/>
      <c r="B1711">
        <v>26072</v>
      </c>
      <c r="C1711" t="s">
        <v>3829</v>
      </c>
      <c r="D1711" t="s">
        <v>1045</v>
      </c>
      <c r="E1711" t="s">
        <v>3757</v>
      </c>
      <c r="F1711" t="s">
        <v>1915</v>
      </c>
      <c r="G1711">
        <v>5562.2995420699999</v>
      </c>
      <c r="H1711" t="s">
        <v>12</v>
      </c>
      <c r="Q1711">
        <v>4143.7960786200001</v>
      </c>
      <c r="R1711">
        <v>34800.403943099998</v>
      </c>
      <c r="S1711">
        <v>-11.135121847800001</v>
      </c>
      <c r="T1711">
        <v>-85.274988191600002</v>
      </c>
      <c r="U1711">
        <v>0</v>
      </c>
      <c r="V1711">
        <v>0</v>
      </c>
    </row>
    <row r="1712" spans="1:22" x14ac:dyDescent="0.2">
      <c r="A1712"/>
      <c r="B1712">
        <v>26073</v>
      </c>
      <c r="C1712" t="s">
        <v>3830</v>
      </c>
      <c r="D1712" t="s">
        <v>1045</v>
      </c>
      <c r="E1712" t="s">
        <v>3757</v>
      </c>
      <c r="F1712" t="s">
        <v>1915</v>
      </c>
      <c r="G1712">
        <v>5562.2995420699999</v>
      </c>
      <c r="H1712" t="s">
        <v>1270</v>
      </c>
      <c r="Q1712">
        <v>4143.7960786200001</v>
      </c>
      <c r="R1712">
        <v>34800.403943099998</v>
      </c>
      <c r="S1712">
        <v>-11.135121847800001</v>
      </c>
      <c r="T1712">
        <v>94.725011808399998</v>
      </c>
      <c r="U1712">
        <v>0</v>
      </c>
      <c r="V1712">
        <v>0</v>
      </c>
    </row>
    <row r="1713" spans="1:22" x14ac:dyDescent="0.2">
      <c r="A1713"/>
      <c r="B1713">
        <v>26074</v>
      </c>
      <c r="C1713" t="s">
        <v>3831</v>
      </c>
      <c r="D1713" t="s">
        <v>1045</v>
      </c>
      <c r="E1713" t="s">
        <v>3757</v>
      </c>
      <c r="F1713" t="s">
        <v>1915</v>
      </c>
      <c r="G1713">
        <v>5596.8088823600001</v>
      </c>
      <c r="H1713" t="s">
        <v>12</v>
      </c>
      <c r="Q1713">
        <v>4146.6843727799996</v>
      </c>
      <c r="R1713">
        <v>34766.015478499998</v>
      </c>
      <c r="S1713">
        <v>-11.1433108591</v>
      </c>
      <c r="T1713">
        <v>-85.279864524100006</v>
      </c>
      <c r="U1713">
        <v>0</v>
      </c>
      <c r="V1713">
        <v>0</v>
      </c>
    </row>
    <row r="1714" spans="1:22" x14ac:dyDescent="0.2">
      <c r="A1714"/>
      <c r="B1714">
        <v>26075</v>
      </c>
      <c r="C1714" t="s">
        <v>3832</v>
      </c>
      <c r="D1714" t="s">
        <v>1045</v>
      </c>
      <c r="E1714" t="s">
        <v>3757</v>
      </c>
      <c r="F1714" t="s">
        <v>1915</v>
      </c>
      <c r="G1714">
        <v>5596.8088823600001</v>
      </c>
      <c r="H1714" t="s">
        <v>1270</v>
      </c>
      <c r="Q1714">
        <v>4146.6843727799996</v>
      </c>
      <c r="R1714">
        <v>34766.015478499998</v>
      </c>
      <c r="S1714">
        <v>-11.1433108591</v>
      </c>
      <c r="T1714">
        <v>94.720135475899994</v>
      </c>
      <c r="U1714">
        <v>0</v>
      </c>
      <c r="V1714">
        <v>0</v>
      </c>
    </row>
    <row r="1715" spans="1:22" x14ac:dyDescent="0.2">
      <c r="A1715"/>
      <c r="B1715">
        <v>26076</v>
      </c>
      <c r="C1715" t="s">
        <v>3833</v>
      </c>
      <c r="D1715" t="s">
        <v>1045</v>
      </c>
      <c r="E1715" t="s">
        <v>1048</v>
      </c>
      <c r="F1715" t="s">
        <v>1915</v>
      </c>
      <c r="G1715">
        <v>5732.5488795199999</v>
      </c>
      <c r="H1715" t="s">
        <v>12</v>
      </c>
      <c r="Q1715">
        <v>4145.14642981</v>
      </c>
      <c r="R1715">
        <v>34630.131420799997</v>
      </c>
      <c r="S1715">
        <v>-11.15073153</v>
      </c>
      <c r="T1715">
        <v>-95.570325798200003</v>
      </c>
      <c r="U1715">
        <v>0</v>
      </c>
      <c r="V1715">
        <v>0</v>
      </c>
    </row>
    <row r="1716" spans="1:22" x14ac:dyDescent="0.2">
      <c r="A1716"/>
      <c r="B1716">
        <v>26077</v>
      </c>
      <c r="C1716" t="s">
        <v>3834</v>
      </c>
      <c r="D1716" t="s">
        <v>1045</v>
      </c>
      <c r="E1716" t="s">
        <v>3757</v>
      </c>
      <c r="F1716" t="s">
        <v>1915</v>
      </c>
      <c r="G1716">
        <v>5732.5488795199999</v>
      </c>
      <c r="H1716" t="s">
        <v>1270</v>
      </c>
      <c r="Q1716">
        <v>4145.14642981</v>
      </c>
      <c r="R1716">
        <v>34630.131420799997</v>
      </c>
      <c r="S1716">
        <v>-11.15073153</v>
      </c>
      <c r="T1716">
        <v>84.429674201799997</v>
      </c>
      <c r="U1716">
        <v>0</v>
      </c>
      <c r="V1716">
        <v>0</v>
      </c>
    </row>
    <row r="1717" spans="1:22" x14ac:dyDescent="0.2">
      <c r="A1717"/>
      <c r="B1717">
        <v>26078</v>
      </c>
      <c r="C1717" t="s">
        <v>3835</v>
      </c>
      <c r="D1717" t="s">
        <v>1045</v>
      </c>
      <c r="E1717" t="s">
        <v>3757</v>
      </c>
      <c r="F1717" t="s">
        <v>1915</v>
      </c>
      <c r="G1717">
        <v>5846.4981346000004</v>
      </c>
      <c r="H1717" t="s">
        <v>12</v>
      </c>
      <c r="Q1717">
        <v>4133.3603717200003</v>
      </c>
      <c r="R1717">
        <v>34516.7881222</v>
      </c>
      <c r="S1717">
        <v>-11.897763211299999</v>
      </c>
      <c r="T1717">
        <v>-95.817651395200002</v>
      </c>
      <c r="U1717">
        <v>0</v>
      </c>
      <c r="V1717">
        <v>0</v>
      </c>
    </row>
    <row r="1718" spans="1:22" x14ac:dyDescent="0.2">
      <c r="A1718"/>
      <c r="B1718">
        <v>26079</v>
      </c>
      <c r="C1718" t="s">
        <v>3836</v>
      </c>
      <c r="D1718" t="s">
        <v>1045</v>
      </c>
      <c r="E1718" t="s">
        <v>1048</v>
      </c>
      <c r="F1718" t="s">
        <v>1915</v>
      </c>
      <c r="G1718">
        <v>5846.4981346000004</v>
      </c>
      <c r="H1718" t="s">
        <v>1270</v>
      </c>
      <c r="Q1718">
        <v>4133.3603717200003</v>
      </c>
      <c r="R1718">
        <v>34516.7881222</v>
      </c>
      <c r="S1718">
        <v>-11.897763211299999</v>
      </c>
      <c r="T1718">
        <v>84.182348604799998</v>
      </c>
      <c r="U1718">
        <v>0</v>
      </c>
      <c r="V1718">
        <v>0</v>
      </c>
    </row>
    <row r="1719" spans="1:22" x14ac:dyDescent="0.2">
      <c r="A1719"/>
      <c r="B1719">
        <v>26080</v>
      </c>
      <c r="C1719" t="s">
        <v>3837</v>
      </c>
      <c r="D1719" t="s">
        <v>1045</v>
      </c>
      <c r="E1719" t="s">
        <v>3757</v>
      </c>
      <c r="F1719" t="s">
        <v>1915</v>
      </c>
      <c r="G1719">
        <v>5945.6367238100001</v>
      </c>
      <c r="H1719" t="s">
        <v>12</v>
      </c>
      <c r="Q1719">
        <v>4124.5841822499997</v>
      </c>
      <c r="R1719">
        <v>34418.112916300001</v>
      </c>
      <c r="S1719">
        <v>-13.624128580400001</v>
      </c>
      <c r="T1719">
        <v>-94.528961442400004</v>
      </c>
      <c r="U1719">
        <v>0</v>
      </c>
      <c r="V1719">
        <v>0</v>
      </c>
    </row>
    <row r="1720" spans="1:22" x14ac:dyDescent="0.2">
      <c r="A1720"/>
      <c r="B1720">
        <v>26081</v>
      </c>
      <c r="C1720" t="s">
        <v>3838</v>
      </c>
      <c r="D1720" t="s">
        <v>1045</v>
      </c>
      <c r="E1720" t="s">
        <v>3757</v>
      </c>
      <c r="F1720" t="s">
        <v>1915</v>
      </c>
      <c r="G1720">
        <v>5945.6367238100001</v>
      </c>
      <c r="H1720" t="s">
        <v>1270</v>
      </c>
      <c r="Q1720">
        <v>4124.5841822499997</v>
      </c>
      <c r="R1720">
        <v>34418.112916300001</v>
      </c>
      <c r="S1720">
        <v>-13.624128580400001</v>
      </c>
      <c r="T1720">
        <v>85.471038557599996</v>
      </c>
      <c r="U1720">
        <v>0</v>
      </c>
      <c r="V1720">
        <v>0</v>
      </c>
    </row>
    <row r="1721" spans="1:22" x14ac:dyDescent="0.2">
      <c r="A1721"/>
      <c r="B1721">
        <v>26082</v>
      </c>
      <c r="C1721" t="s">
        <v>3839</v>
      </c>
      <c r="D1721" t="s">
        <v>1045</v>
      </c>
      <c r="E1721" t="s">
        <v>3757</v>
      </c>
      <c r="F1721" t="s">
        <v>1915</v>
      </c>
      <c r="G1721">
        <v>6106.6575011300001</v>
      </c>
      <c r="H1721" t="s">
        <v>12</v>
      </c>
      <c r="Q1721">
        <v>4112.3594455599996</v>
      </c>
      <c r="R1721">
        <v>34257.576507400001</v>
      </c>
      <c r="S1721">
        <v>-14.5944867706</v>
      </c>
      <c r="T1721">
        <v>-94.203228382199995</v>
      </c>
      <c r="U1721">
        <v>0</v>
      </c>
      <c r="V1721">
        <v>0</v>
      </c>
    </row>
    <row r="1722" spans="1:22" x14ac:dyDescent="0.2">
      <c r="A1722"/>
      <c r="B1722">
        <v>26083</v>
      </c>
      <c r="C1722" t="s">
        <v>3840</v>
      </c>
      <c r="D1722" t="s">
        <v>1045</v>
      </c>
      <c r="E1722" t="s">
        <v>3757</v>
      </c>
      <c r="F1722" t="s">
        <v>1915</v>
      </c>
      <c r="G1722">
        <v>6106.6575011300001</v>
      </c>
      <c r="H1722" t="s">
        <v>1270</v>
      </c>
      <c r="Q1722">
        <v>4112.3594455599996</v>
      </c>
      <c r="R1722">
        <v>34257.576507400001</v>
      </c>
      <c r="S1722">
        <v>-14.5944867706</v>
      </c>
      <c r="T1722">
        <v>85.796771617800005</v>
      </c>
      <c r="U1722">
        <v>0</v>
      </c>
      <c r="V1722">
        <v>0</v>
      </c>
    </row>
    <row r="1723" spans="1:22" x14ac:dyDescent="0.2">
      <c r="A1723"/>
      <c r="B1723">
        <v>26084</v>
      </c>
      <c r="C1723" t="s">
        <v>3841</v>
      </c>
      <c r="D1723" t="s">
        <v>1045</v>
      </c>
      <c r="E1723" t="s">
        <v>3757</v>
      </c>
      <c r="F1723" t="s">
        <v>1915</v>
      </c>
      <c r="G1723">
        <v>6284.4636997799998</v>
      </c>
      <c r="H1723" t="s">
        <v>12</v>
      </c>
      <c r="Q1723">
        <v>4103.2305118499999</v>
      </c>
      <c r="R1723">
        <v>34080.175641599999</v>
      </c>
      <c r="S1723">
        <v>-11.503541204699999</v>
      </c>
      <c r="T1723">
        <v>-91.599356881700004</v>
      </c>
      <c r="U1723">
        <v>0</v>
      </c>
      <c r="V1723">
        <v>0</v>
      </c>
    </row>
    <row r="1724" spans="1:22" x14ac:dyDescent="0.2">
      <c r="A1724"/>
      <c r="B1724">
        <v>26085</v>
      </c>
      <c r="C1724" t="s">
        <v>3842</v>
      </c>
      <c r="D1724" t="s">
        <v>1045</v>
      </c>
      <c r="E1724" t="s">
        <v>3757</v>
      </c>
      <c r="F1724" t="s">
        <v>1915</v>
      </c>
      <c r="G1724">
        <v>6284.4636997799998</v>
      </c>
      <c r="H1724" t="s">
        <v>1270</v>
      </c>
      <c r="Q1724">
        <v>4103.2305118499999</v>
      </c>
      <c r="R1724">
        <v>34080.175641599999</v>
      </c>
      <c r="S1724">
        <v>-11.503541204699999</v>
      </c>
      <c r="T1724">
        <v>88.400643118299996</v>
      </c>
      <c r="U1724">
        <v>0</v>
      </c>
      <c r="V1724">
        <v>0</v>
      </c>
    </row>
    <row r="1725" spans="1:22" x14ac:dyDescent="0.2">
      <c r="A1725"/>
      <c r="B1725">
        <v>26086</v>
      </c>
      <c r="C1725" t="s">
        <v>3843</v>
      </c>
      <c r="D1725" t="s">
        <v>1045</v>
      </c>
      <c r="E1725" t="s">
        <v>3757</v>
      </c>
      <c r="F1725" t="s">
        <v>1915</v>
      </c>
      <c r="G1725">
        <v>6573.4818687400002</v>
      </c>
      <c r="H1725" t="s">
        <v>12</v>
      </c>
      <c r="Q1725">
        <v>4096.1793165099998</v>
      </c>
      <c r="R1725">
        <v>33791.251858800002</v>
      </c>
      <c r="S1725">
        <v>-11.1630745756</v>
      </c>
      <c r="T1725">
        <v>-91.586869184999998</v>
      </c>
      <c r="U1725">
        <v>0</v>
      </c>
      <c r="V1725">
        <v>0</v>
      </c>
    </row>
    <row r="1726" spans="1:22" x14ac:dyDescent="0.2">
      <c r="A1726"/>
      <c r="B1726">
        <v>26087</v>
      </c>
      <c r="C1726" t="s">
        <v>3844</v>
      </c>
      <c r="D1726" t="s">
        <v>1045</v>
      </c>
      <c r="E1726" t="s">
        <v>3757</v>
      </c>
      <c r="F1726" t="s">
        <v>1915</v>
      </c>
      <c r="G1726">
        <v>6573.4818687400002</v>
      </c>
      <c r="H1726" t="s">
        <v>1270</v>
      </c>
      <c r="Q1726">
        <v>4096.1793165099998</v>
      </c>
      <c r="R1726">
        <v>33791.251858800002</v>
      </c>
      <c r="S1726">
        <v>-11.1630745756</v>
      </c>
      <c r="T1726">
        <v>88.413130815000002</v>
      </c>
      <c r="U1726">
        <v>0</v>
      </c>
      <c r="V1726">
        <v>0</v>
      </c>
    </row>
    <row r="1727" spans="1:22" x14ac:dyDescent="0.2">
      <c r="A1727"/>
      <c r="B1727">
        <v>26088</v>
      </c>
      <c r="C1727" t="s">
        <v>3845</v>
      </c>
      <c r="D1727" t="s">
        <v>1045</v>
      </c>
      <c r="E1727" t="s">
        <v>3757</v>
      </c>
      <c r="F1727" t="s">
        <v>1915</v>
      </c>
      <c r="G1727">
        <v>6737.0444104999997</v>
      </c>
      <c r="H1727" t="s">
        <v>12</v>
      </c>
      <c r="Q1727">
        <v>4075.96110903</v>
      </c>
      <c r="R1727">
        <v>33628.883452900001</v>
      </c>
      <c r="S1727">
        <v>-14.5222780392</v>
      </c>
      <c r="T1727">
        <v>-103.329770045</v>
      </c>
      <c r="U1727">
        <v>0</v>
      </c>
      <c r="V1727">
        <v>0</v>
      </c>
    </row>
    <row r="1728" spans="1:22" x14ac:dyDescent="0.2">
      <c r="A1728"/>
      <c r="B1728">
        <v>26089</v>
      </c>
      <c r="C1728" t="s">
        <v>3846</v>
      </c>
      <c r="D1728" t="s">
        <v>1045</v>
      </c>
      <c r="E1728" t="s">
        <v>3757</v>
      </c>
      <c r="F1728" t="s">
        <v>1915</v>
      </c>
      <c r="G1728">
        <v>6737.0444104999997</v>
      </c>
      <c r="H1728" t="s">
        <v>1270</v>
      </c>
      <c r="Q1728">
        <v>4075.96110903</v>
      </c>
      <c r="R1728">
        <v>33628.883452900001</v>
      </c>
      <c r="S1728">
        <v>-14.5222780392</v>
      </c>
      <c r="T1728">
        <v>76.670229954700005</v>
      </c>
      <c r="U1728">
        <v>0</v>
      </c>
      <c r="V1728">
        <v>0</v>
      </c>
    </row>
    <row r="1729" spans="1:22" x14ac:dyDescent="0.2">
      <c r="A1729"/>
      <c r="B1729">
        <v>26090</v>
      </c>
      <c r="C1729" t="s">
        <v>3847</v>
      </c>
      <c r="D1729" t="s">
        <v>1045</v>
      </c>
      <c r="E1729" t="s">
        <v>3757</v>
      </c>
      <c r="F1729" t="s">
        <v>1915</v>
      </c>
      <c r="G1729">
        <v>6829.0367312199996</v>
      </c>
      <c r="H1729" t="s">
        <v>12</v>
      </c>
      <c r="Q1729">
        <v>4054.5374726300001</v>
      </c>
      <c r="R1729">
        <v>33539.426195100001</v>
      </c>
      <c r="S1729">
        <v>-16.279560053800001</v>
      </c>
      <c r="T1729">
        <v>-103.59858482999999</v>
      </c>
      <c r="U1729">
        <v>0</v>
      </c>
      <c r="V1729">
        <v>0</v>
      </c>
    </row>
    <row r="1730" spans="1:22" x14ac:dyDescent="0.2">
      <c r="A1730"/>
      <c r="B1730">
        <v>26091</v>
      </c>
      <c r="C1730" t="s">
        <v>3848</v>
      </c>
      <c r="D1730" t="s">
        <v>1045</v>
      </c>
      <c r="E1730" t="s">
        <v>3757</v>
      </c>
      <c r="F1730" t="s">
        <v>1915</v>
      </c>
      <c r="G1730">
        <v>6829.0367312199996</v>
      </c>
      <c r="H1730" t="s">
        <v>1270</v>
      </c>
      <c r="Q1730">
        <v>4054.5374726300001</v>
      </c>
      <c r="R1730">
        <v>33539.426195100001</v>
      </c>
      <c r="S1730">
        <v>-16.279560053800001</v>
      </c>
      <c r="T1730">
        <v>76.401415170199996</v>
      </c>
      <c r="U1730">
        <v>0</v>
      </c>
      <c r="V1730">
        <v>0</v>
      </c>
    </row>
    <row r="1731" spans="1:22" x14ac:dyDescent="0.2">
      <c r="A1731"/>
      <c r="B1731">
        <v>26092</v>
      </c>
      <c r="C1731" t="s">
        <v>3849</v>
      </c>
      <c r="D1731" t="s">
        <v>1045</v>
      </c>
      <c r="E1731" t="s">
        <v>3757</v>
      </c>
      <c r="F1731" t="s">
        <v>1915</v>
      </c>
      <c r="G1731">
        <v>7063.1918923200001</v>
      </c>
      <c r="H1731" t="s">
        <v>12</v>
      </c>
      <c r="Q1731">
        <v>3969.4934698299999</v>
      </c>
      <c r="R1731">
        <v>33321.626242300001</v>
      </c>
      <c r="S1731">
        <v>-14.529659774900001</v>
      </c>
      <c r="T1731">
        <v>-119.901906806</v>
      </c>
      <c r="U1731">
        <v>0</v>
      </c>
      <c r="V1731">
        <v>0</v>
      </c>
    </row>
    <row r="1732" spans="1:22" x14ac:dyDescent="0.2">
      <c r="A1732"/>
      <c r="B1732">
        <v>26093</v>
      </c>
      <c r="C1732" t="s">
        <v>3850</v>
      </c>
      <c r="D1732" t="s">
        <v>1045</v>
      </c>
      <c r="E1732" t="s">
        <v>3757</v>
      </c>
      <c r="F1732" t="s">
        <v>1915</v>
      </c>
      <c r="G1732">
        <v>7063.1918923200001</v>
      </c>
      <c r="H1732" t="s">
        <v>1270</v>
      </c>
      <c r="Q1732">
        <v>3969.4934698299999</v>
      </c>
      <c r="R1732">
        <v>33321.626242300001</v>
      </c>
      <c r="S1732">
        <v>-14.529659774900001</v>
      </c>
      <c r="T1732">
        <v>60.0980931936</v>
      </c>
      <c r="U1732">
        <v>0</v>
      </c>
      <c r="V1732">
        <v>0</v>
      </c>
    </row>
    <row r="1733" spans="1:22" x14ac:dyDescent="0.2">
      <c r="A1733"/>
      <c r="B1733">
        <v>26094</v>
      </c>
      <c r="C1733" t="s">
        <v>3851</v>
      </c>
      <c r="D1733" t="s">
        <v>1045</v>
      </c>
      <c r="E1733" t="s">
        <v>1048</v>
      </c>
      <c r="F1733" t="s">
        <v>1915</v>
      </c>
      <c r="G1733">
        <v>7101.1130625799997</v>
      </c>
      <c r="H1733" t="s">
        <v>12</v>
      </c>
      <c r="Q1733">
        <v>3950.5157586700002</v>
      </c>
      <c r="R1733">
        <v>33288.790422899998</v>
      </c>
      <c r="S1733">
        <v>-13.749551197700001</v>
      </c>
      <c r="T1733">
        <v>-120.186487363</v>
      </c>
      <c r="U1733">
        <v>0</v>
      </c>
      <c r="V1733">
        <v>0</v>
      </c>
    </row>
    <row r="1734" spans="1:22" x14ac:dyDescent="0.2">
      <c r="A1734"/>
      <c r="B1734">
        <v>26095</v>
      </c>
      <c r="C1734" t="s">
        <v>3852</v>
      </c>
      <c r="D1734" t="s">
        <v>1045</v>
      </c>
      <c r="E1734" t="s">
        <v>3757</v>
      </c>
      <c r="F1734" t="s">
        <v>1915</v>
      </c>
      <c r="G1734">
        <v>7101.1130625799997</v>
      </c>
      <c r="H1734" t="s">
        <v>1270</v>
      </c>
      <c r="Q1734">
        <v>3950.5157586700002</v>
      </c>
      <c r="R1734">
        <v>33288.790422899998</v>
      </c>
      <c r="S1734">
        <v>-13.749551197700001</v>
      </c>
      <c r="T1734">
        <v>59.813512637000002</v>
      </c>
      <c r="U1734">
        <v>0</v>
      </c>
      <c r="V1734">
        <v>0</v>
      </c>
    </row>
    <row r="1735" spans="1:22" x14ac:dyDescent="0.2">
      <c r="A1735"/>
      <c r="B1735">
        <v>26096</v>
      </c>
      <c r="C1735" t="s">
        <v>3853</v>
      </c>
      <c r="D1735" t="s">
        <v>1045</v>
      </c>
      <c r="E1735" t="s">
        <v>1048</v>
      </c>
      <c r="F1735" t="s">
        <v>1915</v>
      </c>
      <c r="G1735">
        <v>7285.7820252199999</v>
      </c>
      <c r="H1735" t="s">
        <v>12</v>
      </c>
      <c r="Q1735">
        <v>3834.3221317100001</v>
      </c>
      <c r="R1735">
        <v>33145.843531300001</v>
      </c>
      <c r="S1735">
        <v>-11.278494396699999</v>
      </c>
      <c r="T1735">
        <v>-139.44220164699999</v>
      </c>
      <c r="U1735">
        <v>0</v>
      </c>
      <c r="V1735">
        <v>0</v>
      </c>
    </row>
    <row r="1736" spans="1:22" x14ac:dyDescent="0.2">
      <c r="A1736"/>
      <c r="B1736">
        <v>26097</v>
      </c>
      <c r="C1736" t="s">
        <v>3854</v>
      </c>
      <c r="D1736" t="s">
        <v>1045</v>
      </c>
      <c r="E1736" t="s">
        <v>1048</v>
      </c>
      <c r="F1736" t="s">
        <v>1915</v>
      </c>
      <c r="G1736">
        <v>7285.7820252199999</v>
      </c>
      <c r="H1736" t="s">
        <v>1270</v>
      </c>
      <c r="Q1736">
        <v>3834.3221317100001</v>
      </c>
      <c r="R1736">
        <v>33145.843531300001</v>
      </c>
      <c r="S1736">
        <v>-11.278494396699999</v>
      </c>
      <c r="T1736">
        <v>40.557798353199999</v>
      </c>
      <c r="U1736">
        <v>0</v>
      </c>
      <c r="V1736">
        <v>0</v>
      </c>
    </row>
    <row r="1737" spans="1:22" x14ac:dyDescent="0.2">
      <c r="A1737"/>
      <c r="B1737">
        <v>26098</v>
      </c>
      <c r="C1737" t="s">
        <v>3855</v>
      </c>
      <c r="D1737" t="s">
        <v>1045</v>
      </c>
      <c r="E1737" t="s">
        <v>3757</v>
      </c>
      <c r="F1737" t="s">
        <v>1915</v>
      </c>
      <c r="G1737">
        <v>7409.2824489900004</v>
      </c>
      <c r="H1737" t="s">
        <v>12</v>
      </c>
      <c r="Q1737">
        <v>3744.7643722900002</v>
      </c>
      <c r="R1737">
        <v>33061.371483000003</v>
      </c>
      <c r="S1737">
        <v>-11.283896631399999</v>
      </c>
      <c r="T1737">
        <v>-132.95068806</v>
      </c>
      <c r="U1737">
        <v>0</v>
      </c>
      <c r="V1737">
        <v>0</v>
      </c>
    </row>
    <row r="1738" spans="1:22" x14ac:dyDescent="0.2">
      <c r="A1738"/>
      <c r="B1738">
        <v>26099</v>
      </c>
      <c r="C1738" t="s">
        <v>3856</v>
      </c>
      <c r="D1738" t="s">
        <v>1045</v>
      </c>
      <c r="E1738" t="s">
        <v>1048</v>
      </c>
      <c r="F1738" t="s">
        <v>1915</v>
      </c>
      <c r="G1738">
        <v>7409.2824489900004</v>
      </c>
      <c r="H1738" t="s">
        <v>1270</v>
      </c>
      <c r="Q1738">
        <v>3744.7643722900002</v>
      </c>
      <c r="R1738">
        <v>33061.371483000003</v>
      </c>
      <c r="S1738">
        <v>-11.283896631399999</v>
      </c>
      <c r="T1738">
        <v>47.049311940499997</v>
      </c>
      <c r="U1738">
        <v>0</v>
      </c>
      <c r="V1738">
        <v>0</v>
      </c>
    </row>
    <row r="1739" spans="1:22" x14ac:dyDescent="0.2">
      <c r="A1739"/>
      <c r="B1739">
        <v>26100</v>
      </c>
      <c r="C1739" t="s">
        <v>3857</v>
      </c>
      <c r="D1739" t="s">
        <v>1045</v>
      </c>
      <c r="E1739" t="s">
        <v>1049</v>
      </c>
      <c r="F1739" t="s">
        <v>1915</v>
      </c>
      <c r="G1739">
        <v>7434.8760616999998</v>
      </c>
      <c r="H1739" t="s">
        <v>12</v>
      </c>
      <c r="Q1739">
        <v>3727.38077002</v>
      </c>
      <c r="R1739">
        <v>33042.606108699998</v>
      </c>
      <c r="S1739">
        <v>-11.281757152699999</v>
      </c>
      <c r="T1739">
        <v>-132.636095044</v>
      </c>
      <c r="U1739">
        <v>0</v>
      </c>
      <c r="V1739">
        <v>0</v>
      </c>
    </row>
    <row r="1740" spans="1:22" x14ac:dyDescent="0.2">
      <c r="A1740"/>
      <c r="B1740">
        <v>26101</v>
      </c>
      <c r="C1740" t="s">
        <v>3858</v>
      </c>
      <c r="D1740" t="s">
        <v>1045</v>
      </c>
      <c r="E1740" t="s">
        <v>3757</v>
      </c>
      <c r="F1740" t="s">
        <v>1915</v>
      </c>
      <c r="G1740">
        <v>7434.8760616999998</v>
      </c>
      <c r="H1740" t="s">
        <v>1270</v>
      </c>
      <c r="Q1740">
        <v>3727.38077002</v>
      </c>
      <c r="R1740">
        <v>33042.606108699998</v>
      </c>
      <c r="S1740">
        <v>-11.281757152699999</v>
      </c>
      <c r="T1740">
        <v>47.363904956399999</v>
      </c>
      <c r="U1740">
        <v>0</v>
      </c>
      <c r="V1740">
        <v>0</v>
      </c>
    </row>
    <row r="1741" spans="1:22" x14ac:dyDescent="0.2">
      <c r="A1741"/>
      <c r="B1741">
        <v>26102</v>
      </c>
      <c r="C1741" t="s">
        <v>3859</v>
      </c>
      <c r="D1741" t="s">
        <v>1045</v>
      </c>
      <c r="E1741" t="s">
        <v>3757</v>
      </c>
      <c r="F1741" t="s">
        <v>1915</v>
      </c>
      <c r="G1741">
        <v>7592.9933619599997</v>
      </c>
      <c r="H1741" t="s">
        <v>12</v>
      </c>
      <c r="Q1741">
        <v>3627.5899436</v>
      </c>
      <c r="R1741">
        <v>32920.564456599997</v>
      </c>
      <c r="S1741">
        <v>-11.2841145067</v>
      </c>
      <c r="T1741">
        <v>-125.18107060600001</v>
      </c>
      <c r="U1741">
        <v>0</v>
      </c>
      <c r="V1741">
        <v>0</v>
      </c>
    </row>
    <row r="1742" spans="1:22" x14ac:dyDescent="0.2">
      <c r="A1742"/>
      <c r="B1742">
        <v>26103</v>
      </c>
      <c r="C1742" t="s">
        <v>3860</v>
      </c>
      <c r="D1742" t="s">
        <v>1045</v>
      </c>
      <c r="E1742" t="s">
        <v>1049</v>
      </c>
      <c r="F1742" t="s">
        <v>1915</v>
      </c>
      <c r="G1742">
        <v>7592.9933619599997</v>
      </c>
      <c r="H1742" t="s">
        <v>1270</v>
      </c>
      <c r="Q1742">
        <v>3627.5899436</v>
      </c>
      <c r="R1742">
        <v>32920.564456599997</v>
      </c>
      <c r="S1742">
        <v>-11.2841145067</v>
      </c>
      <c r="T1742">
        <v>54.818929394000001</v>
      </c>
      <c r="U1742">
        <v>0</v>
      </c>
      <c r="V1742">
        <v>0</v>
      </c>
    </row>
    <row r="1743" spans="1:22" x14ac:dyDescent="0.2">
      <c r="A1743"/>
      <c r="B1743">
        <v>26104</v>
      </c>
      <c r="C1743" t="s">
        <v>3861</v>
      </c>
      <c r="D1743" t="s">
        <v>1045</v>
      </c>
      <c r="E1743" t="s">
        <v>3757</v>
      </c>
      <c r="F1743" t="s">
        <v>1915</v>
      </c>
      <c r="G1743">
        <v>7617.4529566900001</v>
      </c>
      <c r="H1743" t="s">
        <v>12</v>
      </c>
      <c r="Q1743">
        <v>3613.5298441899999</v>
      </c>
      <c r="R1743">
        <v>32900.551941400001</v>
      </c>
      <c r="S1743">
        <v>-11.288121351599999</v>
      </c>
      <c r="T1743">
        <v>-125.141572561</v>
      </c>
      <c r="U1743">
        <v>0</v>
      </c>
      <c r="V1743">
        <v>0</v>
      </c>
    </row>
    <row r="1744" spans="1:22" x14ac:dyDescent="0.2">
      <c r="A1744"/>
      <c r="B1744">
        <v>26105</v>
      </c>
      <c r="C1744" t="s">
        <v>3862</v>
      </c>
      <c r="D1744" t="s">
        <v>1045</v>
      </c>
      <c r="E1744" t="s">
        <v>3757</v>
      </c>
      <c r="F1744" t="s">
        <v>1915</v>
      </c>
      <c r="G1744">
        <v>7617.4529566900001</v>
      </c>
      <c r="H1744" t="s">
        <v>1270</v>
      </c>
      <c r="Q1744">
        <v>3613.5298441899999</v>
      </c>
      <c r="R1744">
        <v>32900.551941400001</v>
      </c>
      <c r="S1744">
        <v>-11.288121351599999</v>
      </c>
      <c r="T1744">
        <v>54.8584274388</v>
      </c>
      <c r="U1744">
        <v>0</v>
      </c>
      <c r="V1744">
        <v>0</v>
      </c>
    </row>
    <row r="1745" spans="1:22" x14ac:dyDescent="0.2">
      <c r="A1745"/>
      <c r="B1745">
        <v>26106</v>
      </c>
      <c r="C1745" t="s">
        <v>3863</v>
      </c>
      <c r="D1745" t="s">
        <v>1045</v>
      </c>
      <c r="E1745" t="s">
        <v>3757</v>
      </c>
      <c r="F1745" t="s">
        <v>1915</v>
      </c>
      <c r="G1745">
        <v>7746.1835496000003</v>
      </c>
      <c r="H1745" t="s">
        <v>12</v>
      </c>
      <c r="Q1745">
        <v>3548.11374617</v>
      </c>
      <c r="R1745">
        <v>32790.446520199999</v>
      </c>
      <c r="S1745">
        <v>-11.281370795599999</v>
      </c>
      <c r="T1745">
        <v>-115.309227941</v>
      </c>
      <c r="U1745">
        <v>0</v>
      </c>
      <c r="V1745">
        <v>0</v>
      </c>
    </row>
    <row r="1746" spans="1:22" x14ac:dyDescent="0.2">
      <c r="A1746"/>
      <c r="B1746">
        <v>26107</v>
      </c>
      <c r="C1746" t="s">
        <v>3864</v>
      </c>
      <c r="D1746" t="s">
        <v>1045</v>
      </c>
      <c r="E1746" t="s">
        <v>3757</v>
      </c>
      <c r="F1746" t="s">
        <v>1915</v>
      </c>
      <c r="G1746">
        <v>7746.1835496000003</v>
      </c>
      <c r="H1746" t="s">
        <v>1270</v>
      </c>
      <c r="Q1746">
        <v>3548.11374617</v>
      </c>
      <c r="R1746">
        <v>32790.446520199999</v>
      </c>
      <c r="S1746">
        <v>-11.281370795599999</v>
      </c>
      <c r="T1746">
        <v>64.690772058600004</v>
      </c>
      <c r="U1746">
        <v>0</v>
      </c>
      <c r="V1746">
        <v>0</v>
      </c>
    </row>
    <row r="1747" spans="1:22" x14ac:dyDescent="0.2">
      <c r="A1747"/>
      <c r="B1747">
        <v>26108</v>
      </c>
      <c r="C1747" t="s">
        <v>3865</v>
      </c>
      <c r="D1747" t="s">
        <v>1045</v>
      </c>
      <c r="E1747" t="s">
        <v>1048</v>
      </c>
      <c r="F1747" t="s">
        <v>2313</v>
      </c>
      <c r="G1747">
        <v>90.731977180499996</v>
      </c>
      <c r="H1747" t="s">
        <v>12</v>
      </c>
      <c r="Q1747">
        <v>3481.7983076199998</v>
      </c>
      <c r="R1747">
        <v>32647.446594199999</v>
      </c>
      <c r="S1747">
        <v>-11.220319101299999</v>
      </c>
      <c r="T1747">
        <v>-114.84997516200001</v>
      </c>
      <c r="U1747">
        <v>0</v>
      </c>
      <c r="V1747">
        <v>0</v>
      </c>
    </row>
    <row r="1748" spans="1:22" x14ac:dyDescent="0.2">
      <c r="A1748"/>
      <c r="B1748">
        <v>26109</v>
      </c>
      <c r="C1748" t="s">
        <v>3866</v>
      </c>
      <c r="D1748" t="s">
        <v>1045</v>
      </c>
      <c r="E1748" t="s">
        <v>3757</v>
      </c>
      <c r="F1748" t="s">
        <v>2313</v>
      </c>
      <c r="G1748">
        <v>90.731977180499996</v>
      </c>
      <c r="H1748" t="s">
        <v>1270</v>
      </c>
      <c r="Q1748">
        <v>3481.7983076199998</v>
      </c>
      <c r="R1748">
        <v>32647.446594199999</v>
      </c>
      <c r="S1748">
        <v>-11.220319101299999</v>
      </c>
      <c r="T1748">
        <v>65.150024837900006</v>
      </c>
      <c r="U1748">
        <v>0</v>
      </c>
      <c r="V1748">
        <v>0</v>
      </c>
    </row>
    <row r="1749" spans="1:22" x14ac:dyDescent="0.2">
      <c r="A1749"/>
      <c r="B1749">
        <v>26110</v>
      </c>
      <c r="C1749" t="s">
        <v>3867</v>
      </c>
      <c r="D1749" t="s">
        <v>1045</v>
      </c>
      <c r="E1749" t="s">
        <v>3757</v>
      </c>
      <c r="F1749" t="s">
        <v>2313</v>
      </c>
      <c r="G1749">
        <v>261.520294444</v>
      </c>
      <c r="H1749" t="s">
        <v>12</v>
      </c>
      <c r="Q1749">
        <v>3432.98857662</v>
      </c>
      <c r="R1749">
        <v>32485.326443599999</v>
      </c>
      <c r="S1749">
        <v>-10.764187206300001</v>
      </c>
      <c r="T1749">
        <v>-99.701968723700006</v>
      </c>
      <c r="U1749">
        <v>0</v>
      </c>
      <c r="V1749">
        <v>0</v>
      </c>
    </row>
    <row r="1750" spans="1:22" x14ac:dyDescent="0.2">
      <c r="A1750"/>
      <c r="B1750">
        <v>26111</v>
      </c>
      <c r="C1750" t="s">
        <v>3868</v>
      </c>
      <c r="D1750" t="s">
        <v>1045</v>
      </c>
      <c r="E1750" t="s">
        <v>1048</v>
      </c>
      <c r="F1750" t="s">
        <v>2313</v>
      </c>
      <c r="G1750">
        <v>261.520294444</v>
      </c>
      <c r="H1750" t="s">
        <v>1270</v>
      </c>
      <c r="Q1750">
        <v>3432.98857662</v>
      </c>
      <c r="R1750">
        <v>32485.326443599999</v>
      </c>
      <c r="S1750">
        <v>-10.764187206300001</v>
      </c>
      <c r="T1750">
        <v>80.298031276299994</v>
      </c>
      <c r="U1750">
        <v>0</v>
      </c>
      <c r="V1750">
        <v>0</v>
      </c>
    </row>
    <row r="1751" spans="1:22" x14ac:dyDescent="0.2">
      <c r="A1751"/>
      <c r="B1751">
        <v>26112</v>
      </c>
      <c r="C1751" t="s">
        <v>3869</v>
      </c>
      <c r="D1751" t="s">
        <v>1045</v>
      </c>
      <c r="E1751" t="s">
        <v>3757</v>
      </c>
      <c r="F1751" t="s">
        <v>2316</v>
      </c>
      <c r="G1751">
        <v>227.23816042300001</v>
      </c>
      <c r="H1751" t="s">
        <v>12</v>
      </c>
      <c r="Q1751">
        <v>3391.2754123</v>
      </c>
      <c r="R1751">
        <v>32241.4831729</v>
      </c>
      <c r="S1751">
        <v>-10.774915257</v>
      </c>
      <c r="T1751">
        <v>-99.939460581399999</v>
      </c>
      <c r="U1751">
        <v>0</v>
      </c>
      <c r="V1751">
        <v>0</v>
      </c>
    </row>
    <row r="1752" spans="1:22" x14ac:dyDescent="0.2">
      <c r="A1752"/>
      <c r="B1752">
        <v>26113</v>
      </c>
      <c r="C1752" t="s">
        <v>3870</v>
      </c>
      <c r="D1752" t="s">
        <v>1045</v>
      </c>
      <c r="E1752" t="s">
        <v>3757</v>
      </c>
      <c r="F1752" t="s">
        <v>2316</v>
      </c>
      <c r="G1752">
        <v>227.23816042300001</v>
      </c>
      <c r="H1752" t="s">
        <v>1270</v>
      </c>
      <c r="Q1752">
        <v>3391.2754123</v>
      </c>
      <c r="R1752">
        <v>32241.4831729</v>
      </c>
      <c r="S1752">
        <v>-10.774915257</v>
      </c>
      <c r="T1752">
        <v>80.060539418600001</v>
      </c>
      <c r="U1752">
        <v>0</v>
      </c>
      <c r="V1752">
        <v>0</v>
      </c>
    </row>
    <row r="1753" spans="1:22" x14ac:dyDescent="0.2">
      <c r="A1753"/>
      <c r="B1753">
        <v>26114</v>
      </c>
      <c r="C1753" t="s">
        <v>3871</v>
      </c>
      <c r="D1753" t="s">
        <v>1045</v>
      </c>
      <c r="E1753" t="s">
        <v>3757</v>
      </c>
      <c r="F1753" t="s">
        <v>2316</v>
      </c>
      <c r="G1753">
        <v>350.76067654899998</v>
      </c>
      <c r="H1753" t="s">
        <v>12</v>
      </c>
      <c r="Q1753">
        <v>3365.3732778499998</v>
      </c>
      <c r="R1753">
        <v>32120.567124000001</v>
      </c>
      <c r="S1753">
        <v>-10.7702593071</v>
      </c>
      <c r="T1753">
        <v>-104.26069606900001</v>
      </c>
      <c r="U1753">
        <v>0</v>
      </c>
      <c r="V1753">
        <v>0</v>
      </c>
    </row>
    <row r="1754" spans="1:22" x14ac:dyDescent="0.2">
      <c r="A1754"/>
      <c r="B1754">
        <v>26115</v>
      </c>
      <c r="C1754" t="s">
        <v>3872</v>
      </c>
      <c r="D1754" t="s">
        <v>1045</v>
      </c>
      <c r="E1754" t="s">
        <v>3757</v>
      </c>
      <c r="F1754" t="s">
        <v>2316</v>
      </c>
      <c r="G1754">
        <v>350.76067654899998</v>
      </c>
      <c r="H1754" t="s">
        <v>1270</v>
      </c>
      <c r="Q1754">
        <v>3365.3732778499998</v>
      </c>
      <c r="R1754">
        <v>32120.567124000001</v>
      </c>
      <c r="S1754">
        <v>-10.7702593071</v>
      </c>
      <c r="T1754">
        <v>75.739303931099997</v>
      </c>
      <c r="U1754">
        <v>0</v>
      </c>
      <c r="V1754">
        <v>0</v>
      </c>
    </row>
    <row r="1755" spans="1:22" x14ac:dyDescent="0.2">
      <c r="A1755"/>
      <c r="B1755">
        <v>26116</v>
      </c>
      <c r="C1755" t="s">
        <v>3873</v>
      </c>
      <c r="D1755" t="s">
        <v>1045</v>
      </c>
      <c r="E1755" t="s">
        <v>3757</v>
      </c>
      <c r="F1755" t="s">
        <v>2320</v>
      </c>
      <c r="G1755">
        <v>153.143060792</v>
      </c>
      <c r="H1755" t="s">
        <v>12</v>
      </c>
      <c r="Q1755">
        <v>3298.0729082600001</v>
      </c>
      <c r="R1755">
        <v>31861.608340899998</v>
      </c>
      <c r="S1755">
        <v>-10.784947325199999</v>
      </c>
      <c r="T1755">
        <v>-104.41533986100001</v>
      </c>
      <c r="U1755">
        <v>0</v>
      </c>
      <c r="V1755">
        <v>0</v>
      </c>
    </row>
    <row r="1756" spans="1:22" x14ac:dyDescent="0.2">
      <c r="A1756"/>
      <c r="B1756">
        <v>26117</v>
      </c>
      <c r="C1756" t="s">
        <v>3874</v>
      </c>
      <c r="D1756" t="s">
        <v>1045</v>
      </c>
      <c r="E1756" t="s">
        <v>3757</v>
      </c>
      <c r="F1756" t="s">
        <v>2320</v>
      </c>
      <c r="G1756">
        <v>153.143060792</v>
      </c>
      <c r="H1756" t="s">
        <v>1270</v>
      </c>
      <c r="Q1756">
        <v>3298.0729082600001</v>
      </c>
      <c r="R1756">
        <v>31861.608340899998</v>
      </c>
      <c r="S1756">
        <v>-10.784947325199999</v>
      </c>
      <c r="T1756">
        <v>75.584660139099995</v>
      </c>
      <c r="U1756">
        <v>0</v>
      </c>
      <c r="V1756">
        <v>0</v>
      </c>
    </row>
    <row r="1757" spans="1:22" x14ac:dyDescent="0.2">
      <c r="A1757"/>
      <c r="B1757">
        <v>26118</v>
      </c>
      <c r="C1757" t="s">
        <v>3875</v>
      </c>
      <c r="D1757" t="s">
        <v>1045</v>
      </c>
      <c r="E1757" t="s">
        <v>3757</v>
      </c>
      <c r="F1757" t="s">
        <v>2320</v>
      </c>
      <c r="G1757">
        <v>326.38885558700002</v>
      </c>
      <c r="H1757" t="s">
        <v>12</v>
      </c>
      <c r="Q1757">
        <v>3268.5477343299999</v>
      </c>
      <c r="R1757">
        <v>31691.653422899999</v>
      </c>
      <c r="S1757">
        <v>-10.7633657487</v>
      </c>
      <c r="T1757">
        <v>-94.433136834799996</v>
      </c>
      <c r="U1757">
        <v>0</v>
      </c>
      <c r="V1757">
        <v>0</v>
      </c>
    </row>
    <row r="1758" spans="1:22" x14ac:dyDescent="0.2">
      <c r="A1758"/>
      <c r="B1758">
        <v>26119</v>
      </c>
      <c r="C1758" t="s">
        <v>3876</v>
      </c>
      <c r="D1758" t="s">
        <v>1045</v>
      </c>
      <c r="E1758" t="s">
        <v>3757</v>
      </c>
      <c r="F1758" t="s">
        <v>2320</v>
      </c>
      <c r="G1758">
        <v>326.38885558700002</v>
      </c>
      <c r="H1758" t="s">
        <v>1270</v>
      </c>
      <c r="Q1758">
        <v>3268.5477343299999</v>
      </c>
      <c r="R1758">
        <v>31691.653422899999</v>
      </c>
      <c r="S1758">
        <v>-10.7633657487</v>
      </c>
      <c r="T1758">
        <v>85.566863165200004</v>
      </c>
      <c r="U1758">
        <v>0</v>
      </c>
      <c r="V1758">
        <v>0</v>
      </c>
    </row>
    <row r="1759" spans="1:22" x14ac:dyDescent="0.2">
      <c r="A1759"/>
      <c r="B1759">
        <v>26120</v>
      </c>
      <c r="C1759" t="s">
        <v>3877</v>
      </c>
      <c r="D1759" t="s">
        <v>1045</v>
      </c>
      <c r="E1759" t="s">
        <v>3757</v>
      </c>
      <c r="F1759" t="s">
        <v>2320</v>
      </c>
      <c r="G1759">
        <v>619.39457160400002</v>
      </c>
      <c r="H1759" t="s">
        <v>12</v>
      </c>
      <c r="Q1759">
        <v>3247.6234440600001</v>
      </c>
      <c r="R1759">
        <v>31399.406494899999</v>
      </c>
      <c r="S1759">
        <v>-11.4665319092</v>
      </c>
      <c r="T1759">
        <v>-94.288623669200007</v>
      </c>
      <c r="U1759">
        <v>0</v>
      </c>
      <c r="V1759">
        <v>0</v>
      </c>
    </row>
    <row r="1760" spans="1:22" x14ac:dyDescent="0.2">
      <c r="A1760"/>
      <c r="B1760">
        <v>26121</v>
      </c>
      <c r="C1760" t="s">
        <v>3878</v>
      </c>
      <c r="D1760" t="s">
        <v>1045</v>
      </c>
      <c r="E1760" t="s">
        <v>3757</v>
      </c>
      <c r="F1760" t="s">
        <v>2320</v>
      </c>
      <c r="G1760">
        <v>619.39457160400002</v>
      </c>
      <c r="H1760" t="s">
        <v>1270</v>
      </c>
      <c r="Q1760">
        <v>3247.6234440600001</v>
      </c>
      <c r="R1760">
        <v>31399.406494899999</v>
      </c>
      <c r="S1760">
        <v>-11.4665319092</v>
      </c>
      <c r="T1760">
        <v>85.711376330799993</v>
      </c>
      <c r="U1760">
        <v>0</v>
      </c>
      <c r="V1760">
        <v>0</v>
      </c>
    </row>
    <row r="1761" spans="1:22" x14ac:dyDescent="0.2">
      <c r="A1761"/>
      <c r="B1761">
        <v>26122</v>
      </c>
      <c r="C1761" t="s">
        <v>3879</v>
      </c>
      <c r="D1761" t="s">
        <v>1045</v>
      </c>
      <c r="E1761" t="s">
        <v>3757</v>
      </c>
      <c r="F1761" t="s">
        <v>2320</v>
      </c>
      <c r="G1761">
        <v>725.46061280799995</v>
      </c>
      <c r="H1761" t="s">
        <v>12</v>
      </c>
      <c r="Q1761">
        <v>3238.1304419500002</v>
      </c>
      <c r="R1761">
        <v>31293.6986985</v>
      </c>
      <c r="S1761">
        <v>-12.813302391600001</v>
      </c>
      <c r="T1761">
        <v>-96.237482244000006</v>
      </c>
      <c r="U1761">
        <v>0</v>
      </c>
      <c r="V1761">
        <v>0</v>
      </c>
    </row>
    <row r="1762" spans="1:22" x14ac:dyDescent="0.2">
      <c r="A1762"/>
      <c r="B1762">
        <v>26123</v>
      </c>
      <c r="C1762" t="s">
        <v>3880</v>
      </c>
      <c r="D1762" t="s">
        <v>1045</v>
      </c>
      <c r="E1762" t="s">
        <v>3757</v>
      </c>
      <c r="F1762" t="s">
        <v>2320</v>
      </c>
      <c r="G1762">
        <v>725.46061280799995</v>
      </c>
      <c r="H1762" t="s">
        <v>1270</v>
      </c>
      <c r="Q1762">
        <v>3238.1304419500002</v>
      </c>
      <c r="R1762">
        <v>31293.6986985</v>
      </c>
      <c r="S1762">
        <v>-12.813302391600001</v>
      </c>
      <c r="T1762">
        <v>83.762517755999994</v>
      </c>
      <c r="U1762">
        <v>0</v>
      </c>
      <c r="V1762">
        <v>0</v>
      </c>
    </row>
    <row r="1763" spans="1:22" x14ac:dyDescent="0.2">
      <c r="A1763"/>
      <c r="B1763">
        <v>26124</v>
      </c>
      <c r="C1763" t="s">
        <v>3881</v>
      </c>
      <c r="D1763" t="s">
        <v>1045</v>
      </c>
      <c r="E1763" t="s">
        <v>1049</v>
      </c>
      <c r="F1763" t="s">
        <v>2320</v>
      </c>
      <c r="G1763">
        <v>956.39593808899997</v>
      </c>
      <c r="H1763" t="s">
        <v>12</v>
      </c>
      <c r="Q1763">
        <v>3212.1134747599999</v>
      </c>
      <c r="R1763">
        <v>31064.2356927</v>
      </c>
      <c r="S1763">
        <v>-13.4082439205</v>
      </c>
      <c r="T1763">
        <v>-96.268617742900005</v>
      </c>
      <c r="U1763">
        <v>0</v>
      </c>
      <c r="V1763">
        <v>0</v>
      </c>
    </row>
    <row r="1764" spans="1:22" x14ac:dyDescent="0.2">
      <c r="A1764"/>
      <c r="B1764">
        <v>26125</v>
      </c>
      <c r="C1764" t="s">
        <v>3882</v>
      </c>
      <c r="D1764" t="s">
        <v>1045</v>
      </c>
      <c r="E1764" t="s">
        <v>3757</v>
      </c>
      <c r="F1764" t="s">
        <v>2320</v>
      </c>
      <c r="G1764">
        <v>956.39593808899997</v>
      </c>
      <c r="H1764" t="s">
        <v>1270</v>
      </c>
      <c r="Q1764">
        <v>3212.1134747599999</v>
      </c>
      <c r="R1764">
        <v>31064.2356927</v>
      </c>
      <c r="S1764">
        <v>-13.4082439205</v>
      </c>
      <c r="T1764">
        <v>83.731382257099995</v>
      </c>
      <c r="U1764">
        <v>0</v>
      </c>
      <c r="V1764">
        <v>0</v>
      </c>
    </row>
    <row r="1765" spans="1:22" x14ac:dyDescent="0.2">
      <c r="A1765"/>
      <c r="B1765">
        <v>26126</v>
      </c>
      <c r="C1765" t="s">
        <v>3883</v>
      </c>
      <c r="D1765" t="s">
        <v>1045</v>
      </c>
      <c r="E1765" t="s">
        <v>3757</v>
      </c>
      <c r="F1765" t="s">
        <v>2320</v>
      </c>
      <c r="G1765">
        <v>1177.4177211900001</v>
      </c>
      <c r="H1765" t="s">
        <v>12</v>
      </c>
      <c r="Q1765">
        <v>3232.1377050000001</v>
      </c>
      <c r="R1765">
        <v>30847.658971500001</v>
      </c>
      <c r="S1765">
        <v>-15.736945220599999</v>
      </c>
      <c r="T1765">
        <v>-71.241389753799993</v>
      </c>
      <c r="U1765">
        <v>0</v>
      </c>
      <c r="V1765">
        <v>0</v>
      </c>
    </row>
    <row r="1766" spans="1:22" x14ac:dyDescent="0.2">
      <c r="A1766"/>
      <c r="B1766">
        <v>26127</v>
      </c>
      <c r="C1766" t="s">
        <v>3884</v>
      </c>
      <c r="D1766" t="s">
        <v>1045</v>
      </c>
      <c r="E1766" t="s">
        <v>1049</v>
      </c>
      <c r="F1766" t="s">
        <v>2320</v>
      </c>
      <c r="G1766">
        <v>1177.4177211900001</v>
      </c>
      <c r="H1766" t="s">
        <v>1270</v>
      </c>
      <c r="Q1766">
        <v>3232.1377050000001</v>
      </c>
      <c r="R1766">
        <v>30847.658971500001</v>
      </c>
      <c r="S1766">
        <v>-15.736945220599999</v>
      </c>
      <c r="T1766">
        <v>108.758610246</v>
      </c>
      <c r="U1766">
        <v>0</v>
      </c>
      <c r="V1766">
        <v>0</v>
      </c>
    </row>
    <row r="1767" spans="1:22" x14ac:dyDescent="0.2">
      <c r="A1767"/>
      <c r="B1767">
        <v>26128</v>
      </c>
      <c r="C1767" t="s">
        <v>3885</v>
      </c>
      <c r="D1767" t="s">
        <v>1045</v>
      </c>
      <c r="E1767" t="s">
        <v>3757</v>
      </c>
      <c r="F1767" t="s">
        <v>2320</v>
      </c>
      <c r="G1767">
        <v>1206.2920203199999</v>
      </c>
      <c r="H1767" t="s">
        <v>12</v>
      </c>
      <c r="Q1767">
        <v>3241.5453411600001</v>
      </c>
      <c r="R1767">
        <v>30820.373237</v>
      </c>
      <c r="S1767">
        <v>-16.1864473887</v>
      </c>
      <c r="T1767">
        <v>-71.040549282599997</v>
      </c>
      <c r="U1767">
        <v>0</v>
      </c>
      <c r="V1767">
        <v>0</v>
      </c>
    </row>
    <row r="1768" spans="1:22" x14ac:dyDescent="0.2">
      <c r="A1768"/>
      <c r="B1768">
        <v>26129</v>
      </c>
      <c r="C1768" t="s">
        <v>3886</v>
      </c>
      <c r="D1768" t="s">
        <v>1045</v>
      </c>
      <c r="E1768" t="s">
        <v>3757</v>
      </c>
      <c r="F1768" t="s">
        <v>2320</v>
      </c>
      <c r="G1768">
        <v>1206.2920203199999</v>
      </c>
      <c r="H1768" t="s">
        <v>1270</v>
      </c>
      <c r="Q1768">
        <v>3241.5453411600001</v>
      </c>
      <c r="R1768">
        <v>30820.373237</v>
      </c>
      <c r="S1768">
        <v>-16.1864473887</v>
      </c>
      <c r="T1768">
        <v>108.959450717</v>
      </c>
      <c r="U1768">
        <v>0</v>
      </c>
      <c r="V1768">
        <v>0</v>
      </c>
    </row>
    <row r="1769" spans="1:22" x14ac:dyDescent="0.2">
      <c r="A1769"/>
      <c r="B1769">
        <v>26130</v>
      </c>
      <c r="C1769" t="s">
        <v>3887</v>
      </c>
      <c r="D1769" t="s">
        <v>1045</v>
      </c>
      <c r="E1769" t="s">
        <v>3757</v>
      </c>
      <c r="F1769" t="s">
        <v>2320</v>
      </c>
      <c r="G1769">
        <v>1283.6511211</v>
      </c>
      <c r="H1769" t="s">
        <v>12</v>
      </c>
      <c r="Q1769">
        <v>3265.5099647900001</v>
      </c>
      <c r="R1769">
        <v>30746.752724400001</v>
      </c>
      <c r="S1769">
        <v>-17.390943118500001</v>
      </c>
      <c r="T1769">
        <v>-72.780126709300006</v>
      </c>
      <c r="U1769">
        <v>0</v>
      </c>
      <c r="V1769">
        <v>0</v>
      </c>
    </row>
    <row r="1770" spans="1:22" x14ac:dyDescent="0.2">
      <c r="A1770"/>
      <c r="B1770">
        <v>26131</v>
      </c>
      <c r="C1770" t="s">
        <v>3888</v>
      </c>
      <c r="D1770" t="s">
        <v>1045</v>
      </c>
      <c r="E1770" t="s">
        <v>3757</v>
      </c>
      <c r="F1770" t="s">
        <v>2320</v>
      </c>
      <c r="G1770">
        <v>1283.6511211</v>
      </c>
      <c r="H1770" t="s">
        <v>1270</v>
      </c>
      <c r="Q1770">
        <v>3265.5099647900001</v>
      </c>
      <c r="R1770">
        <v>30746.752724400001</v>
      </c>
      <c r="S1770">
        <v>-17.390943118500001</v>
      </c>
      <c r="T1770">
        <v>107.219873291</v>
      </c>
      <c r="U1770">
        <v>0</v>
      </c>
      <c r="V1770">
        <v>0</v>
      </c>
    </row>
    <row r="1771" spans="1:22" x14ac:dyDescent="0.2">
      <c r="A1771"/>
      <c r="B1771">
        <v>26132</v>
      </c>
      <c r="C1771" t="s">
        <v>3889</v>
      </c>
      <c r="D1771" t="s">
        <v>1045</v>
      </c>
      <c r="E1771" t="s">
        <v>3757</v>
      </c>
      <c r="F1771" t="s">
        <v>2320</v>
      </c>
      <c r="G1771">
        <v>1312.21039208</v>
      </c>
      <c r="H1771" t="s">
        <v>12</v>
      </c>
      <c r="Q1771">
        <v>3273.8172074300001</v>
      </c>
      <c r="R1771">
        <v>30719.401988900001</v>
      </c>
      <c r="S1771">
        <v>-17.830291064499999</v>
      </c>
      <c r="T1771">
        <v>-73.439195576900005</v>
      </c>
      <c r="U1771">
        <v>0</v>
      </c>
      <c r="V1771">
        <v>0</v>
      </c>
    </row>
    <row r="1772" spans="1:22" x14ac:dyDescent="0.2">
      <c r="A1772"/>
      <c r="B1772">
        <v>26133</v>
      </c>
      <c r="C1772" t="s">
        <v>3890</v>
      </c>
      <c r="D1772" t="s">
        <v>1045</v>
      </c>
      <c r="E1772" t="s">
        <v>3757</v>
      </c>
      <c r="F1772" t="s">
        <v>2320</v>
      </c>
      <c r="G1772">
        <v>1312.21039208</v>
      </c>
      <c r="H1772" t="s">
        <v>1270</v>
      </c>
      <c r="Q1772">
        <v>3273.8172074300001</v>
      </c>
      <c r="R1772">
        <v>30719.401988900001</v>
      </c>
      <c r="S1772">
        <v>-17.830291064499999</v>
      </c>
      <c r="T1772">
        <v>106.56080442299999</v>
      </c>
      <c r="U1772">
        <v>0</v>
      </c>
      <c r="V1772">
        <v>0</v>
      </c>
    </row>
    <row r="1773" spans="1:22" x14ac:dyDescent="0.2">
      <c r="A1773"/>
      <c r="B1773">
        <v>26134</v>
      </c>
      <c r="C1773" t="s">
        <v>3891</v>
      </c>
      <c r="D1773" t="s">
        <v>1045</v>
      </c>
      <c r="E1773" t="s">
        <v>3757</v>
      </c>
      <c r="F1773" t="s">
        <v>2320</v>
      </c>
      <c r="G1773">
        <v>1454.44560308</v>
      </c>
      <c r="H1773" t="s">
        <v>12</v>
      </c>
      <c r="Q1773">
        <v>3307.43807853</v>
      </c>
      <c r="R1773">
        <v>30581.017677200001</v>
      </c>
      <c r="S1773">
        <v>-18.475854664700002</v>
      </c>
      <c r="T1773">
        <v>-79.832794374900004</v>
      </c>
      <c r="U1773">
        <v>0</v>
      </c>
      <c r="V1773">
        <v>0</v>
      </c>
    </row>
    <row r="1774" spans="1:22" x14ac:dyDescent="0.2">
      <c r="A1774"/>
      <c r="B1774">
        <v>26135</v>
      </c>
      <c r="C1774" t="s">
        <v>3892</v>
      </c>
      <c r="D1774" t="s">
        <v>1045</v>
      </c>
      <c r="E1774" t="s">
        <v>3757</v>
      </c>
      <c r="F1774" t="s">
        <v>2320</v>
      </c>
      <c r="G1774">
        <v>1454.44560308</v>
      </c>
      <c r="H1774" t="s">
        <v>1270</v>
      </c>
      <c r="Q1774">
        <v>3307.43807853</v>
      </c>
      <c r="R1774">
        <v>30581.017677200001</v>
      </c>
      <c r="S1774">
        <v>-18.475854664700002</v>
      </c>
      <c r="T1774">
        <v>100.16720562499999</v>
      </c>
      <c r="U1774">
        <v>0</v>
      </c>
      <c r="V1774">
        <v>0</v>
      </c>
    </row>
    <row r="1775" spans="1:22" x14ac:dyDescent="0.2">
      <c r="A1775"/>
      <c r="B1775">
        <v>26136</v>
      </c>
      <c r="C1775" t="s">
        <v>3893</v>
      </c>
      <c r="D1775" t="s">
        <v>1045</v>
      </c>
      <c r="E1775" t="s">
        <v>3757</v>
      </c>
      <c r="F1775" t="s">
        <v>2320</v>
      </c>
      <c r="G1775">
        <v>1533.6456496200001</v>
      </c>
      <c r="H1775" t="s">
        <v>12</v>
      </c>
      <c r="Q1775">
        <v>3320.9134825400001</v>
      </c>
      <c r="R1775">
        <v>30502.968284499999</v>
      </c>
      <c r="S1775">
        <v>-18.238370201999999</v>
      </c>
      <c r="T1775">
        <v>-79.941843342599995</v>
      </c>
      <c r="U1775">
        <v>0</v>
      </c>
      <c r="V1775">
        <v>0</v>
      </c>
    </row>
    <row r="1776" spans="1:22" x14ac:dyDescent="0.2">
      <c r="A1776"/>
      <c r="B1776">
        <v>26137</v>
      </c>
      <c r="C1776" t="s">
        <v>3894</v>
      </c>
      <c r="D1776" t="s">
        <v>1045</v>
      </c>
      <c r="E1776" t="s">
        <v>3757</v>
      </c>
      <c r="F1776" t="s">
        <v>2320</v>
      </c>
      <c r="G1776">
        <v>1533.6456496200001</v>
      </c>
      <c r="H1776" t="s">
        <v>1270</v>
      </c>
      <c r="Q1776">
        <v>3320.9134825400001</v>
      </c>
      <c r="R1776">
        <v>30502.968284499999</v>
      </c>
      <c r="S1776">
        <v>-18.238370201999999</v>
      </c>
      <c r="T1776">
        <v>100.058156657</v>
      </c>
      <c r="U1776">
        <v>0</v>
      </c>
      <c r="V1776">
        <v>0</v>
      </c>
    </row>
    <row r="1777" spans="1:22" x14ac:dyDescent="0.2">
      <c r="A1777"/>
      <c r="B1777">
        <v>26138</v>
      </c>
      <c r="C1777" t="s">
        <v>3895</v>
      </c>
      <c r="D1777" t="s">
        <v>1045</v>
      </c>
      <c r="E1777" t="s">
        <v>3757</v>
      </c>
      <c r="F1777" t="s">
        <v>2320</v>
      </c>
      <c r="G1777">
        <v>1609.00629056</v>
      </c>
      <c r="H1777" t="s">
        <v>12</v>
      </c>
      <c r="Q1777">
        <v>3334.8633684900001</v>
      </c>
      <c r="R1777">
        <v>30428.9681475</v>
      </c>
      <c r="S1777">
        <v>-18.011071254099999</v>
      </c>
      <c r="T1777">
        <v>-78.675637733800002</v>
      </c>
      <c r="U1777">
        <v>0</v>
      </c>
      <c r="V1777">
        <v>0</v>
      </c>
    </row>
    <row r="1778" spans="1:22" x14ac:dyDescent="0.2">
      <c r="A1778"/>
      <c r="B1778">
        <v>26139</v>
      </c>
      <c r="C1778" t="s">
        <v>3896</v>
      </c>
      <c r="D1778" t="s">
        <v>1045</v>
      </c>
      <c r="E1778" t="s">
        <v>3757</v>
      </c>
      <c r="F1778" t="s">
        <v>2320</v>
      </c>
      <c r="G1778">
        <v>1609.00629056</v>
      </c>
      <c r="H1778" t="s">
        <v>1270</v>
      </c>
      <c r="Q1778">
        <v>3334.8633684900001</v>
      </c>
      <c r="R1778">
        <v>30428.9681475</v>
      </c>
      <c r="S1778">
        <v>-18.011071254099999</v>
      </c>
      <c r="T1778">
        <v>101.32436226599999</v>
      </c>
      <c r="U1778">
        <v>0</v>
      </c>
      <c r="V1778">
        <v>0</v>
      </c>
    </row>
    <row r="1779" spans="1:22" x14ac:dyDescent="0.2">
      <c r="A1779"/>
      <c r="B1779">
        <v>26140</v>
      </c>
      <c r="C1779" t="s">
        <v>3897</v>
      </c>
      <c r="D1779" t="s">
        <v>1045</v>
      </c>
      <c r="E1779" t="s">
        <v>3757</v>
      </c>
      <c r="F1779" t="s">
        <v>2320</v>
      </c>
      <c r="G1779">
        <v>1643.4526501400001</v>
      </c>
      <c r="H1779" t="s">
        <v>12</v>
      </c>
      <c r="Q1779">
        <v>3341.8029739600001</v>
      </c>
      <c r="R1779">
        <v>30395.255299799999</v>
      </c>
      <c r="S1779">
        <v>-17.962303930299999</v>
      </c>
      <c r="T1779">
        <v>-78.069210967399997</v>
      </c>
      <c r="U1779">
        <v>0</v>
      </c>
      <c r="V1779">
        <v>0</v>
      </c>
    </row>
    <row r="1780" spans="1:22" x14ac:dyDescent="0.2">
      <c r="A1780"/>
      <c r="B1780">
        <v>26141</v>
      </c>
      <c r="C1780" t="s">
        <v>3898</v>
      </c>
      <c r="D1780" t="s">
        <v>1045</v>
      </c>
      <c r="E1780" t="s">
        <v>3757</v>
      </c>
      <c r="F1780" t="s">
        <v>2320</v>
      </c>
      <c r="G1780">
        <v>1643.4526501400001</v>
      </c>
      <c r="H1780" t="s">
        <v>1270</v>
      </c>
      <c r="Q1780">
        <v>3341.8029739600001</v>
      </c>
      <c r="R1780">
        <v>30395.255299799999</v>
      </c>
      <c r="S1780">
        <v>-17.962303930299999</v>
      </c>
      <c r="T1780">
        <v>101.930789033</v>
      </c>
      <c r="U1780">
        <v>0</v>
      </c>
      <c r="V1780">
        <v>0</v>
      </c>
    </row>
    <row r="1781" spans="1:22" x14ac:dyDescent="0.2">
      <c r="A1781"/>
      <c r="B1781">
        <v>26142</v>
      </c>
      <c r="C1781" t="s">
        <v>3899</v>
      </c>
      <c r="D1781" t="s">
        <v>1045</v>
      </c>
      <c r="E1781" t="s">
        <v>3757</v>
      </c>
      <c r="F1781" t="s">
        <v>2320</v>
      </c>
      <c r="G1781">
        <v>1756.52806775</v>
      </c>
      <c r="H1781" t="s">
        <v>12</v>
      </c>
      <c r="Q1781">
        <v>3360.9545692299998</v>
      </c>
      <c r="R1781">
        <v>30283.657662599999</v>
      </c>
      <c r="S1781">
        <v>-18.275353382900001</v>
      </c>
      <c r="T1781">
        <v>-82.827071721600007</v>
      </c>
      <c r="U1781">
        <v>0</v>
      </c>
      <c r="V1781">
        <v>0</v>
      </c>
    </row>
    <row r="1782" spans="1:22" x14ac:dyDescent="0.2">
      <c r="A1782"/>
      <c r="B1782">
        <v>26143</v>
      </c>
      <c r="C1782" t="s">
        <v>3900</v>
      </c>
      <c r="D1782" t="s">
        <v>1045</v>
      </c>
      <c r="E1782" t="s">
        <v>3757</v>
      </c>
      <c r="F1782" t="s">
        <v>2320</v>
      </c>
      <c r="G1782">
        <v>1756.52806775</v>
      </c>
      <c r="H1782" t="s">
        <v>1270</v>
      </c>
      <c r="Q1782">
        <v>3360.9545692299998</v>
      </c>
      <c r="R1782">
        <v>30283.657662599999</v>
      </c>
      <c r="S1782">
        <v>-18.275353382900001</v>
      </c>
      <c r="T1782">
        <v>97.172928278399993</v>
      </c>
      <c r="U1782">
        <v>0</v>
      </c>
      <c r="V1782">
        <v>0</v>
      </c>
    </row>
    <row r="1783" spans="1:22" x14ac:dyDescent="0.2">
      <c r="A1783"/>
      <c r="B1783">
        <v>26144</v>
      </c>
      <c r="C1783" t="s">
        <v>3901</v>
      </c>
      <c r="D1783" t="s">
        <v>1045</v>
      </c>
      <c r="E1783" t="s">
        <v>3757</v>
      </c>
      <c r="F1783" t="s">
        <v>2320</v>
      </c>
      <c r="G1783">
        <v>1782.0158142400001</v>
      </c>
      <c r="H1783" t="s">
        <v>12</v>
      </c>
      <c r="Q1783">
        <v>3364.0198874100001</v>
      </c>
      <c r="R1783">
        <v>30258.331980300001</v>
      </c>
      <c r="S1783">
        <v>-18.3405769337</v>
      </c>
      <c r="T1783">
        <v>-83.352782528199995</v>
      </c>
      <c r="U1783">
        <v>0</v>
      </c>
      <c r="V1783">
        <v>0</v>
      </c>
    </row>
    <row r="1784" spans="1:22" x14ac:dyDescent="0.2">
      <c r="A1784"/>
      <c r="B1784">
        <v>26145</v>
      </c>
      <c r="C1784" t="s">
        <v>3902</v>
      </c>
      <c r="D1784" t="s">
        <v>1045</v>
      </c>
      <c r="E1784" t="s">
        <v>3757</v>
      </c>
      <c r="F1784" t="s">
        <v>2320</v>
      </c>
      <c r="G1784">
        <v>1782.0158142400001</v>
      </c>
      <c r="H1784" t="s">
        <v>1270</v>
      </c>
      <c r="Q1784">
        <v>3364.0198874100001</v>
      </c>
      <c r="R1784">
        <v>30258.331980300001</v>
      </c>
      <c r="S1784">
        <v>-18.3405769337</v>
      </c>
      <c r="T1784">
        <v>96.647217471800005</v>
      </c>
      <c r="U1784">
        <v>0</v>
      </c>
      <c r="V1784">
        <v>0</v>
      </c>
    </row>
    <row r="1785" spans="1:22" x14ac:dyDescent="0.2">
      <c r="A1785"/>
      <c r="B1785">
        <v>26146</v>
      </c>
      <c r="C1785" t="s">
        <v>3903</v>
      </c>
      <c r="D1785" t="s">
        <v>1045</v>
      </c>
      <c r="E1785" t="s">
        <v>3757</v>
      </c>
      <c r="F1785" t="s">
        <v>2320</v>
      </c>
      <c r="G1785">
        <v>1953.2139260399999</v>
      </c>
      <c r="H1785" t="s">
        <v>12</v>
      </c>
      <c r="Q1785">
        <v>3372.3758270500002</v>
      </c>
      <c r="R1785">
        <v>30087.190109399999</v>
      </c>
      <c r="S1785">
        <v>-16.7018900542</v>
      </c>
      <c r="T1785">
        <v>-91.513735050700006</v>
      </c>
      <c r="U1785">
        <v>0</v>
      </c>
      <c r="V1785">
        <v>0</v>
      </c>
    </row>
    <row r="1786" spans="1:22" x14ac:dyDescent="0.2">
      <c r="A1786"/>
      <c r="B1786">
        <v>26147</v>
      </c>
      <c r="C1786" t="s">
        <v>3904</v>
      </c>
      <c r="D1786" t="s">
        <v>1045</v>
      </c>
      <c r="E1786" t="s">
        <v>3757</v>
      </c>
      <c r="F1786" t="s">
        <v>2320</v>
      </c>
      <c r="G1786">
        <v>1953.2139260399999</v>
      </c>
      <c r="H1786" t="s">
        <v>1270</v>
      </c>
      <c r="Q1786">
        <v>3372.3758270500002</v>
      </c>
      <c r="R1786">
        <v>30087.190109399999</v>
      </c>
      <c r="S1786">
        <v>-16.7018900542</v>
      </c>
      <c r="T1786">
        <v>88.486264949299994</v>
      </c>
      <c r="U1786">
        <v>0</v>
      </c>
      <c r="V1786">
        <v>0</v>
      </c>
    </row>
    <row r="1787" spans="1:22" x14ac:dyDescent="0.2">
      <c r="A1787"/>
      <c r="B1787">
        <v>26148</v>
      </c>
      <c r="C1787" t="s">
        <v>3905</v>
      </c>
      <c r="D1787" t="s">
        <v>1045</v>
      </c>
      <c r="E1787" t="s">
        <v>3757</v>
      </c>
      <c r="F1787" t="s">
        <v>2320</v>
      </c>
      <c r="G1787">
        <v>2354.0183381000002</v>
      </c>
      <c r="H1787" t="s">
        <v>12</v>
      </c>
      <c r="Q1787">
        <v>3360.18936007</v>
      </c>
      <c r="R1787">
        <v>29686.5972879</v>
      </c>
      <c r="S1787">
        <v>-15.8971889669</v>
      </c>
      <c r="T1787">
        <v>-91.556482064999997</v>
      </c>
      <c r="U1787">
        <v>0</v>
      </c>
      <c r="V1787">
        <v>0</v>
      </c>
    </row>
    <row r="1788" spans="1:22" x14ac:dyDescent="0.2">
      <c r="A1788"/>
      <c r="B1788">
        <v>26149</v>
      </c>
      <c r="C1788" t="s">
        <v>3906</v>
      </c>
      <c r="D1788" t="s">
        <v>1045</v>
      </c>
      <c r="E1788" t="s">
        <v>3757</v>
      </c>
      <c r="F1788" t="s">
        <v>2320</v>
      </c>
      <c r="G1788">
        <v>2354.0183381000002</v>
      </c>
      <c r="H1788" t="s">
        <v>1270</v>
      </c>
      <c r="Q1788">
        <v>3360.18936007</v>
      </c>
      <c r="R1788">
        <v>29686.5972879</v>
      </c>
      <c r="S1788">
        <v>-15.8971889669</v>
      </c>
      <c r="T1788">
        <v>88.443517935000003</v>
      </c>
      <c r="U1788">
        <v>0</v>
      </c>
      <c r="V1788">
        <v>0</v>
      </c>
    </row>
    <row r="1789" spans="1:22" x14ac:dyDescent="0.2">
      <c r="A1789"/>
      <c r="B1789">
        <v>26150</v>
      </c>
      <c r="C1789" t="s">
        <v>3907</v>
      </c>
      <c r="D1789" t="s">
        <v>1045</v>
      </c>
      <c r="E1789" t="s">
        <v>3757</v>
      </c>
      <c r="F1789" t="s">
        <v>2320</v>
      </c>
      <c r="G1789">
        <v>2460.17298097</v>
      </c>
      <c r="H1789" t="s">
        <v>12</v>
      </c>
      <c r="Q1789">
        <v>3361.4656054100001</v>
      </c>
      <c r="R1789">
        <v>29580.740676400001</v>
      </c>
      <c r="S1789">
        <v>-17.787708620499998</v>
      </c>
      <c r="T1789">
        <v>-86.750549758800005</v>
      </c>
      <c r="U1789">
        <v>0</v>
      </c>
      <c r="V1789">
        <v>0</v>
      </c>
    </row>
    <row r="1790" spans="1:22" x14ac:dyDescent="0.2">
      <c r="A1790"/>
      <c r="B1790">
        <v>26151</v>
      </c>
      <c r="C1790" t="s">
        <v>3908</v>
      </c>
      <c r="D1790" t="s">
        <v>1045</v>
      </c>
      <c r="E1790" t="s">
        <v>3757</v>
      </c>
      <c r="F1790" t="s">
        <v>2320</v>
      </c>
      <c r="G1790">
        <v>2460.17298097</v>
      </c>
      <c r="H1790" t="s">
        <v>1270</v>
      </c>
      <c r="Q1790">
        <v>3361.4656054100001</v>
      </c>
      <c r="R1790">
        <v>29580.740676400001</v>
      </c>
      <c r="S1790">
        <v>-17.787708620499998</v>
      </c>
      <c r="T1790">
        <v>93.249450241199995</v>
      </c>
      <c r="U1790">
        <v>0</v>
      </c>
      <c r="V1790">
        <v>0</v>
      </c>
    </row>
    <row r="1791" spans="1:22" x14ac:dyDescent="0.2">
      <c r="A1791"/>
      <c r="B1791">
        <v>26152</v>
      </c>
      <c r="C1791" t="s">
        <v>3909</v>
      </c>
      <c r="D1791" t="s">
        <v>1045</v>
      </c>
      <c r="E1791" t="s">
        <v>3757</v>
      </c>
      <c r="F1791" t="s">
        <v>2320</v>
      </c>
      <c r="G1791">
        <v>2525.2164499</v>
      </c>
      <c r="H1791" t="s">
        <v>12</v>
      </c>
      <c r="Q1791">
        <v>3365.6556604799998</v>
      </c>
      <c r="R1791">
        <v>29515.8774085</v>
      </c>
      <c r="S1791">
        <v>-18.3374089848</v>
      </c>
      <c r="T1791">
        <v>-85.810793238700001</v>
      </c>
      <c r="U1791">
        <v>0</v>
      </c>
      <c r="V1791">
        <v>0</v>
      </c>
    </row>
    <row r="1792" spans="1:22" x14ac:dyDescent="0.2">
      <c r="A1792"/>
      <c r="B1792">
        <v>26153</v>
      </c>
      <c r="C1792" t="s">
        <v>3910</v>
      </c>
      <c r="D1792" t="s">
        <v>1045</v>
      </c>
      <c r="E1792" t="s">
        <v>3757</v>
      </c>
      <c r="F1792" t="s">
        <v>2320</v>
      </c>
      <c r="G1792">
        <v>2525.2164499</v>
      </c>
      <c r="H1792" t="s">
        <v>1270</v>
      </c>
      <c r="Q1792">
        <v>3365.6556604799998</v>
      </c>
      <c r="R1792">
        <v>29515.8774085</v>
      </c>
      <c r="S1792">
        <v>-18.3374089848</v>
      </c>
      <c r="T1792">
        <v>94.189206761299999</v>
      </c>
      <c r="U1792">
        <v>0</v>
      </c>
      <c r="V1792">
        <v>0</v>
      </c>
    </row>
    <row r="1793" spans="1:22" x14ac:dyDescent="0.2">
      <c r="A1793"/>
      <c r="B1793">
        <v>26154</v>
      </c>
      <c r="C1793" t="s">
        <v>3911</v>
      </c>
      <c r="D1793" t="s">
        <v>1045</v>
      </c>
      <c r="E1793" t="s">
        <v>3757</v>
      </c>
      <c r="F1793" t="s">
        <v>2320</v>
      </c>
      <c r="G1793">
        <v>2676.2133813999999</v>
      </c>
      <c r="H1793" t="s">
        <v>12</v>
      </c>
      <c r="Q1793">
        <v>3390.4657208200001</v>
      </c>
      <c r="R1793">
        <v>29367.881481</v>
      </c>
      <c r="S1793">
        <v>-17.899808256299998</v>
      </c>
      <c r="T1793">
        <v>-74.084928618899994</v>
      </c>
      <c r="U1793">
        <v>0</v>
      </c>
      <c r="V1793">
        <v>0</v>
      </c>
    </row>
    <row r="1794" spans="1:22" x14ac:dyDescent="0.2">
      <c r="A1794"/>
      <c r="B1794">
        <v>26155</v>
      </c>
      <c r="C1794" t="s">
        <v>3912</v>
      </c>
      <c r="D1794" t="s">
        <v>1045</v>
      </c>
      <c r="E1794" t="s">
        <v>3757</v>
      </c>
      <c r="F1794" t="s">
        <v>2320</v>
      </c>
      <c r="G1794">
        <v>2676.2133813999999</v>
      </c>
      <c r="H1794" t="s">
        <v>1270</v>
      </c>
      <c r="Q1794">
        <v>3390.4657208200001</v>
      </c>
      <c r="R1794">
        <v>29367.881481</v>
      </c>
      <c r="S1794">
        <v>-17.899808256299998</v>
      </c>
      <c r="T1794">
        <v>105.915071381</v>
      </c>
      <c r="U1794">
        <v>0</v>
      </c>
      <c r="V1794">
        <v>0</v>
      </c>
    </row>
    <row r="1795" spans="1:22" x14ac:dyDescent="0.2">
      <c r="A1795"/>
      <c r="B1795">
        <v>26156</v>
      </c>
      <c r="C1795" t="s">
        <v>3913</v>
      </c>
      <c r="D1795" t="s">
        <v>1045</v>
      </c>
      <c r="E1795" t="s">
        <v>3757</v>
      </c>
      <c r="F1795" t="s">
        <v>2320</v>
      </c>
      <c r="G1795">
        <v>2811.98067064</v>
      </c>
      <c r="H1795" t="s">
        <v>12</v>
      </c>
      <c r="Q1795">
        <v>3417.9465754600001</v>
      </c>
      <c r="R1795">
        <v>29234.768249699999</v>
      </c>
      <c r="S1795">
        <v>-18.0044120134</v>
      </c>
      <c r="T1795">
        <v>-83.695487077500005</v>
      </c>
      <c r="U1795">
        <v>0</v>
      </c>
      <c r="V1795">
        <v>0</v>
      </c>
    </row>
    <row r="1796" spans="1:22" x14ac:dyDescent="0.2">
      <c r="A1796"/>
      <c r="B1796">
        <v>26157</v>
      </c>
      <c r="C1796" t="s">
        <v>3914</v>
      </c>
      <c r="D1796" t="s">
        <v>1045</v>
      </c>
      <c r="E1796" t="s">
        <v>3757</v>
      </c>
      <c r="F1796" t="s">
        <v>2320</v>
      </c>
      <c r="G1796">
        <v>2811.98067064</v>
      </c>
      <c r="H1796" t="s">
        <v>1270</v>
      </c>
      <c r="Q1796">
        <v>3417.9465754600001</v>
      </c>
      <c r="R1796">
        <v>29234.768249699999</v>
      </c>
      <c r="S1796">
        <v>-18.0044120134</v>
      </c>
      <c r="T1796">
        <v>96.304512922499995</v>
      </c>
      <c r="U1796">
        <v>0</v>
      </c>
      <c r="V1796">
        <v>0</v>
      </c>
    </row>
    <row r="1797" spans="1:22" x14ac:dyDescent="0.2">
      <c r="A1797"/>
      <c r="B1797">
        <v>26158</v>
      </c>
      <c r="C1797" t="s">
        <v>3915</v>
      </c>
      <c r="D1797" t="s">
        <v>1045</v>
      </c>
      <c r="E1797" t="s">
        <v>1048</v>
      </c>
      <c r="F1797" t="s">
        <v>2320</v>
      </c>
      <c r="G1797">
        <v>3119.6253511300001</v>
      </c>
      <c r="H1797" t="s">
        <v>12</v>
      </c>
      <c r="Q1797">
        <v>3451.4121001600001</v>
      </c>
      <c r="R1797">
        <v>28928.939064099999</v>
      </c>
      <c r="S1797">
        <v>-17.517374862400001</v>
      </c>
      <c r="T1797">
        <v>-83.957463311500007</v>
      </c>
      <c r="U1797">
        <v>0</v>
      </c>
      <c r="V1797">
        <v>0</v>
      </c>
    </row>
    <row r="1798" spans="1:22" x14ac:dyDescent="0.2">
      <c r="A1798"/>
      <c r="B1798">
        <v>26159</v>
      </c>
      <c r="C1798" t="s">
        <v>3916</v>
      </c>
      <c r="D1798" t="s">
        <v>1045</v>
      </c>
      <c r="E1798" t="s">
        <v>3757</v>
      </c>
      <c r="F1798" t="s">
        <v>2320</v>
      </c>
      <c r="G1798">
        <v>3119.6253511300001</v>
      </c>
      <c r="H1798" t="s">
        <v>1270</v>
      </c>
      <c r="Q1798">
        <v>3451.4121001600001</v>
      </c>
      <c r="R1798">
        <v>28928.939064099999</v>
      </c>
      <c r="S1798">
        <v>-17.517374862400001</v>
      </c>
      <c r="T1798">
        <v>96.042536688499993</v>
      </c>
      <c r="U1798">
        <v>0</v>
      </c>
      <c r="V1798">
        <v>0</v>
      </c>
    </row>
    <row r="1799" spans="1:22" x14ac:dyDescent="0.2">
      <c r="A1799"/>
      <c r="B1799">
        <v>26160</v>
      </c>
      <c r="C1799" t="s">
        <v>3917</v>
      </c>
      <c r="D1799" t="s">
        <v>1045</v>
      </c>
      <c r="E1799" t="s">
        <v>3757</v>
      </c>
      <c r="F1799" t="s">
        <v>2320</v>
      </c>
      <c r="G1799">
        <v>3378.5194249800002</v>
      </c>
      <c r="H1799" t="s">
        <v>12</v>
      </c>
      <c r="Q1799">
        <v>3416.8693637699998</v>
      </c>
      <c r="R1799">
        <v>28675.054872799999</v>
      </c>
      <c r="S1799">
        <v>-15.2871875686</v>
      </c>
      <c r="T1799">
        <v>-112.986071542</v>
      </c>
      <c r="U1799">
        <v>0</v>
      </c>
      <c r="V1799">
        <v>0</v>
      </c>
    </row>
    <row r="1800" spans="1:22" x14ac:dyDescent="0.2">
      <c r="A1800"/>
      <c r="B1800">
        <v>26161</v>
      </c>
      <c r="C1800" t="s">
        <v>3918</v>
      </c>
      <c r="D1800" t="s">
        <v>1045</v>
      </c>
      <c r="E1800" t="s">
        <v>1048</v>
      </c>
      <c r="F1800" t="s">
        <v>2320</v>
      </c>
      <c r="G1800">
        <v>3378.5194249800002</v>
      </c>
      <c r="H1800" t="s">
        <v>1270</v>
      </c>
      <c r="Q1800">
        <v>3416.8693637699998</v>
      </c>
      <c r="R1800">
        <v>28675.054872799999</v>
      </c>
      <c r="S1800">
        <v>-15.2871875686</v>
      </c>
      <c r="T1800">
        <v>67.013928457600002</v>
      </c>
      <c r="U1800">
        <v>0</v>
      </c>
      <c r="V1800">
        <v>0</v>
      </c>
    </row>
    <row r="1801" spans="1:22" x14ac:dyDescent="0.2">
      <c r="A1801"/>
      <c r="B1801">
        <v>26162</v>
      </c>
      <c r="C1801" t="s">
        <v>3919</v>
      </c>
      <c r="D1801" t="s">
        <v>1045</v>
      </c>
      <c r="E1801" t="s">
        <v>3757</v>
      </c>
      <c r="F1801" t="s">
        <v>2320</v>
      </c>
      <c r="G1801">
        <v>3653.4897792400002</v>
      </c>
      <c r="H1801" t="s">
        <v>12</v>
      </c>
      <c r="Q1801">
        <v>3308.6058105900001</v>
      </c>
      <c r="R1801">
        <v>28422.299340500002</v>
      </c>
      <c r="S1801">
        <v>-14.851174114999999</v>
      </c>
      <c r="T1801">
        <v>-113.059824924</v>
      </c>
      <c r="U1801">
        <v>0</v>
      </c>
      <c r="V1801">
        <v>0</v>
      </c>
    </row>
    <row r="1802" spans="1:22" x14ac:dyDescent="0.2">
      <c r="A1802"/>
      <c r="B1802">
        <v>26163</v>
      </c>
      <c r="C1802" t="s">
        <v>3920</v>
      </c>
      <c r="D1802" t="s">
        <v>1045</v>
      </c>
      <c r="E1802" t="s">
        <v>3757</v>
      </c>
      <c r="F1802" t="s">
        <v>2320</v>
      </c>
      <c r="G1802">
        <v>3653.4897792400002</v>
      </c>
      <c r="H1802" t="s">
        <v>1270</v>
      </c>
      <c r="Q1802">
        <v>3308.6058105900001</v>
      </c>
      <c r="R1802">
        <v>28422.299340500002</v>
      </c>
      <c r="S1802">
        <v>-14.851174114999999</v>
      </c>
      <c r="T1802">
        <v>66.940175076000003</v>
      </c>
      <c r="U1802">
        <v>0</v>
      </c>
      <c r="V1802">
        <v>0</v>
      </c>
    </row>
    <row r="1803" spans="1:22" x14ac:dyDescent="0.2">
      <c r="A1803"/>
      <c r="B1803">
        <v>26164</v>
      </c>
      <c r="C1803" t="s">
        <v>3921</v>
      </c>
      <c r="D1803" t="s">
        <v>1045</v>
      </c>
      <c r="E1803" t="s">
        <v>3757</v>
      </c>
      <c r="F1803" t="s">
        <v>2320</v>
      </c>
      <c r="G1803">
        <v>3750.9220801400002</v>
      </c>
      <c r="H1803" t="s">
        <v>12</v>
      </c>
      <c r="Q1803">
        <v>3272.9435953500001</v>
      </c>
      <c r="R1803">
        <v>28331.826133499999</v>
      </c>
      <c r="S1803">
        <v>-16.702269281100001</v>
      </c>
      <c r="T1803">
        <v>-109.703861528</v>
      </c>
      <c r="U1803">
        <v>0</v>
      </c>
      <c r="V1803">
        <v>0</v>
      </c>
    </row>
    <row r="1804" spans="1:22" x14ac:dyDescent="0.2">
      <c r="A1804"/>
      <c r="B1804">
        <v>26165</v>
      </c>
      <c r="C1804" t="s">
        <v>3922</v>
      </c>
      <c r="D1804" t="s">
        <v>1045</v>
      </c>
      <c r="E1804" t="s">
        <v>3757</v>
      </c>
      <c r="F1804" t="s">
        <v>2320</v>
      </c>
      <c r="G1804">
        <v>3750.9220801400002</v>
      </c>
      <c r="H1804" t="s">
        <v>1270</v>
      </c>
      <c r="Q1804">
        <v>3272.9435953500001</v>
      </c>
      <c r="R1804">
        <v>28331.826133499999</v>
      </c>
      <c r="S1804">
        <v>-16.702269281100001</v>
      </c>
      <c r="T1804">
        <v>70.296138472400003</v>
      </c>
      <c r="U1804">
        <v>0</v>
      </c>
      <c r="V1804">
        <v>0</v>
      </c>
    </row>
    <row r="1805" spans="1:22" x14ac:dyDescent="0.2">
      <c r="A1805"/>
      <c r="B1805">
        <v>26166</v>
      </c>
      <c r="C1805" t="s">
        <v>3923</v>
      </c>
      <c r="D1805" t="s">
        <v>1045</v>
      </c>
      <c r="E1805" t="s">
        <v>1048</v>
      </c>
      <c r="F1805" t="s">
        <v>2320</v>
      </c>
      <c r="G1805">
        <v>3786.28399029</v>
      </c>
      <c r="H1805" t="s">
        <v>12</v>
      </c>
      <c r="Q1805">
        <v>3261.2421677900002</v>
      </c>
      <c r="R1805">
        <v>28298.4938047</v>
      </c>
      <c r="S1805">
        <v>-17.3476083555</v>
      </c>
      <c r="T1805">
        <v>-109.033688564</v>
      </c>
      <c r="U1805">
        <v>0</v>
      </c>
      <c r="V1805">
        <v>0</v>
      </c>
    </row>
    <row r="1806" spans="1:22" x14ac:dyDescent="0.2">
      <c r="A1806"/>
      <c r="B1806">
        <v>26167</v>
      </c>
      <c r="C1806" t="s">
        <v>3924</v>
      </c>
      <c r="D1806" t="s">
        <v>1045</v>
      </c>
      <c r="E1806" t="s">
        <v>3757</v>
      </c>
      <c r="F1806" t="s">
        <v>2320</v>
      </c>
      <c r="G1806">
        <v>3786.28399029</v>
      </c>
      <c r="H1806" t="s">
        <v>1270</v>
      </c>
      <c r="Q1806">
        <v>3261.2421677900002</v>
      </c>
      <c r="R1806">
        <v>28298.4938047</v>
      </c>
      <c r="S1806">
        <v>-17.3476083555</v>
      </c>
      <c r="T1806">
        <v>70.966311436200002</v>
      </c>
      <c r="U1806">
        <v>0</v>
      </c>
      <c r="V1806">
        <v>0</v>
      </c>
    </row>
    <row r="1807" spans="1:22" x14ac:dyDescent="0.2">
      <c r="A1807"/>
      <c r="B1807">
        <v>26168</v>
      </c>
      <c r="C1807" t="s">
        <v>3925</v>
      </c>
      <c r="D1807" t="s">
        <v>1045</v>
      </c>
      <c r="E1807" t="s">
        <v>3757</v>
      </c>
      <c r="F1807" t="s">
        <v>2320</v>
      </c>
      <c r="G1807">
        <v>3924.5124369700002</v>
      </c>
      <c r="H1807" t="s">
        <v>12</v>
      </c>
      <c r="Q1807">
        <v>3228.8383391000002</v>
      </c>
      <c r="R1807">
        <v>28165.103520299999</v>
      </c>
      <c r="S1807">
        <v>-18.641644042999999</v>
      </c>
      <c r="T1807">
        <v>-97.211237371600006</v>
      </c>
      <c r="U1807">
        <v>0</v>
      </c>
      <c r="V1807">
        <v>0</v>
      </c>
    </row>
    <row r="1808" spans="1:22" x14ac:dyDescent="0.2">
      <c r="A1808"/>
      <c r="B1808">
        <v>26169</v>
      </c>
      <c r="C1808" t="s">
        <v>3926</v>
      </c>
      <c r="D1808" t="s">
        <v>1045</v>
      </c>
      <c r="E1808" t="s">
        <v>1048</v>
      </c>
      <c r="F1808" t="s">
        <v>2320</v>
      </c>
      <c r="G1808">
        <v>3924.5124369700002</v>
      </c>
      <c r="H1808" t="s">
        <v>1270</v>
      </c>
      <c r="Q1808">
        <v>3228.8383391000002</v>
      </c>
      <c r="R1808">
        <v>28165.103520299999</v>
      </c>
      <c r="S1808">
        <v>-18.641644042999999</v>
      </c>
      <c r="T1808">
        <v>82.788762628399994</v>
      </c>
      <c r="U1808">
        <v>0</v>
      </c>
      <c r="V1808">
        <v>0</v>
      </c>
    </row>
    <row r="1809" spans="1:22" x14ac:dyDescent="0.2">
      <c r="A1809"/>
      <c r="B1809">
        <v>26170</v>
      </c>
      <c r="C1809" t="s">
        <v>3927</v>
      </c>
      <c r="D1809" t="s">
        <v>1045</v>
      </c>
      <c r="E1809" t="s">
        <v>3757</v>
      </c>
      <c r="F1809" t="s">
        <v>2320</v>
      </c>
      <c r="G1809">
        <v>4595.8866537900003</v>
      </c>
      <c r="H1809" t="s">
        <v>12</v>
      </c>
      <c r="Q1809">
        <v>3145.84653196</v>
      </c>
      <c r="R1809">
        <v>27498.9283879</v>
      </c>
      <c r="S1809">
        <v>-14.5194868282</v>
      </c>
      <c r="T1809">
        <v>-97.048068227800002</v>
      </c>
      <c r="U1809">
        <v>0</v>
      </c>
      <c r="V1809">
        <v>0</v>
      </c>
    </row>
    <row r="1810" spans="1:22" x14ac:dyDescent="0.2">
      <c r="A1810"/>
      <c r="B1810">
        <v>26171</v>
      </c>
      <c r="C1810" t="s">
        <v>3928</v>
      </c>
      <c r="D1810" t="s">
        <v>1045</v>
      </c>
      <c r="E1810" t="s">
        <v>3757</v>
      </c>
      <c r="F1810" t="s">
        <v>2320</v>
      </c>
      <c r="G1810">
        <v>4595.8866537900003</v>
      </c>
      <c r="H1810" t="s">
        <v>1270</v>
      </c>
      <c r="Q1810">
        <v>3145.84653196</v>
      </c>
      <c r="R1810">
        <v>27498.9283879</v>
      </c>
      <c r="S1810">
        <v>-14.5194868282</v>
      </c>
      <c r="T1810">
        <v>82.951931772199998</v>
      </c>
      <c r="U1810">
        <v>0</v>
      </c>
      <c r="V1810">
        <v>0</v>
      </c>
    </row>
    <row r="1811" spans="1:22" x14ac:dyDescent="0.2">
      <c r="A1811"/>
      <c r="B1811">
        <v>26172</v>
      </c>
      <c r="C1811" t="s">
        <v>3929</v>
      </c>
      <c r="D1811" t="s">
        <v>1045</v>
      </c>
      <c r="E1811" t="s">
        <v>3757</v>
      </c>
      <c r="F1811" t="s">
        <v>2320</v>
      </c>
      <c r="G1811">
        <v>4734.6959336299997</v>
      </c>
      <c r="H1811" t="s">
        <v>12</v>
      </c>
      <c r="Q1811">
        <v>3134.4894013600001</v>
      </c>
      <c r="R1811">
        <v>27360.8800987</v>
      </c>
      <c r="S1811">
        <v>-14.4225614083</v>
      </c>
      <c r="T1811">
        <v>-92.007028168800005</v>
      </c>
      <c r="U1811">
        <v>0</v>
      </c>
      <c r="V1811">
        <v>0</v>
      </c>
    </row>
    <row r="1812" spans="1:22" x14ac:dyDescent="0.2">
      <c r="A1812"/>
      <c r="B1812">
        <v>26173</v>
      </c>
      <c r="C1812" t="s">
        <v>3930</v>
      </c>
      <c r="D1812" t="s">
        <v>1045</v>
      </c>
      <c r="E1812" t="s">
        <v>3757</v>
      </c>
      <c r="F1812" t="s">
        <v>2320</v>
      </c>
      <c r="G1812">
        <v>4734.6959336299997</v>
      </c>
      <c r="H1812" t="s">
        <v>1270</v>
      </c>
      <c r="Q1812">
        <v>3134.4894013600001</v>
      </c>
      <c r="R1812">
        <v>27360.8800987</v>
      </c>
      <c r="S1812">
        <v>-14.4225614083</v>
      </c>
      <c r="T1812">
        <v>87.992971831199995</v>
      </c>
      <c r="U1812">
        <v>0</v>
      </c>
      <c r="V1812">
        <v>0</v>
      </c>
    </row>
    <row r="1813" spans="1:22" x14ac:dyDescent="0.2">
      <c r="A1813"/>
      <c r="B1813">
        <v>26174</v>
      </c>
      <c r="C1813" t="s">
        <v>3931</v>
      </c>
      <c r="D1813" t="s">
        <v>1045</v>
      </c>
      <c r="E1813" t="s">
        <v>3757</v>
      </c>
      <c r="F1813" t="s">
        <v>2320</v>
      </c>
      <c r="G1813">
        <v>4799.6212670000004</v>
      </c>
      <c r="H1813" t="s">
        <v>12</v>
      </c>
      <c r="Q1813">
        <v>3132.32835243</v>
      </c>
      <c r="R1813">
        <v>27295.999589200001</v>
      </c>
      <c r="S1813">
        <v>-14.431261339100001</v>
      </c>
      <c r="T1813">
        <v>-91.804675299099998</v>
      </c>
      <c r="U1813">
        <v>0</v>
      </c>
      <c r="V1813">
        <v>0</v>
      </c>
    </row>
    <row r="1814" spans="1:22" x14ac:dyDescent="0.2">
      <c r="A1814"/>
      <c r="B1814">
        <v>26175</v>
      </c>
      <c r="C1814" t="s">
        <v>3932</v>
      </c>
      <c r="D1814" t="s">
        <v>1045</v>
      </c>
      <c r="E1814" t="s">
        <v>3757</v>
      </c>
      <c r="F1814" t="s">
        <v>2320</v>
      </c>
      <c r="G1814">
        <v>4799.6212670000004</v>
      </c>
      <c r="H1814" t="s">
        <v>1270</v>
      </c>
      <c r="Q1814">
        <v>3132.32835243</v>
      </c>
      <c r="R1814">
        <v>27295.999589200001</v>
      </c>
      <c r="S1814">
        <v>-14.431261339100001</v>
      </c>
      <c r="T1814">
        <v>88.195324700900002</v>
      </c>
      <c r="U1814">
        <v>0</v>
      </c>
      <c r="V1814">
        <v>0</v>
      </c>
    </row>
    <row r="1815" spans="1:22" x14ac:dyDescent="0.2">
      <c r="A1815"/>
      <c r="B1815">
        <v>26176</v>
      </c>
      <c r="C1815" t="s">
        <v>3933</v>
      </c>
      <c r="D1815" t="s">
        <v>1045</v>
      </c>
      <c r="E1815" t="s">
        <v>1048</v>
      </c>
      <c r="F1815" t="s">
        <v>2320</v>
      </c>
      <c r="G1815">
        <v>4976.58833185</v>
      </c>
      <c r="H1815" t="s">
        <v>12</v>
      </c>
      <c r="Q1815">
        <v>3148.2882452099998</v>
      </c>
      <c r="R1815">
        <v>27121.138018599999</v>
      </c>
      <c r="S1815">
        <v>-16.491478255699999</v>
      </c>
      <c r="T1815">
        <v>-77.015175661800001</v>
      </c>
      <c r="U1815">
        <v>0</v>
      </c>
      <c r="V1815">
        <v>0</v>
      </c>
    </row>
    <row r="1816" spans="1:22" x14ac:dyDescent="0.2">
      <c r="A1816"/>
      <c r="B1816">
        <v>26177</v>
      </c>
      <c r="C1816" t="s">
        <v>3934</v>
      </c>
      <c r="D1816" t="s">
        <v>1045</v>
      </c>
      <c r="E1816" t="s">
        <v>3757</v>
      </c>
      <c r="F1816" t="s">
        <v>2320</v>
      </c>
      <c r="G1816">
        <v>4976.58833185</v>
      </c>
      <c r="H1816" t="s">
        <v>1270</v>
      </c>
      <c r="Q1816">
        <v>3148.2882452099998</v>
      </c>
      <c r="R1816">
        <v>27121.138018599999</v>
      </c>
      <c r="S1816">
        <v>-16.491478255699999</v>
      </c>
      <c r="T1816">
        <v>102.984824338</v>
      </c>
      <c r="U1816">
        <v>0</v>
      </c>
      <c r="V1816">
        <v>0</v>
      </c>
    </row>
    <row r="1817" spans="1:22" x14ac:dyDescent="0.2">
      <c r="A1817"/>
      <c r="B1817">
        <v>26178</v>
      </c>
      <c r="C1817" t="s">
        <v>3935</v>
      </c>
      <c r="D1817" t="s">
        <v>1045</v>
      </c>
      <c r="E1817" t="s">
        <v>3757</v>
      </c>
      <c r="F1817" t="s">
        <v>2320</v>
      </c>
      <c r="G1817">
        <v>5147.4517262400004</v>
      </c>
      <c r="H1817" t="s">
        <v>12</v>
      </c>
      <c r="Q1817">
        <v>3162.4141694999998</v>
      </c>
      <c r="R1817">
        <v>26951.125966600001</v>
      </c>
      <c r="S1817">
        <v>-18.378498584199999</v>
      </c>
      <c r="T1817">
        <v>-94.4553572608</v>
      </c>
      <c r="U1817">
        <v>0</v>
      </c>
      <c r="V1817">
        <v>0</v>
      </c>
    </row>
    <row r="1818" spans="1:22" x14ac:dyDescent="0.2">
      <c r="A1818"/>
      <c r="B1818">
        <v>26179</v>
      </c>
      <c r="C1818" t="s">
        <v>3936</v>
      </c>
      <c r="D1818" t="s">
        <v>1045</v>
      </c>
      <c r="E1818" t="s">
        <v>1048</v>
      </c>
      <c r="F1818" t="s">
        <v>2320</v>
      </c>
      <c r="G1818">
        <v>5147.4517262400004</v>
      </c>
      <c r="H1818" t="s">
        <v>1270</v>
      </c>
      <c r="Q1818">
        <v>3162.4141694999998</v>
      </c>
      <c r="R1818">
        <v>26951.125966600001</v>
      </c>
      <c r="S1818">
        <v>-18.378498584199999</v>
      </c>
      <c r="T1818">
        <v>85.5446427392</v>
      </c>
      <c r="U1818">
        <v>0</v>
      </c>
      <c r="V1818">
        <v>0</v>
      </c>
    </row>
    <row r="1819" spans="1:22" x14ac:dyDescent="0.2">
      <c r="A1819"/>
      <c r="B1819">
        <v>26180</v>
      </c>
      <c r="C1819" t="s">
        <v>3937</v>
      </c>
      <c r="D1819" t="s">
        <v>1045</v>
      </c>
      <c r="E1819" t="s">
        <v>3757</v>
      </c>
      <c r="F1819" t="s">
        <v>2320</v>
      </c>
      <c r="G1819">
        <v>5335.72042607</v>
      </c>
      <c r="H1819" t="s">
        <v>12</v>
      </c>
      <c r="Q1819">
        <v>3147.2195562500001</v>
      </c>
      <c r="R1819">
        <v>26763.472562999999</v>
      </c>
      <c r="S1819">
        <v>-18.484110185999999</v>
      </c>
      <c r="T1819">
        <v>-94.477914849800001</v>
      </c>
      <c r="U1819">
        <v>0</v>
      </c>
      <c r="V1819">
        <v>0</v>
      </c>
    </row>
    <row r="1820" spans="1:22" x14ac:dyDescent="0.2">
      <c r="A1820"/>
      <c r="B1820">
        <v>26181</v>
      </c>
      <c r="C1820" t="s">
        <v>3938</v>
      </c>
      <c r="D1820" t="s">
        <v>1045</v>
      </c>
      <c r="E1820" t="s">
        <v>3757</v>
      </c>
      <c r="F1820" t="s">
        <v>2320</v>
      </c>
      <c r="G1820">
        <v>5335.72042607</v>
      </c>
      <c r="H1820" t="s">
        <v>1270</v>
      </c>
      <c r="Q1820">
        <v>3147.2195562500001</v>
      </c>
      <c r="R1820">
        <v>26763.472562999999</v>
      </c>
      <c r="S1820">
        <v>-18.484110185999999</v>
      </c>
      <c r="T1820">
        <v>85.522085150199999</v>
      </c>
      <c r="U1820">
        <v>0</v>
      </c>
      <c r="V1820">
        <v>0</v>
      </c>
    </row>
    <row r="1821" spans="1:22" x14ac:dyDescent="0.2">
      <c r="A1821"/>
      <c r="B1821">
        <v>26182</v>
      </c>
      <c r="C1821" t="s">
        <v>3939</v>
      </c>
      <c r="D1821" t="s">
        <v>1045</v>
      </c>
      <c r="E1821" t="s">
        <v>3757</v>
      </c>
      <c r="F1821" t="s">
        <v>2320</v>
      </c>
      <c r="G1821">
        <v>5465.5021804099997</v>
      </c>
      <c r="H1821" t="s">
        <v>12</v>
      </c>
      <c r="Q1821">
        <v>3147.0776119799998</v>
      </c>
      <c r="R1821">
        <v>26634.399270400001</v>
      </c>
      <c r="S1821">
        <v>-16.2070695932</v>
      </c>
      <c r="T1821">
        <v>-84.859501143299994</v>
      </c>
      <c r="U1821">
        <v>0</v>
      </c>
      <c r="V1821">
        <v>0</v>
      </c>
    </row>
    <row r="1822" spans="1:22" x14ac:dyDescent="0.2">
      <c r="A1822"/>
      <c r="B1822">
        <v>26183</v>
      </c>
      <c r="C1822" t="s">
        <v>3940</v>
      </c>
      <c r="D1822" t="s">
        <v>1045</v>
      </c>
      <c r="E1822" t="s">
        <v>3757</v>
      </c>
      <c r="F1822" t="s">
        <v>2320</v>
      </c>
      <c r="G1822">
        <v>5465.5021804099997</v>
      </c>
      <c r="H1822" t="s">
        <v>1270</v>
      </c>
      <c r="Q1822">
        <v>3147.0776119799998</v>
      </c>
      <c r="R1822">
        <v>26634.399270400001</v>
      </c>
      <c r="S1822">
        <v>-16.2070695932</v>
      </c>
      <c r="T1822">
        <v>95.140498856700006</v>
      </c>
      <c r="U1822">
        <v>0</v>
      </c>
      <c r="V1822">
        <v>0</v>
      </c>
    </row>
    <row r="1823" spans="1:22" x14ac:dyDescent="0.2">
      <c r="A1823"/>
      <c r="B1823">
        <v>26184</v>
      </c>
      <c r="C1823" t="s">
        <v>3941</v>
      </c>
      <c r="D1823" t="s">
        <v>1045</v>
      </c>
      <c r="E1823" t="s">
        <v>3757</v>
      </c>
      <c r="F1823" t="s">
        <v>2320</v>
      </c>
      <c r="G1823">
        <v>5940.1019372700002</v>
      </c>
      <c r="H1823" t="s">
        <v>12</v>
      </c>
      <c r="Q1823">
        <v>3190.70394605</v>
      </c>
      <c r="R1823">
        <v>26161.844922</v>
      </c>
      <c r="S1823">
        <v>-13.9915540091</v>
      </c>
      <c r="T1823">
        <v>-84.578104224</v>
      </c>
      <c r="U1823">
        <v>0</v>
      </c>
      <c r="V1823">
        <v>0</v>
      </c>
    </row>
    <row r="1824" spans="1:22" x14ac:dyDescent="0.2">
      <c r="A1824"/>
      <c r="B1824">
        <v>26185</v>
      </c>
      <c r="C1824" t="s">
        <v>3942</v>
      </c>
      <c r="D1824" t="s">
        <v>1045</v>
      </c>
      <c r="E1824" t="s">
        <v>3757</v>
      </c>
      <c r="F1824" t="s">
        <v>2320</v>
      </c>
      <c r="G1824">
        <v>5940.1019372700002</v>
      </c>
      <c r="H1824" t="s">
        <v>1270</v>
      </c>
      <c r="Q1824">
        <v>3190.70394605</v>
      </c>
      <c r="R1824">
        <v>26161.844922</v>
      </c>
      <c r="S1824">
        <v>-13.9915540091</v>
      </c>
      <c r="T1824">
        <v>95.421895776</v>
      </c>
      <c r="U1824">
        <v>0</v>
      </c>
      <c r="V1824">
        <v>0</v>
      </c>
    </row>
    <row r="1825" spans="1:22" x14ac:dyDescent="0.2">
      <c r="A1825"/>
      <c r="B1825">
        <v>26186</v>
      </c>
      <c r="C1825" t="s">
        <v>3943</v>
      </c>
      <c r="D1825" t="s">
        <v>1045</v>
      </c>
      <c r="E1825" t="s">
        <v>3757</v>
      </c>
      <c r="F1825" t="s">
        <v>2320</v>
      </c>
      <c r="G1825">
        <v>6014.7242309699996</v>
      </c>
      <c r="H1825" t="s">
        <v>12</v>
      </c>
      <c r="Q1825">
        <v>3197.99043274</v>
      </c>
      <c r="R1825">
        <v>26087.607860600001</v>
      </c>
      <c r="S1825">
        <v>-15.4018823771</v>
      </c>
      <c r="T1825">
        <v>-84.234737327999994</v>
      </c>
      <c r="U1825">
        <v>0</v>
      </c>
      <c r="V1825">
        <v>0</v>
      </c>
    </row>
    <row r="1826" spans="1:22" x14ac:dyDescent="0.2">
      <c r="A1826"/>
      <c r="B1826">
        <v>26187</v>
      </c>
      <c r="C1826" t="s">
        <v>3944</v>
      </c>
      <c r="D1826" t="s">
        <v>1045</v>
      </c>
      <c r="E1826" t="s">
        <v>3757</v>
      </c>
      <c r="F1826" t="s">
        <v>2320</v>
      </c>
      <c r="G1826">
        <v>6014.7242309699996</v>
      </c>
      <c r="H1826" t="s">
        <v>1270</v>
      </c>
      <c r="Q1826">
        <v>3197.99043274</v>
      </c>
      <c r="R1826">
        <v>26087.607860600001</v>
      </c>
      <c r="S1826">
        <v>-15.4018823771</v>
      </c>
      <c r="T1826">
        <v>95.765262672000006</v>
      </c>
      <c r="U1826">
        <v>0</v>
      </c>
      <c r="V1826">
        <v>0</v>
      </c>
    </row>
    <row r="1827" spans="1:22" x14ac:dyDescent="0.2">
      <c r="A1827"/>
      <c r="B1827">
        <v>26188</v>
      </c>
      <c r="C1827" t="s">
        <v>3945</v>
      </c>
      <c r="D1827" t="s">
        <v>1045</v>
      </c>
      <c r="E1827" t="s">
        <v>3757</v>
      </c>
      <c r="F1827" t="s">
        <v>2320</v>
      </c>
      <c r="G1827">
        <v>6117.1477591599996</v>
      </c>
      <c r="H1827" t="s">
        <v>12</v>
      </c>
      <c r="Q1827">
        <v>3208.4531224100001</v>
      </c>
      <c r="R1827">
        <v>25985.745896</v>
      </c>
      <c r="S1827">
        <v>-17.420757912999999</v>
      </c>
      <c r="T1827">
        <v>-84.103871851600005</v>
      </c>
      <c r="U1827">
        <v>0</v>
      </c>
      <c r="V1827">
        <v>0</v>
      </c>
    </row>
    <row r="1828" spans="1:22" x14ac:dyDescent="0.2">
      <c r="A1828"/>
      <c r="B1828">
        <v>26189</v>
      </c>
      <c r="C1828" t="s">
        <v>3946</v>
      </c>
      <c r="D1828" t="s">
        <v>1045</v>
      </c>
      <c r="E1828" t="s">
        <v>3757</v>
      </c>
      <c r="F1828" t="s">
        <v>2320</v>
      </c>
      <c r="G1828">
        <v>6117.1477591599996</v>
      </c>
      <c r="H1828" t="s">
        <v>1270</v>
      </c>
      <c r="Q1828">
        <v>3208.4531224100001</v>
      </c>
      <c r="R1828">
        <v>25985.745896</v>
      </c>
      <c r="S1828">
        <v>-17.420757912999999</v>
      </c>
      <c r="T1828">
        <v>95.896128148399995</v>
      </c>
      <c r="U1828">
        <v>0</v>
      </c>
      <c r="V1828">
        <v>0</v>
      </c>
    </row>
    <row r="1829" spans="1:22" x14ac:dyDescent="0.2">
      <c r="A1829"/>
      <c r="B1829">
        <v>26190</v>
      </c>
      <c r="C1829" t="s">
        <v>3947</v>
      </c>
      <c r="D1829" t="s">
        <v>1045</v>
      </c>
      <c r="E1829" t="s">
        <v>3757</v>
      </c>
      <c r="F1829" t="s">
        <v>2320</v>
      </c>
      <c r="G1829">
        <v>6191.29751063</v>
      </c>
      <c r="H1829" t="s">
        <v>12</v>
      </c>
      <c r="Q1829">
        <v>3216.0110641900001</v>
      </c>
      <c r="R1829">
        <v>25911.984290199998</v>
      </c>
      <c r="S1829">
        <v>-18.3528843259</v>
      </c>
      <c r="T1829">
        <v>-84.221339387200004</v>
      </c>
      <c r="U1829">
        <v>0</v>
      </c>
      <c r="V1829">
        <v>0</v>
      </c>
    </row>
    <row r="1830" spans="1:22" x14ac:dyDescent="0.2">
      <c r="A1830"/>
      <c r="B1830">
        <v>26191</v>
      </c>
      <c r="C1830" t="s">
        <v>3948</v>
      </c>
      <c r="D1830" t="s">
        <v>1045</v>
      </c>
      <c r="E1830" t="s">
        <v>3757</v>
      </c>
      <c r="F1830" t="s">
        <v>2320</v>
      </c>
      <c r="G1830">
        <v>6191.29751063</v>
      </c>
      <c r="H1830" t="s">
        <v>1270</v>
      </c>
      <c r="Q1830">
        <v>3216.0110641900001</v>
      </c>
      <c r="R1830">
        <v>25911.984290199998</v>
      </c>
      <c r="S1830">
        <v>-18.3528843259</v>
      </c>
      <c r="T1830">
        <v>95.778660612799996</v>
      </c>
      <c r="U1830">
        <v>0</v>
      </c>
      <c r="V1830">
        <v>0</v>
      </c>
    </row>
    <row r="1831" spans="1:22" x14ac:dyDescent="0.2">
      <c r="A1831"/>
      <c r="B1831">
        <v>26192</v>
      </c>
      <c r="C1831" t="s">
        <v>3949</v>
      </c>
      <c r="D1831" t="s">
        <v>1045</v>
      </c>
      <c r="E1831" t="s">
        <v>3950</v>
      </c>
      <c r="F1831" t="s">
        <v>2320</v>
      </c>
      <c r="G1831">
        <v>6314.29631505</v>
      </c>
      <c r="H1831" t="s">
        <v>12</v>
      </c>
      <c r="Q1831">
        <v>3227.8569070399999</v>
      </c>
      <c r="R1831">
        <v>25789.537960599999</v>
      </c>
      <c r="S1831">
        <v>-17.783726061399999</v>
      </c>
      <c r="T1831">
        <v>-84.783868270599996</v>
      </c>
      <c r="U1831">
        <v>0</v>
      </c>
      <c r="V1831">
        <v>0</v>
      </c>
    </row>
    <row r="1832" spans="1:22" x14ac:dyDescent="0.2">
      <c r="A1832"/>
      <c r="B1832">
        <v>26193</v>
      </c>
      <c r="C1832" t="s">
        <v>3951</v>
      </c>
      <c r="D1832" t="s">
        <v>1045</v>
      </c>
      <c r="E1832" t="s">
        <v>3757</v>
      </c>
      <c r="F1832" t="s">
        <v>2320</v>
      </c>
      <c r="G1832">
        <v>6314.29631505</v>
      </c>
      <c r="H1832" t="s">
        <v>1270</v>
      </c>
      <c r="Q1832">
        <v>3227.8569070399999</v>
      </c>
      <c r="R1832">
        <v>25789.537960599999</v>
      </c>
      <c r="S1832">
        <v>-17.783726061399999</v>
      </c>
      <c r="T1832">
        <v>95.216131729400004</v>
      </c>
      <c r="U1832">
        <v>0</v>
      </c>
      <c r="V1832">
        <v>0</v>
      </c>
    </row>
    <row r="1833" spans="1:22" x14ac:dyDescent="0.2">
      <c r="A1833"/>
      <c r="B1833">
        <v>26194</v>
      </c>
      <c r="C1833" t="s">
        <v>3952</v>
      </c>
      <c r="D1833" t="s">
        <v>1045</v>
      </c>
      <c r="E1833" t="s">
        <v>3757</v>
      </c>
      <c r="F1833" t="s">
        <v>2412</v>
      </c>
      <c r="G1833">
        <v>257.91662528099999</v>
      </c>
      <c r="H1833" t="s">
        <v>12</v>
      </c>
      <c r="Q1833">
        <v>3084.4803668300001</v>
      </c>
      <c r="R1833">
        <v>25616.0942966</v>
      </c>
      <c r="S1833">
        <v>-11.6887686926</v>
      </c>
      <c r="T1833">
        <v>-175.36500926100001</v>
      </c>
      <c r="U1833">
        <v>0</v>
      </c>
      <c r="V1833">
        <v>0</v>
      </c>
    </row>
    <row r="1834" spans="1:22" x14ac:dyDescent="0.2">
      <c r="A1834"/>
      <c r="B1834">
        <v>26195</v>
      </c>
      <c r="C1834" t="s">
        <v>3953</v>
      </c>
      <c r="D1834" t="s">
        <v>1045</v>
      </c>
      <c r="E1834" t="s">
        <v>3950</v>
      </c>
      <c r="F1834" t="s">
        <v>2412</v>
      </c>
      <c r="G1834">
        <v>257.91662528099999</v>
      </c>
      <c r="H1834" t="s">
        <v>1270</v>
      </c>
      <c r="Q1834">
        <v>3084.4803668300001</v>
      </c>
      <c r="R1834">
        <v>25616.0942966</v>
      </c>
      <c r="S1834">
        <v>-11.6887686926</v>
      </c>
      <c r="T1834">
        <v>4.63499073893</v>
      </c>
      <c r="U1834">
        <v>0</v>
      </c>
      <c r="V1834">
        <v>0</v>
      </c>
    </row>
    <row r="1835" spans="1:22" x14ac:dyDescent="0.2">
      <c r="A1835"/>
      <c r="B1835">
        <v>26196</v>
      </c>
      <c r="C1835" t="s">
        <v>3954</v>
      </c>
      <c r="D1835" t="s">
        <v>1045</v>
      </c>
      <c r="E1835" t="s">
        <v>3757</v>
      </c>
      <c r="F1835" t="s">
        <v>2412</v>
      </c>
      <c r="G1835">
        <v>316.28226588299998</v>
      </c>
      <c r="H1835" t="s">
        <v>12</v>
      </c>
      <c r="Q1835">
        <v>3026.1818150099998</v>
      </c>
      <c r="R1835">
        <v>25612.233511099999</v>
      </c>
      <c r="S1835">
        <v>-11.1256552754</v>
      </c>
      <c r="T1835">
        <v>-176.86828927100001</v>
      </c>
      <c r="U1835">
        <v>0</v>
      </c>
      <c r="V1835">
        <v>0</v>
      </c>
    </row>
    <row r="1836" spans="1:22" x14ac:dyDescent="0.2">
      <c r="A1836"/>
      <c r="B1836">
        <v>26197</v>
      </c>
      <c r="C1836" t="s">
        <v>3955</v>
      </c>
      <c r="D1836" t="s">
        <v>1045</v>
      </c>
      <c r="E1836" t="s">
        <v>3757</v>
      </c>
      <c r="F1836" t="s">
        <v>2412</v>
      </c>
      <c r="G1836">
        <v>316.28226588299998</v>
      </c>
      <c r="H1836" t="s">
        <v>1270</v>
      </c>
      <c r="Q1836">
        <v>3026.1818150099998</v>
      </c>
      <c r="R1836">
        <v>25612.233511099999</v>
      </c>
      <c r="S1836">
        <v>-11.1256552754</v>
      </c>
      <c r="T1836">
        <v>3.1317107292599999</v>
      </c>
      <c r="U1836">
        <v>0</v>
      </c>
      <c r="V1836">
        <v>0</v>
      </c>
    </row>
    <row r="1837" spans="1:22" x14ac:dyDescent="0.2">
      <c r="A1837"/>
      <c r="B1837">
        <v>26198</v>
      </c>
      <c r="C1837" t="s">
        <v>3956</v>
      </c>
      <c r="D1837" t="s">
        <v>1045</v>
      </c>
      <c r="E1837" t="s">
        <v>3757</v>
      </c>
      <c r="F1837" t="s">
        <v>2412</v>
      </c>
      <c r="G1837">
        <v>405.69029477300001</v>
      </c>
      <c r="H1837" t="s">
        <v>12</v>
      </c>
      <c r="Q1837">
        <v>2936.7274301100001</v>
      </c>
      <c r="R1837">
        <v>25609.2028307</v>
      </c>
      <c r="S1837">
        <v>-11.1400314261</v>
      </c>
      <c r="T1837">
        <v>-179.29168411200001</v>
      </c>
      <c r="U1837">
        <v>0</v>
      </c>
      <c r="V1837">
        <v>0</v>
      </c>
    </row>
    <row r="1838" spans="1:22" x14ac:dyDescent="0.2">
      <c r="A1838"/>
      <c r="B1838">
        <v>26199</v>
      </c>
      <c r="C1838" t="s">
        <v>3957</v>
      </c>
      <c r="D1838" t="s">
        <v>1045</v>
      </c>
      <c r="E1838" t="s">
        <v>3757</v>
      </c>
      <c r="F1838" t="s">
        <v>2412</v>
      </c>
      <c r="G1838">
        <v>405.69029477300001</v>
      </c>
      <c r="H1838" t="s">
        <v>1270</v>
      </c>
      <c r="Q1838">
        <v>2936.7274301100001</v>
      </c>
      <c r="R1838">
        <v>25609.2028307</v>
      </c>
      <c r="S1838">
        <v>-11.1400314261</v>
      </c>
      <c r="T1838">
        <v>0.70831588797699996</v>
      </c>
      <c r="U1838">
        <v>0</v>
      </c>
      <c r="V1838">
        <v>0</v>
      </c>
    </row>
    <row r="1839" spans="1:22" x14ac:dyDescent="0.2">
      <c r="A1839"/>
      <c r="B1839">
        <v>26200</v>
      </c>
      <c r="C1839" t="s">
        <v>3958</v>
      </c>
      <c r="D1839" t="s">
        <v>1045</v>
      </c>
      <c r="E1839" t="s">
        <v>3959</v>
      </c>
      <c r="F1839" t="s">
        <v>2412</v>
      </c>
      <c r="G1839">
        <v>523.70095875100003</v>
      </c>
      <c r="H1839" t="s">
        <v>12</v>
      </c>
      <c r="Q1839">
        <v>2818.7288982999999</v>
      </c>
      <c r="R1839">
        <v>25608.0803075</v>
      </c>
      <c r="S1839">
        <v>-11.5896003795</v>
      </c>
      <c r="T1839">
        <v>-179.20126347199999</v>
      </c>
      <c r="U1839">
        <v>0</v>
      </c>
      <c r="V1839">
        <v>0</v>
      </c>
    </row>
    <row r="1840" spans="1:22" x14ac:dyDescent="0.2">
      <c r="A1840"/>
      <c r="B1840">
        <v>26201</v>
      </c>
      <c r="C1840" t="s">
        <v>3960</v>
      </c>
      <c r="D1840" t="s">
        <v>1045</v>
      </c>
      <c r="E1840" t="s">
        <v>3757</v>
      </c>
      <c r="F1840" t="s">
        <v>2412</v>
      </c>
      <c r="G1840">
        <v>523.70095875100003</v>
      </c>
      <c r="H1840" t="s">
        <v>1270</v>
      </c>
      <c r="Q1840">
        <v>2818.7288982999999</v>
      </c>
      <c r="R1840">
        <v>25608.0803075</v>
      </c>
      <c r="S1840">
        <v>-11.5896003795</v>
      </c>
      <c r="T1840">
        <v>0.79873652846900001</v>
      </c>
      <c r="U1840">
        <v>0</v>
      </c>
      <c r="V1840">
        <v>0</v>
      </c>
    </row>
    <row r="1841" spans="1:22" x14ac:dyDescent="0.2">
      <c r="A1841"/>
      <c r="B1841">
        <v>26202</v>
      </c>
      <c r="C1841" t="s">
        <v>3961</v>
      </c>
      <c r="D1841" t="s">
        <v>1045</v>
      </c>
      <c r="E1841" t="s">
        <v>3757</v>
      </c>
      <c r="F1841" t="s">
        <v>2412</v>
      </c>
      <c r="G1841">
        <v>772.11940663200005</v>
      </c>
      <c r="H1841" t="s">
        <v>12</v>
      </c>
      <c r="Q1841">
        <v>2675.9130207399999</v>
      </c>
      <c r="R1841">
        <v>25454.1855278</v>
      </c>
      <c r="S1841">
        <v>-16.2038682775</v>
      </c>
      <c r="T1841">
        <v>-88.093089163499997</v>
      </c>
      <c r="U1841">
        <v>0</v>
      </c>
      <c r="V1841">
        <v>0</v>
      </c>
    </row>
    <row r="1842" spans="1:22" x14ac:dyDescent="0.2">
      <c r="A1842"/>
      <c r="B1842">
        <v>26203</v>
      </c>
      <c r="C1842" t="s">
        <v>3962</v>
      </c>
      <c r="D1842" t="s">
        <v>1045</v>
      </c>
      <c r="E1842" t="s">
        <v>3959</v>
      </c>
      <c r="F1842" t="s">
        <v>2412</v>
      </c>
      <c r="G1842">
        <v>772.11940663200005</v>
      </c>
      <c r="H1842" t="s">
        <v>1270</v>
      </c>
      <c r="Q1842">
        <v>2675.9130207399999</v>
      </c>
      <c r="R1842">
        <v>25454.1855278</v>
      </c>
      <c r="S1842">
        <v>-16.2038682775</v>
      </c>
      <c r="T1842">
        <v>91.906910836500003</v>
      </c>
      <c r="U1842">
        <v>0</v>
      </c>
      <c r="V1842">
        <v>0</v>
      </c>
    </row>
    <row r="1843" spans="1:22" x14ac:dyDescent="0.2">
      <c r="A1843"/>
      <c r="B1843">
        <v>26204</v>
      </c>
      <c r="C1843" t="s">
        <v>3963</v>
      </c>
      <c r="D1843" t="s">
        <v>1045</v>
      </c>
      <c r="E1843" t="s">
        <v>1048</v>
      </c>
      <c r="F1843" t="s">
        <v>2337</v>
      </c>
      <c r="G1843">
        <v>916.011246508</v>
      </c>
      <c r="H1843" t="s">
        <v>12</v>
      </c>
      <c r="Q1843">
        <v>2707.78353453</v>
      </c>
      <c r="R1843">
        <v>24538.7890114</v>
      </c>
      <c r="S1843">
        <v>-18.542565856500001</v>
      </c>
      <c r="T1843">
        <v>-88.016074367200005</v>
      </c>
      <c r="U1843">
        <v>0</v>
      </c>
      <c r="V1843">
        <v>0</v>
      </c>
    </row>
    <row r="1844" spans="1:22" x14ac:dyDescent="0.2">
      <c r="A1844"/>
      <c r="B1844">
        <v>26205</v>
      </c>
      <c r="C1844" t="s">
        <v>3964</v>
      </c>
      <c r="D1844" t="s">
        <v>1045</v>
      </c>
      <c r="E1844" t="s">
        <v>3757</v>
      </c>
      <c r="F1844" t="s">
        <v>2337</v>
      </c>
      <c r="G1844">
        <v>916.011246508</v>
      </c>
      <c r="H1844" t="s">
        <v>1270</v>
      </c>
      <c r="Q1844">
        <v>2707.78353453</v>
      </c>
      <c r="R1844">
        <v>24538.7890114</v>
      </c>
      <c r="S1844">
        <v>-18.542565856500001</v>
      </c>
      <c r="T1844">
        <v>91.983925632799995</v>
      </c>
      <c r="U1844">
        <v>0</v>
      </c>
      <c r="V1844">
        <v>0</v>
      </c>
    </row>
    <row r="1845" spans="1:22" x14ac:dyDescent="0.2">
      <c r="A1845"/>
      <c r="B1845">
        <v>26206</v>
      </c>
      <c r="C1845" t="s">
        <v>3965</v>
      </c>
      <c r="D1845" t="s">
        <v>1045</v>
      </c>
      <c r="E1845" t="s">
        <v>3757</v>
      </c>
      <c r="F1845" t="s">
        <v>2337</v>
      </c>
      <c r="G1845">
        <v>1075.40237017</v>
      </c>
      <c r="H1845" t="s">
        <v>12</v>
      </c>
      <c r="Q1845">
        <v>2695.0603414699999</v>
      </c>
      <c r="R1845">
        <v>24379.976296699999</v>
      </c>
      <c r="S1845">
        <v>-15.4612208276</v>
      </c>
      <c r="T1845">
        <v>-103.385736667</v>
      </c>
      <c r="U1845">
        <v>0</v>
      </c>
      <c r="V1845">
        <v>0</v>
      </c>
    </row>
    <row r="1846" spans="1:22" x14ac:dyDescent="0.2">
      <c r="A1846"/>
      <c r="B1846">
        <v>26207</v>
      </c>
      <c r="C1846" t="s">
        <v>3966</v>
      </c>
      <c r="D1846" t="s">
        <v>1045</v>
      </c>
      <c r="E1846" t="s">
        <v>1048</v>
      </c>
      <c r="F1846" t="s">
        <v>2337</v>
      </c>
      <c r="G1846">
        <v>1075.40237017</v>
      </c>
      <c r="H1846" t="s">
        <v>1270</v>
      </c>
      <c r="Q1846">
        <v>2695.0603414699999</v>
      </c>
      <c r="R1846">
        <v>24379.976296699999</v>
      </c>
      <c r="S1846">
        <v>-15.4612208276</v>
      </c>
      <c r="T1846">
        <v>76.614263332899995</v>
      </c>
      <c r="U1846">
        <v>0</v>
      </c>
      <c r="V1846">
        <v>0</v>
      </c>
    </row>
    <row r="1847" spans="1:22" x14ac:dyDescent="0.2">
      <c r="A1847"/>
      <c r="B1847">
        <v>26208</v>
      </c>
      <c r="C1847" t="s">
        <v>3967</v>
      </c>
      <c r="D1847" t="s">
        <v>1045</v>
      </c>
      <c r="E1847" t="s">
        <v>3950</v>
      </c>
      <c r="F1847" t="s">
        <v>2340</v>
      </c>
      <c r="G1847">
        <v>149.31296985700001</v>
      </c>
      <c r="H1847" t="s">
        <v>12</v>
      </c>
      <c r="Q1847">
        <v>2627.0989876499998</v>
      </c>
      <c r="R1847">
        <v>24096.3352013</v>
      </c>
      <c r="S1847">
        <v>-9.7500012033099992</v>
      </c>
      <c r="T1847">
        <v>-103.20698906200001</v>
      </c>
      <c r="U1847">
        <v>0</v>
      </c>
      <c r="V1847">
        <v>0</v>
      </c>
    </row>
    <row r="1848" spans="1:22" x14ac:dyDescent="0.2">
      <c r="A1848"/>
      <c r="B1848">
        <v>26209</v>
      </c>
      <c r="C1848" t="s">
        <v>3968</v>
      </c>
      <c r="D1848" t="s">
        <v>1045</v>
      </c>
      <c r="E1848" t="s">
        <v>3757</v>
      </c>
      <c r="F1848" t="s">
        <v>2340</v>
      </c>
      <c r="G1848">
        <v>149.31296985700001</v>
      </c>
      <c r="H1848" t="s">
        <v>1270</v>
      </c>
      <c r="Q1848">
        <v>2627.0989876499998</v>
      </c>
      <c r="R1848">
        <v>24096.3352013</v>
      </c>
      <c r="S1848">
        <v>-9.7500012033099992</v>
      </c>
      <c r="T1848">
        <v>76.793010937999995</v>
      </c>
      <c r="U1848">
        <v>0</v>
      </c>
      <c r="V1848">
        <v>0</v>
      </c>
    </row>
    <row r="1849" spans="1:22" x14ac:dyDescent="0.2">
      <c r="A1849"/>
      <c r="B1849">
        <v>26210</v>
      </c>
      <c r="C1849" t="s">
        <v>3969</v>
      </c>
      <c r="D1849" t="s">
        <v>1045</v>
      </c>
      <c r="E1849" t="s">
        <v>3950</v>
      </c>
      <c r="F1849" t="s">
        <v>2340</v>
      </c>
      <c r="G1849">
        <v>256.73470831200001</v>
      </c>
      <c r="H1849" t="s">
        <v>12</v>
      </c>
      <c r="Q1849">
        <v>2620.5595663099998</v>
      </c>
      <c r="R1849">
        <v>23991.3234324</v>
      </c>
      <c r="S1849">
        <v>-7.6684239969499997</v>
      </c>
      <c r="T1849">
        <v>-79.513192796200002</v>
      </c>
      <c r="U1849">
        <v>0</v>
      </c>
      <c r="V1849">
        <v>0</v>
      </c>
    </row>
    <row r="1850" spans="1:22" x14ac:dyDescent="0.2">
      <c r="A1850"/>
      <c r="B1850">
        <v>26211</v>
      </c>
      <c r="C1850" t="s">
        <v>3970</v>
      </c>
      <c r="D1850" t="s">
        <v>1045</v>
      </c>
      <c r="E1850" t="s">
        <v>3950</v>
      </c>
      <c r="F1850" t="s">
        <v>2340</v>
      </c>
      <c r="G1850">
        <v>256.73470831200001</v>
      </c>
      <c r="H1850" t="s">
        <v>1270</v>
      </c>
      <c r="Q1850">
        <v>2620.5595663099998</v>
      </c>
      <c r="R1850">
        <v>23991.3234324</v>
      </c>
      <c r="S1850">
        <v>-7.6684239969499997</v>
      </c>
      <c r="T1850">
        <v>100.486807204</v>
      </c>
      <c r="U1850">
        <v>0</v>
      </c>
      <c r="V1850">
        <v>0</v>
      </c>
    </row>
    <row r="1851" spans="1:22" x14ac:dyDescent="0.2">
      <c r="A1851"/>
      <c r="B1851">
        <v>26212</v>
      </c>
      <c r="C1851" t="s">
        <v>3971</v>
      </c>
      <c r="D1851" t="s">
        <v>1045</v>
      </c>
      <c r="E1851" t="s">
        <v>3757</v>
      </c>
      <c r="F1851" t="s">
        <v>2340</v>
      </c>
      <c r="G1851">
        <v>371.958422294</v>
      </c>
      <c r="H1851" t="s">
        <v>12</v>
      </c>
      <c r="Q1851">
        <v>2618.5975472</v>
      </c>
      <c r="R1851">
        <v>23876.5318759</v>
      </c>
      <c r="S1851">
        <v>-6.5941715395499996</v>
      </c>
      <c r="T1851">
        <v>-105.05072459900001</v>
      </c>
      <c r="U1851">
        <v>0</v>
      </c>
      <c r="V1851">
        <v>0</v>
      </c>
    </row>
    <row r="1852" spans="1:22" x14ac:dyDescent="0.2">
      <c r="A1852"/>
      <c r="B1852">
        <v>26213</v>
      </c>
      <c r="C1852" t="s">
        <v>3972</v>
      </c>
      <c r="D1852" t="s">
        <v>1045</v>
      </c>
      <c r="E1852" t="s">
        <v>3950</v>
      </c>
      <c r="F1852" t="s">
        <v>2340</v>
      </c>
      <c r="G1852">
        <v>371.958422294</v>
      </c>
      <c r="H1852" t="s">
        <v>1270</v>
      </c>
      <c r="Q1852">
        <v>2618.5975472</v>
      </c>
      <c r="R1852">
        <v>23876.5318759</v>
      </c>
      <c r="S1852">
        <v>-6.5941715395499996</v>
      </c>
      <c r="T1852">
        <v>74.949275400900007</v>
      </c>
      <c r="U1852">
        <v>0</v>
      </c>
      <c r="V1852">
        <v>0</v>
      </c>
    </row>
    <row r="1853" spans="1:22" x14ac:dyDescent="0.2">
      <c r="A1853"/>
      <c r="B1853">
        <v>26214</v>
      </c>
      <c r="C1853" t="s">
        <v>3973</v>
      </c>
      <c r="D1853" t="s">
        <v>1045</v>
      </c>
      <c r="E1853" t="s">
        <v>1050</v>
      </c>
      <c r="F1853" t="s">
        <v>2340</v>
      </c>
      <c r="G1853">
        <v>572.94299339300005</v>
      </c>
      <c r="H1853" t="s">
        <v>12</v>
      </c>
      <c r="Q1853">
        <v>2565.6022224500002</v>
      </c>
      <c r="R1853">
        <v>23682.657260299999</v>
      </c>
      <c r="S1853">
        <v>-6.6039647136899999</v>
      </c>
      <c r="T1853">
        <v>-105.118691975</v>
      </c>
      <c r="U1853">
        <v>0</v>
      </c>
      <c r="V1853">
        <v>0</v>
      </c>
    </row>
    <row r="1854" spans="1:22" x14ac:dyDescent="0.2">
      <c r="A1854"/>
      <c r="B1854">
        <v>26215</v>
      </c>
      <c r="C1854" t="s">
        <v>3974</v>
      </c>
      <c r="D1854" t="s">
        <v>1045</v>
      </c>
      <c r="E1854" t="s">
        <v>3757</v>
      </c>
      <c r="F1854" t="s">
        <v>2340</v>
      </c>
      <c r="G1854">
        <v>572.94299339300005</v>
      </c>
      <c r="H1854" t="s">
        <v>1270</v>
      </c>
      <c r="Q1854">
        <v>2565.6022224500002</v>
      </c>
      <c r="R1854">
        <v>23682.657260299999</v>
      </c>
      <c r="S1854">
        <v>-6.6039647136899999</v>
      </c>
      <c r="T1854">
        <v>74.881308024500001</v>
      </c>
      <c r="U1854">
        <v>0</v>
      </c>
      <c r="V1854">
        <v>0</v>
      </c>
    </row>
    <row r="1855" spans="1:22" x14ac:dyDescent="0.2">
      <c r="A1855"/>
      <c r="B1855">
        <v>26216</v>
      </c>
      <c r="C1855" t="s">
        <v>3975</v>
      </c>
      <c r="D1855" t="s">
        <v>1045</v>
      </c>
      <c r="E1855" t="s">
        <v>3757</v>
      </c>
      <c r="F1855" t="s">
        <v>2340</v>
      </c>
      <c r="G1855">
        <v>678.91390935100003</v>
      </c>
      <c r="H1855" t="s">
        <v>12</v>
      </c>
      <c r="Q1855">
        <v>2551.7370278100002</v>
      </c>
      <c r="R1855">
        <v>23578.684432099999</v>
      </c>
      <c r="S1855">
        <v>-7.7794079108799998</v>
      </c>
      <c r="T1855">
        <v>-90.762497769999996</v>
      </c>
      <c r="U1855">
        <v>0</v>
      </c>
      <c r="V1855">
        <v>0</v>
      </c>
    </row>
    <row r="1856" spans="1:22" x14ac:dyDescent="0.2">
      <c r="A1856"/>
      <c r="B1856">
        <v>26217</v>
      </c>
      <c r="C1856" t="s">
        <v>3976</v>
      </c>
      <c r="D1856" t="s">
        <v>1045</v>
      </c>
      <c r="E1856" t="s">
        <v>1050</v>
      </c>
      <c r="F1856" t="s">
        <v>2340</v>
      </c>
      <c r="G1856">
        <v>678.91390935100003</v>
      </c>
      <c r="H1856" t="s">
        <v>1270</v>
      </c>
      <c r="Q1856">
        <v>2551.7370278100002</v>
      </c>
      <c r="R1856">
        <v>23578.684432099999</v>
      </c>
      <c r="S1856">
        <v>-7.7794079108799998</v>
      </c>
      <c r="T1856">
        <v>89.237502230000004</v>
      </c>
      <c r="U1856">
        <v>0</v>
      </c>
      <c r="V1856">
        <v>0</v>
      </c>
    </row>
    <row r="1857" spans="1:22" x14ac:dyDescent="0.2">
      <c r="A1857"/>
      <c r="B1857">
        <v>26218</v>
      </c>
      <c r="C1857" t="s">
        <v>3977</v>
      </c>
      <c r="D1857" t="s">
        <v>1045</v>
      </c>
      <c r="E1857" t="s">
        <v>1050</v>
      </c>
      <c r="F1857" t="s">
        <v>2350</v>
      </c>
      <c r="G1857">
        <v>14.706541055000001</v>
      </c>
      <c r="H1857" t="s">
        <v>12</v>
      </c>
      <c r="Q1857">
        <v>2550.4769600599998</v>
      </c>
      <c r="R1857">
        <v>23464.360868899999</v>
      </c>
      <c r="S1857">
        <v>-9.8749782828499999</v>
      </c>
      <c r="T1857">
        <v>-90.839695078899993</v>
      </c>
      <c r="U1857">
        <v>0</v>
      </c>
      <c r="V1857">
        <v>0</v>
      </c>
    </row>
    <row r="1858" spans="1:22" x14ac:dyDescent="0.2">
      <c r="A1858"/>
      <c r="B1858">
        <v>26219</v>
      </c>
      <c r="C1858" t="s">
        <v>3978</v>
      </c>
      <c r="D1858" t="s">
        <v>1045</v>
      </c>
      <c r="E1858" t="s">
        <v>3757</v>
      </c>
      <c r="F1858" t="s">
        <v>2350</v>
      </c>
      <c r="G1858">
        <v>14.706541055000001</v>
      </c>
      <c r="H1858" t="s">
        <v>1270</v>
      </c>
      <c r="Q1858">
        <v>2550.4769600599998</v>
      </c>
      <c r="R1858">
        <v>23464.360868899999</v>
      </c>
      <c r="S1858">
        <v>-9.8749782828499999</v>
      </c>
      <c r="T1858">
        <v>89.160304921100007</v>
      </c>
      <c r="U1858">
        <v>0</v>
      </c>
      <c r="V1858">
        <v>0</v>
      </c>
    </row>
    <row r="1859" spans="1:22" x14ac:dyDescent="0.2">
      <c r="A1859"/>
      <c r="B1859">
        <v>26220</v>
      </c>
      <c r="C1859" t="s">
        <v>3979</v>
      </c>
      <c r="D1859" t="s">
        <v>1045</v>
      </c>
      <c r="E1859" t="s">
        <v>3757</v>
      </c>
      <c r="F1859" t="s">
        <v>2350</v>
      </c>
      <c r="G1859">
        <v>109.503623363</v>
      </c>
      <c r="H1859" t="s">
        <v>12</v>
      </c>
      <c r="Q1859">
        <v>2534.8255346300002</v>
      </c>
      <c r="R1859">
        <v>23370.632313400001</v>
      </c>
      <c r="S1859">
        <v>-11.603732388799999</v>
      </c>
      <c r="T1859">
        <v>-112.37571613999999</v>
      </c>
      <c r="U1859">
        <v>0</v>
      </c>
      <c r="V1859">
        <v>0</v>
      </c>
    </row>
    <row r="1860" spans="1:22" x14ac:dyDescent="0.2">
      <c r="A1860"/>
      <c r="B1860">
        <v>26221</v>
      </c>
      <c r="C1860" t="s">
        <v>3980</v>
      </c>
      <c r="D1860" t="s">
        <v>1045</v>
      </c>
      <c r="E1860" t="s">
        <v>1050</v>
      </c>
      <c r="F1860" t="s">
        <v>2350</v>
      </c>
      <c r="G1860">
        <v>109.503623363</v>
      </c>
      <c r="H1860" t="s">
        <v>1270</v>
      </c>
      <c r="Q1860">
        <v>2534.8255346300002</v>
      </c>
      <c r="R1860">
        <v>23370.632313400001</v>
      </c>
      <c r="S1860">
        <v>-11.603732388799999</v>
      </c>
      <c r="T1860">
        <v>67.6242838597</v>
      </c>
      <c r="U1860">
        <v>0</v>
      </c>
      <c r="V1860">
        <v>0</v>
      </c>
    </row>
    <row r="1861" spans="1:22" x14ac:dyDescent="0.2">
      <c r="A1861"/>
      <c r="B1861">
        <v>26222</v>
      </c>
      <c r="C1861" t="s">
        <v>3981</v>
      </c>
      <c r="D1861" t="s">
        <v>1045</v>
      </c>
      <c r="E1861" t="s">
        <v>3757</v>
      </c>
      <c r="F1861" t="s">
        <v>2350</v>
      </c>
      <c r="G1861">
        <v>207.96474355500001</v>
      </c>
      <c r="H1861" t="s">
        <v>12</v>
      </c>
      <c r="Q1861">
        <v>2494.7463271199999</v>
      </c>
      <c r="R1861">
        <v>23280.832548300001</v>
      </c>
      <c r="S1861">
        <v>-13.3990122231</v>
      </c>
      <c r="T1861">
        <v>-110.580891326</v>
      </c>
      <c r="U1861">
        <v>0</v>
      </c>
      <c r="V1861">
        <v>0</v>
      </c>
    </row>
    <row r="1862" spans="1:22" x14ac:dyDescent="0.2">
      <c r="A1862"/>
      <c r="B1862">
        <v>26223</v>
      </c>
      <c r="C1862" t="s">
        <v>3982</v>
      </c>
      <c r="D1862" t="s">
        <v>1045</v>
      </c>
      <c r="E1862" t="s">
        <v>3757</v>
      </c>
      <c r="F1862" t="s">
        <v>2350</v>
      </c>
      <c r="G1862">
        <v>207.96474355500001</v>
      </c>
      <c r="H1862" t="s">
        <v>1270</v>
      </c>
      <c r="Q1862">
        <v>2494.7463271199999</v>
      </c>
      <c r="R1862">
        <v>23280.832548300001</v>
      </c>
      <c r="S1862">
        <v>-13.3990122231</v>
      </c>
      <c r="T1862">
        <v>69.419108673599993</v>
      </c>
      <c r="U1862">
        <v>0</v>
      </c>
      <c r="V1862">
        <v>0</v>
      </c>
    </row>
    <row r="1863" spans="1:22" x14ac:dyDescent="0.2">
      <c r="A1863"/>
      <c r="B1863">
        <v>26224</v>
      </c>
      <c r="C1863" t="s">
        <v>3983</v>
      </c>
      <c r="D1863" t="s">
        <v>1045</v>
      </c>
      <c r="E1863" t="s">
        <v>3757</v>
      </c>
      <c r="F1863" t="s">
        <v>2350</v>
      </c>
      <c r="G1863">
        <v>303.42408811299998</v>
      </c>
      <c r="H1863" t="s">
        <v>12</v>
      </c>
      <c r="Q1863">
        <v>2467.0696134899999</v>
      </c>
      <c r="R1863">
        <v>23189.741546900001</v>
      </c>
      <c r="S1863">
        <v>-14.884619605099999</v>
      </c>
      <c r="T1863">
        <v>-105.804830305</v>
      </c>
      <c r="U1863">
        <v>0</v>
      </c>
      <c r="V1863">
        <v>0</v>
      </c>
    </row>
    <row r="1864" spans="1:22" x14ac:dyDescent="0.2">
      <c r="A1864"/>
      <c r="B1864">
        <v>26225</v>
      </c>
      <c r="C1864" t="s">
        <v>3984</v>
      </c>
      <c r="D1864" t="s">
        <v>1045</v>
      </c>
      <c r="E1864" t="s">
        <v>3757</v>
      </c>
      <c r="F1864" t="s">
        <v>2350</v>
      </c>
      <c r="G1864">
        <v>303.42408811299998</v>
      </c>
      <c r="H1864" t="s">
        <v>1270</v>
      </c>
      <c r="Q1864">
        <v>2467.0696134899999</v>
      </c>
      <c r="R1864">
        <v>23189.741546900001</v>
      </c>
      <c r="S1864">
        <v>-14.884619605099999</v>
      </c>
      <c r="T1864">
        <v>74.195169695100006</v>
      </c>
      <c r="U1864">
        <v>0</v>
      </c>
      <c r="V1864">
        <v>0</v>
      </c>
    </row>
    <row r="1865" spans="1:22" x14ac:dyDescent="0.2">
      <c r="A1865"/>
      <c r="B1865">
        <v>26226</v>
      </c>
      <c r="C1865" t="s">
        <v>3985</v>
      </c>
      <c r="D1865" t="s">
        <v>1045</v>
      </c>
      <c r="E1865" t="s">
        <v>1048</v>
      </c>
      <c r="F1865" t="s">
        <v>1920</v>
      </c>
      <c r="G1865">
        <v>0</v>
      </c>
      <c r="H1865" t="s">
        <v>12</v>
      </c>
      <c r="Q1865">
        <v>6830.4770272599999</v>
      </c>
      <c r="R1865">
        <v>36715.481579500003</v>
      </c>
      <c r="S1865">
        <v>-9.1531696352700003</v>
      </c>
      <c r="T1865">
        <v>53.299450020099997</v>
      </c>
      <c r="U1865">
        <v>0</v>
      </c>
      <c r="V1865">
        <v>0</v>
      </c>
    </row>
    <row r="1866" spans="1:22" x14ac:dyDescent="0.2">
      <c r="A1866"/>
      <c r="B1866">
        <v>26227</v>
      </c>
      <c r="C1866" t="s">
        <v>4372</v>
      </c>
      <c r="D1866" t="s">
        <v>1045</v>
      </c>
      <c r="E1866" t="s">
        <v>3959</v>
      </c>
      <c r="F1866" t="s">
        <v>1920</v>
      </c>
      <c r="G1866">
        <v>0</v>
      </c>
      <c r="H1866" t="s">
        <v>1270</v>
      </c>
      <c r="Q1866">
        <v>6830.4770272599999</v>
      </c>
      <c r="R1866">
        <v>36715.481579500003</v>
      </c>
      <c r="S1866">
        <v>-9.1531696352700003</v>
      </c>
      <c r="T1866">
        <v>-126.70054998000001</v>
      </c>
      <c r="U1866">
        <v>0</v>
      </c>
      <c r="V1866">
        <v>0</v>
      </c>
    </row>
    <row r="1867" spans="1:22" x14ac:dyDescent="0.2">
      <c r="A1867"/>
      <c r="B1867">
        <v>26228</v>
      </c>
      <c r="C1867" t="s">
        <v>4373</v>
      </c>
      <c r="D1867" t="s">
        <v>1045</v>
      </c>
      <c r="E1867" t="s">
        <v>3959</v>
      </c>
      <c r="F1867" t="s">
        <v>2310</v>
      </c>
      <c r="G1867">
        <v>123.468169426</v>
      </c>
      <c r="H1867" t="s">
        <v>12</v>
      </c>
      <c r="Q1867">
        <v>7147.7245862</v>
      </c>
      <c r="R1867">
        <v>37139.6351928</v>
      </c>
      <c r="S1867">
        <v>-10.5149405612</v>
      </c>
      <c r="T1867">
        <v>53.5718001527</v>
      </c>
      <c r="U1867">
        <v>0</v>
      </c>
      <c r="V1867">
        <v>0</v>
      </c>
    </row>
    <row r="1868" spans="1:22" x14ac:dyDescent="0.2">
      <c r="A1868"/>
      <c r="B1868">
        <v>26229</v>
      </c>
      <c r="C1868" t="s">
        <v>3986</v>
      </c>
      <c r="D1868" t="s">
        <v>1045</v>
      </c>
      <c r="E1868" t="s">
        <v>1050</v>
      </c>
      <c r="F1868" t="s">
        <v>2310</v>
      </c>
      <c r="G1868">
        <v>123.468169426</v>
      </c>
      <c r="H1868" t="s">
        <v>1270</v>
      </c>
      <c r="Q1868">
        <v>7147.7245862</v>
      </c>
      <c r="R1868">
        <v>37139.6351928</v>
      </c>
      <c r="S1868">
        <v>-10.5149405612</v>
      </c>
      <c r="T1868">
        <v>-126.428199847</v>
      </c>
      <c r="U1868">
        <v>0</v>
      </c>
      <c r="V1868">
        <v>0</v>
      </c>
    </row>
    <row r="1869" spans="1:22" x14ac:dyDescent="0.2">
      <c r="A1869"/>
      <c r="B1869">
        <v>26230</v>
      </c>
      <c r="C1869" t="s">
        <v>3987</v>
      </c>
      <c r="D1869" t="s">
        <v>1045</v>
      </c>
      <c r="E1869" t="s">
        <v>1050</v>
      </c>
      <c r="F1869" t="s">
        <v>2310</v>
      </c>
      <c r="G1869">
        <v>486.49910214599998</v>
      </c>
      <c r="H1869" t="s">
        <v>12</v>
      </c>
      <c r="Q1869">
        <v>7069.8932132</v>
      </c>
      <c r="R1869">
        <v>37442.724402100001</v>
      </c>
      <c r="S1869">
        <v>-14.194164500199999</v>
      </c>
      <c r="T1869">
        <v>147.09346104299999</v>
      </c>
      <c r="U1869">
        <v>0</v>
      </c>
      <c r="V1869">
        <v>0</v>
      </c>
    </row>
    <row r="1870" spans="1:22" x14ac:dyDescent="0.2">
      <c r="A1870"/>
      <c r="B1870">
        <v>26231</v>
      </c>
      <c r="C1870" t="s">
        <v>4374</v>
      </c>
      <c r="D1870" t="s">
        <v>1045</v>
      </c>
      <c r="E1870" t="s">
        <v>3959</v>
      </c>
      <c r="F1870" t="s">
        <v>2310</v>
      </c>
      <c r="G1870">
        <v>486.49910214599998</v>
      </c>
      <c r="H1870" t="s">
        <v>1270</v>
      </c>
      <c r="Q1870">
        <v>7069.8932132</v>
      </c>
      <c r="R1870">
        <v>37442.724402100001</v>
      </c>
      <c r="S1870">
        <v>-14.194164500199999</v>
      </c>
      <c r="T1870">
        <v>-32.906538957000002</v>
      </c>
      <c r="U1870">
        <v>0</v>
      </c>
      <c r="V1870">
        <v>0</v>
      </c>
    </row>
    <row r="1871" spans="1:22" x14ac:dyDescent="0.2">
      <c r="A1871"/>
      <c r="B1871">
        <v>26232</v>
      </c>
      <c r="C1871" t="s">
        <v>4375</v>
      </c>
      <c r="D1871" t="s">
        <v>1045</v>
      </c>
      <c r="E1871" t="s">
        <v>3959</v>
      </c>
      <c r="F1871" t="s">
        <v>2310</v>
      </c>
      <c r="G1871">
        <v>805.07286522000004</v>
      </c>
      <c r="H1871" t="s">
        <v>12</v>
      </c>
      <c r="Q1871">
        <v>6780.4898583699996</v>
      </c>
      <c r="R1871">
        <v>37571.043079399999</v>
      </c>
      <c r="S1871">
        <v>-14.177622786400001</v>
      </c>
      <c r="T1871">
        <v>163.75822451799999</v>
      </c>
      <c r="U1871">
        <v>0</v>
      </c>
      <c r="V1871">
        <v>0</v>
      </c>
    </row>
    <row r="1872" spans="1:22" x14ac:dyDescent="0.2">
      <c r="A1872"/>
      <c r="B1872">
        <v>26233</v>
      </c>
      <c r="C1872" t="s">
        <v>3988</v>
      </c>
      <c r="D1872" t="s">
        <v>1045</v>
      </c>
      <c r="E1872" t="s">
        <v>3757</v>
      </c>
      <c r="F1872" t="s">
        <v>2310</v>
      </c>
      <c r="G1872">
        <v>805.07286522000004</v>
      </c>
      <c r="H1872" t="s">
        <v>1270</v>
      </c>
      <c r="Q1872">
        <v>6780.4898583699996</v>
      </c>
      <c r="R1872">
        <v>37571.043079399999</v>
      </c>
      <c r="S1872">
        <v>-14.177622786400001</v>
      </c>
      <c r="T1872">
        <v>-16.241775482000001</v>
      </c>
      <c r="U1872">
        <v>0</v>
      </c>
      <c r="V1872">
        <v>0</v>
      </c>
    </row>
    <row r="1873" spans="1:22" x14ac:dyDescent="0.2">
      <c r="A1873"/>
      <c r="B1873">
        <v>26234</v>
      </c>
      <c r="C1873" t="s">
        <v>3989</v>
      </c>
      <c r="D1873" t="s">
        <v>1045</v>
      </c>
      <c r="E1873" t="s">
        <v>3757</v>
      </c>
      <c r="F1873" t="s">
        <v>2310</v>
      </c>
      <c r="G1873">
        <v>880.49513008899999</v>
      </c>
      <c r="H1873" t="s">
        <v>12</v>
      </c>
      <c r="Q1873">
        <v>6708.0865709199998</v>
      </c>
      <c r="R1873">
        <v>37592.175607600002</v>
      </c>
      <c r="S1873">
        <v>-14.030209210900001</v>
      </c>
      <c r="T1873">
        <v>163.708891679</v>
      </c>
      <c r="U1873">
        <v>0</v>
      </c>
      <c r="V1873">
        <v>0</v>
      </c>
    </row>
    <row r="1874" spans="1:22" x14ac:dyDescent="0.2">
      <c r="A1874"/>
      <c r="B1874">
        <v>26235</v>
      </c>
      <c r="C1874" t="s">
        <v>3990</v>
      </c>
      <c r="D1874" t="s">
        <v>1045</v>
      </c>
      <c r="E1874" t="s">
        <v>3757</v>
      </c>
      <c r="F1874" t="s">
        <v>2310</v>
      </c>
      <c r="G1874">
        <v>880.49513008899999</v>
      </c>
      <c r="H1874" t="s">
        <v>1270</v>
      </c>
      <c r="Q1874">
        <v>6708.0865709199998</v>
      </c>
      <c r="R1874">
        <v>37592.175607600002</v>
      </c>
      <c r="S1874">
        <v>-14.030209210900001</v>
      </c>
      <c r="T1874">
        <v>-16.291108321399999</v>
      </c>
      <c r="U1874">
        <v>0</v>
      </c>
      <c r="V1874">
        <v>0</v>
      </c>
    </row>
    <row r="1875" spans="1:22" x14ac:dyDescent="0.2">
      <c r="A1875"/>
      <c r="B1875">
        <v>26236</v>
      </c>
      <c r="C1875" t="s">
        <v>3991</v>
      </c>
      <c r="D1875" t="s">
        <v>1045</v>
      </c>
      <c r="E1875" t="s">
        <v>3757</v>
      </c>
      <c r="F1875" t="s">
        <v>2310</v>
      </c>
      <c r="G1875">
        <v>983.91148832700003</v>
      </c>
      <c r="H1875" t="s">
        <v>12</v>
      </c>
      <c r="Q1875">
        <v>6610.6358012800001</v>
      </c>
      <c r="R1875">
        <v>37627.386819200001</v>
      </c>
      <c r="S1875">
        <v>-13.720799422200001</v>
      </c>
      <c r="T1875">
        <v>157.95364479599999</v>
      </c>
      <c r="U1875">
        <v>0</v>
      </c>
      <c r="V1875">
        <v>0</v>
      </c>
    </row>
    <row r="1876" spans="1:22" x14ac:dyDescent="0.2">
      <c r="A1876"/>
      <c r="B1876">
        <v>26237</v>
      </c>
      <c r="C1876" t="s">
        <v>3992</v>
      </c>
      <c r="D1876" t="s">
        <v>1045</v>
      </c>
      <c r="E1876" t="s">
        <v>3757</v>
      </c>
      <c r="F1876" t="s">
        <v>2310</v>
      </c>
      <c r="G1876">
        <v>983.91148832700003</v>
      </c>
      <c r="H1876" t="s">
        <v>1270</v>
      </c>
      <c r="Q1876">
        <v>6610.6358012800001</v>
      </c>
      <c r="R1876">
        <v>37627.386819200001</v>
      </c>
      <c r="S1876">
        <v>-13.720799422200001</v>
      </c>
      <c r="T1876">
        <v>-22.046355204299999</v>
      </c>
      <c r="U1876">
        <v>0</v>
      </c>
      <c r="V1876">
        <v>0</v>
      </c>
    </row>
    <row r="1877" spans="1:22" x14ac:dyDescent="0.2">
      <c r="A1877"/>
      <c r="B1877">
        <v>26238</v>
      </c>
      <c r="C1877" t="s">
        <v>3993</v>
      </c>
      <c r="D1877" t="s">
        <v>1045</v>
      </c>
      <c r="E1877" t="s">
        <v>3757</v>
      </c>
      <c r="F1877" t="s">
        <v>2310</v>
      </c>
      <c r="G1877">
        <v>1159.5045615500001</v>
      </c>
      <c r="H1877" t="s">
        <v>12</v>
      </c>
      <c r="Q1877">
        <v>6441.2483801300004</v>
      </c>
      <c r="R1877">
        <v>37668.527659699997</v>
      </c>
      <c r="S1877">
        <v>-11.1568842202</v>
      </c>
      <c r="T1877">
        <v>172.330914173</v>
      </c>
      <c r="U1877">
        <v>0</v>
      </c>
      <c r="V1877">
        <v>0</v>
      </c>
    </row>
    <row r="1878" spans="1:22" x14ac:dyDescent="0.2">
      <c r="A1878"/>
      <c r="B1878">
        <v>26239</v>
      </c>
      <c r="C1878" t="s">
        <v>3994</v>
      </c>
      <c r="D1878" t="s">
        <v>1045</v>
      </c>
      <c r="E1878" t="s">
        <v>3757</v>
      </c>
      <c r="F1878" t="s">
        <v>2310</v>
      </c>
      <c r="G1878">
        <v>1159.5045615500001</v>
      </c>
      <c r="H1878" t="s">
        <v>1270</v>
      </c>
      <c r="Q1878">
        <v>6441.2483801300004</v>
      </c>
      <c r="R1878">
        <v>37668.527659699997</v>
      </c>
      <c r="S1878">
        <v>-11.1568842202</v>
      </c>
      <c r="T1878">
        <v>-7.66908582715</v>
      </c>
      <c r="U1878">
        <v>0</v>
      </c>
      <c r="V1878">
        <v>0</v>
      </c>
    </row>
    <row r="1879" spans="1:22" x14ac:dyDescent="0.2">
      <c r="A1879"/>
      <c r="B1879">
        <v>26240</v>
      </c>
      <c r="C1879" t="s">
        <v>3995</v>
      </c>
      <c r="D1879" t="s">
        <v>1045</v>
      </c>
      <c r="E1879" t="s">
        <v>3757</v>
      </c>
      <c r="F1879" t="s">
        <v>2310</v>
      </c>
      <c r="G1879">
        <v>1477.8920241799999</v>
      </c>
      <c r="H1879" t="s">
        <v>12</v>
      </c>
      <c r="Q1879">
        <v>6125.76376557</v>
      </c>
      <c r="R1879">
        <v>37710.907528199998</v>
      </c>
      <c r="S1879">
        <v>-4.8313519534499996</v>
      </c>
      <c r="T1879">
        <v>172.19785691000001</v>
      </c>
      <c r="U1879">
        <v>0</v>
      </c>
      <c r="V1879">
        <v>0</v>
      </c>
    </row>
    <row r="1880" spans="1:22" x14ac:dyDescent="0.2">
      <c r="A1880"/>
      <c r="B1880">
        <v>26241</v>
      </c>
      <c r="C1880" t="s">
        <v>3996</v>
      </c>
      <c r="D1880" t="s">
        <v>1045</v>
      </c>
      <c r="E1880" t="s">
        <v>3757</v>
      </c>
      <c r="F1880" t="s">
        <v>2310</v>
      </c>
      <c r="G1880">
        <v>1477.8920241799999</v>
      </c>
      <c r="H1880" t="s">
        <v>1270</v>
      </c>
      <c r="Q1880">
        <v>6125.76376557</v>
      </c>
      <c r="R1880">
        <v>37710.907528199998</v>
      </c>
      <c r="S1880">
        <v>-4.8313519534499996</v>
      </c>
      <c r="T1880">
        <v>-7.8021430900500004</v>
      </c>
      <c r="U1880">
        <v>0</v>
      </c>
      <c r="V1880">
        <v>0</v>
      </c>
    </row>
    <row r="1881" spans="1:22" x14ac:dyDescent="0.2">
      <c r="A1881"/>
      <c r="B1881">
        <v>26242</v>
      </c>
      <c r="C1881" t="s">
        <v>3997</v>
      </c>
      <c r="D1881" t="s">
        <v>1045</v>
      </c>
      <c r="E1881" t="s">
        <v>3757</v>
      </c>
      <c r="F1881" t="s">
        <v>2310</v>
      </c>
      <c r="G1881">
        <v>1579.5434308199999</v>
      </c>
      <c r="H1881" t="s">
        <v>12</v>
      </c>
      <c r="Q1881">
        <v>6025.80639858</v>
      </c>
      <c r="R1881">
        <v>37730.244673000001</v>
      </c>
      <c r="S1881">
        <v>-5.4474451143499998</v>
      </c>
      <c r="T1881">
        <v>167.10783249599999</v>
      </c>
      <c r="U1881">
        <v>0</v>
      </c>
      <c r="V1881">
        <v>0</v>
      </c>
    </row>
    <row r="1882" spans="1:22" x14ac:dyDescent="0.2">
      <c r="A1882"/>
      <c r="B1882">
        <v>26243</v>
      </c>
      <c r="C1882" t="s">
        <v>3998</v>
      </c>
      <c r="D1882" t="s">
        <v>1045</v>
      </c>
      <c r="E1882" t="s">
        <v>3757</v>
      </c>
      <c r="F1882" t="s">
        <v>2310</v>
      </c>
      <c r="G1882">
        <v>1579.5434308199999</v>
      </c>
      <c r="H1882" t="s">
        <v>1270</v>
      </c>
      <c r="Q1882">
        <v>6025.80639858</v>
      </c>
      <c r="R1882">
        <v>37730.244673000001</v>
      </c>
      <c r="S1882">
        <v>-5.4474451143499998</v>
      </c>
      <c r="T1882">
        <v>-12.8921675044</v>
      </c>
      <c r="U1882">
        <v>0</v>
      </c>
      <c r="V1882">
        <v>0</v>
      </c>
    </row>
    <row r="1883" spans="1:22" x14ac:dyDescent="0.2">
      <c r="A1883"/>
      <c r="B1883">
        <v>26244</v>
      </c>
      <c r="C1883" t="s">
        <v>3999</v>
      </c>
      <c r="D1883" t="s">
        <v>1045</v>
      </c>
      <c r="E1883" t="s">
        <v>3757</v>
      </c>
      <c r="F1883" t="s">
        <v>2310</v>
      </c>
      <c r="G1883">
        <v>1692.08851093</v>
      </c>
      <c r="H1883" t="s">
        <v>12</v>
      </c>
      <c r="Q1883">
        <v>5914.9477759000001</v>
      </c>
      <c r="R1883">
        <v>37746.964322100001</v>
      </c>
      <c r="S1883">
        <v>-7.4447358102200001</v>
      </c>
      <c r="T1883">
        <v>174.287693069</v>
      </c>
      <c r="U1883">
        <v>0</v>
      </c>
      <c r="V1883">
        <v>0</v>
      </c>
    </row>
    <row r="1884" spans="1:22" x14ac:dyDescent="0.2">
      <c r="A1884"/>
      <c r="B1884">
        <v>26245</v>
      </c>
      <c r="C1884" t="s">
        <v>4000</v>
      </c>
      <c r="D1884" t="s">
        <v>1045</v>
      </c>
      <c r="E1884" t="s">
        <v>3757</v>
      </c>
      <c r="F1884" t="s">
        <v>2310</v>
      </c>
      <c r="G1884">
        <v>1692.08851093</v>
      </c>
      <c r="H1884" t="s">
        <v>1270</v>
      </c>
      <c r="Q1884">
        <v>5914.9477759000001</v>
      </c>
      <c r="R1884">
        <v>37746.964322100001</v>
      </c>
      <c r="S1884">
        <v>-7.4447358102200001</v>
      </c>
      <c r="T1884">
        <v>-5.7123069309099996</v>
      </c>
      <c r="U1884">
        <v>0</v>
      </c>
      <c r="V1884">
        <v>0</v>
      </c>
    </row>
    <row r="1885" spans="1:22" x14ac:dyDescent="0.2">
      <c r="A1885"/>
      <c r="B1885">
        <v>26246</v>
      </c>
      <c r="C1885" t="s">
        <v>4001</v>
      </c>
      <c r="D1885" t="s">
        <v>1045</v>
      </c>
      <c r="E1885" t="s">
        <v>3757</v>
      </c>
      <c r="F1885" t="s">
        <v>2310</v>
      </c>
      <c r="G1885">
        <v>1734.06494305</v>
      </c>
      <c r="H1885" t="s">
        <v>12</v>
      </c>
      <c r="Q1885">
        <v>5873.1936312799999</v>
      </c>
      <c r="R1885">
        <v>37751.142727300001</v>
      </c>
      <c r="S1885">
        <v>-8.5016181604700005</v>
      </c>
      <c r="T1885">
        <v>174.297474338</v>
      </c>
      <c r="U1885">
        <v>0</v>
      </c>
      <c r="V1885">
        <v>0</v>
      </c>
    </row>
    <row r="1886" spans="1:22" x14ac:dyDescent="0.2">
      <c r="A1886"/>
      <c r="B1886">
        <v>26247</v>
      </c>
      <c r="C1886" t="s">
        <v>4002</v>
      </c>
      <c r="D1886" t="s">
        <v>1045</v>
      </c>
      <c r="E1886" t="s">
        <v>3757</v>
      </c>
      <c r="F1886" t="s">
        <v>2310</v>
      </c>
      <c r="G1886">
        <v>1734.06494305</v>
      </c>
      <c r="H1886" t="s">
        <v>1270</v>
      </c>
      <c r="Q1886">
        <v>5873.1936312799999</v>
      </c>
      <c r="R1886">
        <v>37751.142727300001</v>
      </c>
      <c r="S1886">
        <v>-8.5016181604700005</v>
      </c>
      <c r="T1886">
        <v>-5.7025256622900002</v>
      </c>
      <c r="U1886">
        <v>0</v>
      </c>
      <c r="V1886">
        <v>0</v>
      </c>
    </row>
    <row r="1887" spans="1:22" x14ac:dyDescent="0.2">
      <c r="A1887"/>
      <c r="B1887">
        <v>26248</v>
      </c>
      <c r="C1887" t="s">
        <v>4003</v>
      </c>
      <c r="D1887" t="s">
        <v>1045</v>
      </c>
      <c r="E1887" t="s">
        <v>3757</v>
      </c>
      <c r="F1887" t="s">
        <v>2310</v>
      </c>
      <c r="G1887">
        <v>2042.8628353399999</v>
      </c>
      <c r="H1887" t="s">
        <v>12</v>
      </c>
      <c r="Q1887">
        <v>5571.6161572399997</v>
      </c>
      <c r="R1887">
        <v>37708.523083</v>
      </c>
      <c r="S1887">
        <v>-11.1532744059</v>
      </c>
      <c r="T1887">
        <v>-160.23800944300001</v>
      </c>
      <c r="U1887">
        <v>0</v>
      </c>
      <c r="V1887">
        <v>0</v>
      </c>
    </row>
    <row r="1888" spans="1:22" x14ac:dyDescent="0.2">
      <c r="A1888"/>
      <c r="B1888">
        <v>26249</v>
      </c>
      <c r="C1888" t="s">
        <v>4004</v>
      </c>
      <c r="D1888" t="s">
        <v>1045</v>
      </c>
      <c r="E1888" t="s">
        <v>3757</v>
      </c>
      <c r="F1888" t="s">
        <v>2310</v>
      </c>
      <c r="G1888">
        <v>2042.8628353399999</v>
      </c>
      <c r="H1888" t="s">
        <v>1270</v>
      </c>
      <c r="Q1888">
        <v>5571.6161572399997</v>
      </c>
      <c r="R1888">
        <v>37708.523083</v>
      </c>
      <c r="S1888">
        <v>-11.1532744059</v>
      </c>
      <c r="T1888">
        <v>19.761990556699999</v>
      </c>
      <c r="U1888">
        <v>0</v>
      </c>
      <c r="V1888">
        <v>0</v>
      </c>
    </row>
    <row r="1889" spans="1:22" x14ac:dyDescent="0.2">
      <c r="A1889"/>
      <c r="B1889">
        <v>26250</v>
      </c>
      <c r="C1889" t="s">
        <v>4005</v>
      </c>
      <c r="D1889" t="s">
        <v>1045</v>
      </c>
      <c r="E1889" t="s">
        <v>3757</v>
      </c>
      <c r="F1889" t="s">
        <v>2310</v>
      </c>
      <c r="G1889">
        <v>2096.3114528400001</v>
      </c>
      <c r="H1889" t="s">
        <v>12</v>
      </c>
      <c r="Q1889">
        <v>5521.4015248599999</v>
      </c>
      <c r="R1889">
        <v>37690.2741369</v>
      </c>
      <c r="S1889">
        <v>-10.648091762</v>
      </c>
      <c r="T1889">
        <v>-159.81909066200001</v>
      </c>
      <c r="U1889">
        <v>0</v>
      </c>
      <c r="V1889">
        <v>0</v>
      </c>
    </row>
    <row r="1890" spans="1:22" x14ac:dyDescent="0.2">
      <c r="A1890"/>
      <c r="B1890">
        <v>26251</v>
      </c>
      <c r="C1890" t="s">
        <v>4006</v>
      </c>
      <c r="D1890" t="s">
        <v>1045</v>
      </c>
      <c r="E1890" t="s">
        <v>1048</v>
      </c>
      <c r="F1890" t="s">
        <v>2310</v>
      </c>
      <c r="G1890">
        <v>2096.3114528400001</v>
      </c>
      <c r="H1890" t="s">
        <v>1270</v>
      </c>
      <c r="Q1890">
        <v>5521.4015248599999</v>
      </c>
      <c r="R1890">
        <v>37690.2741369</v>
      </c>
      <c r="S1890">
        <v>-10.648091762</v>
      </c>
      <c r="T1890">
        <v>20.180909337900001</v>
      </c>
      <c r="U1890">
        <v>0</v>
      </c>
      <c r="V1890">
        <v>0</v>
      </c>
    </row>
    <row r="1891" spans="1:22" x14ac:dyDescent="0.2">
      <c r="A1891"/>
      <c r="B1891">
        <v>26252</v>
      </c>
      <c r="C1891" t="s">
        <v>4007</v>
      </c>
      <c r="D1891" t="s">
        <v>1045</v>
      </c>
      <c r="E1891" t="s">
        <v>1048</v>
      </c>
      <c r="F1891" t="s">
        <v>2310</v>
      </c>
      <c r="G1891">
        <v>2243.5378318100002</v>
      </c>
      <c r="H1891" t="s">
        <v>12</v>
      </c>
      <c r="Q1891">
        <v>5391.2076945199997</v>
      </c>
      <c r="R1891">
        <v>37623.590012599998</v>
      </c>
      <c r="S1891">
        <v>-10.0965580596</v>
      </c>
      <c r="T1891">
        <v>-147.66920319900001</v>
      </c>
      <c r="U1891">
        <v>0</v>
      </c>
      <c r="V1891">
        <v>0</v>
      </c>
    </row>
    <row r="1892" spans="1:22" x14ac:dyDescent="0.2">
      <c r="A1892"/>
      <c r="B1892">
        <v>26253</v>
      </c>
      <c r="C1892" t="s">
        <v>4008</v>
      </c>
      <c r="D1892" t="s">
        <v>1045</v>
      </c>
      <c r="E1892" t="s">
        <v>3757</v>
      </c>
      <c r="F1892" t="s">
        <v>2310</v>
      </c>
      <c r="G1892">
        <v>2243.5378318100002</v>
      </c>
      <c r="H1892" t="s">
        <v>1270</v>
      </c>
      <c r="Q1892">
        <v>5391.2076945199997</v>
      </c>
      <c r="R1892">
        <v>37623.590012599998</v>
      </c>
      <c r="S1892">
        <v>-10.0965580596</v>
      </c>
      <c r="T1892">
        <v>32.3307968011</v>
      </c>
      <c r="U1892">
        <v>0</v>
      </c>
      <c r="V1892">
        <v>0</v>
      </c>
    </row>
    <row r="1893" spans="1:22" x14ac:dyDescent="0.2">
      <c r="A1893"/>
      <c r="B1893">
        <v>26254</v>
      </c>
      <c r="C1893" t="s">
        <v>4009</v>
      </c>
      <c r="D1893" t="s">
        <v>1045</v>
      </c>
      <c r="E1893" t="s">
        <v>3757</v>
      </c>
      <c r="F1893" t="s">
        <v>2310</v>
      </c>
      <c r="G1893">
        <v>2305.7229597</v>
      </c>
      <c r="H1893" t="s">
        <v>12</v>
      </c>
      <c r="Q1893">
        <v>5338.7914016200002</v>
      </c>
      <c r="R1893">
        <v>37590.177912400002</v>
      </c>
      <c r="S1893">
        <v>-10.1060934754</v>
      </c>
      <c r="T1893">
        <v>-147.09363215400001</v>
      </c>
      <c r="U1893">
        <v>0</v>
      </c>
      <c r="V1893">
        <v>0</v>
      </c>
    </row>
    <row r="1894" spans="1:22" x14ac:dyDescent="0.2">
      <c r="A1894"/>
      <c r="B1894">
        <v>26255</v>
      </c>
      <c r="C1894" t="s">
        <v>4010</v>
      </c>
      <c r="D1894" t="s">
        <v>1045</v>
      </c>
      <c r="E1894" t="s">
        <v>3757</v>
      </c>
      <c r="F1894" t="s">
        <v>2310</v>
      </c>
      <c r="G1894">
        <v>2305.7229597</v>
      </c>
      <c r="H1894" t="s">
        <v>1270</v>
      </c>
      <c r="Q1894">
        <v>5338.7914016200002</v>
      </c>
      <c r="R1894">
        <v>37590.177912400002</v>
      </c>
      <c r="S1894">
        <v>-10.1060934754</v>
      </c>
      <c r="T1894">
        <v>32.906367846099997</v>
      </c>
      <c r="U1894">
        <v>0</v>
      </c>
      <c r="V1894">
        <v>0</v>
      </c>
    </row>
    <row r="1895" spans="1:22" x14ac:dyDescent="0.2">
      <c r="A1895"/>
      <c r="B1895">
        <v>26256</v>
      </c>
      <c r="C1895" t="s">
        <v>4011</v>
      </c>
      <c r="D1895" t="s">
        <v>1045</v>
      </c>
      <c r="E1895" t="s">
        <v>3757</v>
      </c>
      <c r="F1895" t="s">
        <v>2310</v>
      </c>
      <c r="G1895">
        <v>2459.5777124400001</v>
      </c>
      <c r="H1895" t="s">
        <v>12</v>
      </c>
      <c r="Q1895">
        <v>5214.4187968899996</v>
      </c>
      <c r="R1895">
        <v>37500.169602100003</v>
      </c>
      <c r="S1895">
        <v>-10.127337498399999</v>
      </c>
      <c r="T1895">
        <v>-141.592293837</v>
      </c>
      <c r="U1895">
        <v>0</v>
      </c>
      <c r="V1895">
        <v>0</v>
      </c>
    </row>
    <row r="1896" spans="1:22" x14ac:dyDescent="0.2">
      <c r="A1896"/>
      <c r="B1896">
        <v>26257</v>
      </c>
      <c r="C1896" t="s">
        <v>4012</v>
      </c>
      <c r="D1896" t="s">
        <v>1045</v>
      </c>
      <c r="E1896" t="s">
        <v>3757</v>
      </c>
      <c r="F1896" t="s">
        <v>2310</v>
      </c>
      <c r="G1896">
        <v>2459.5777124400001</v>
      </c>
      <c r="H1896" t="s">
        <v>1270</v>
      </c>
      <c r="Q1896">
        <v>5214.4187968899996</v>
      </c>
      <c r="R1896">
        <v>37500.169602100003</v>
      </c>
      <c r="S1896">
        <v>-10.127337498399999</v>
      </c>
      <c r="T1896">
        <v>38.407706162899999</v>
      </c>
      <c r="U1896">
        <v>0</v>
      </c>
      <c r="V1896">
        <v>0</v>
      </c>
    </row>
    <row r="1897" spans="1:22" x14ac:dyDescent="0.2">
      <c r="A1897"/>
      <c r="B1897">
        <v>26258</v>
      </c>
      <c r="C1897" t="s">
        <v>4013</v>
      </c>
      <c r="D1897" t="s">
        <v>1045</v>
      </c>
      <c r="E1897" t="s">
        <v>3757</v>
      </c>
      <c r="F1897" t="s">
        <v>2310</v>
      </c>
      <c r="G1897">
        <v>2543.64824013</v>
      </c>
      <c r="H1897" t="s">
        <v>12</v>
      </c>
      <c r="Q1897">
        <v>5148.6324287999996</v>
      </c>
      <c r="R1897">
        <v>37447.8601519</v>
      </c>
      <c r="S1897">
        <v>-11.589838861</v>
      </c>
      <c r="T1897">
        <v>-141.422436457</v>
      </c>
      <c r="U1897">
        <v>0</v>
      </c>
      <c r="V1897">
        <v>0</v>
      </c>
    </row>
    <row r="1898" spans="1:22" x14ac:dyDescent="0.2">
      <c r="A1898"/>
      <c r="B1898">
        <v>26259</v>
      </c>
      <c r="C1898" t="s">
        <v>4014</v>
      </c>
      <c r="D1898" t="s">
        <v>1045</v>
      </c>
      <c r="E1898" t="s">
        <v>3757</v>
      </c>
      <c r="F1898" t="s">
        <v>2310</v>
      </c>
      <c r="G1898">
        <v>2543.64824013</v>
      </c>
      <c r="H1898" t="s">
        <v>1270</v>
      </c>
      <c r="Q1898">
        <v>5148.6324287999996</v>
      </c>
      <c r="R1898">
        <v>37447.8601519</v>
      </c>
      <c r="S1898">
        <v>-11.589838861</v>
      </c>
      <c r="T1898">
        <v>38.5775635428</v>
      </c>
      <c r="U1898">
        <v>0</v>
      </c>
      <c r="V1898">
        <v>0</v>
      </c>
    </row>
    <row r="1899" spans="1:22" x14ac:dyDescent="0.2">
      <c r="A1899"/>
      <c r="B1899">
        <v>26260</v>
      </c>
      <c r="C1899" t="s">
        <v>4015</v>
      </c>
      <c r="D1899" t="s">
        <v>1045</v>
      </c>
      <c r="E1899" t="s">
        <v>3757</v>
      </c>
      <c r="F1899" t="s">
        <v>2310</v>
      </c>
      <c r="G1899">
        <v>2752.1968817699999</v>
      </c>
      <c r="H1899" t="s">
        <v>12</v>
      </c>
      <c r="Q1899">
        <v>5003.4514923300003</v>
      </c>
      <c r="R1899">
        <v>37299.792706400003</v>
      </c>
      <c r="S1899">
        <v>-16.7892396172</v>
      </c>
      <c r="T1899">
        <v>-128.52304513499999</v>
      </c>
      <c r="U1899">
        <v>0</v>
      </c>
      <c r="V1899">
        <v>0</v>
      </c>
    </row>
    <row r="1900" spans="1:22" x14ac:dyDescent="0.2">
      <c r="A1900"/>
      <c r="B1900">
        <v>26261</v>
      </c>
      <c r="C1900" t="s">
        <v>4016</v>
      </c>
      <c r="D1900" t="s">
        <v>1045</v>
      </c>
      <c r="E1900" t="s">
        <v>3757</v>
      </c>
      <c r="F1900" t="s">
        <v>2310</v>
      </c>
      <c r="G1900">
        <v>2752.1968817699999</v>
      </c>
      <c r="H1900" t="s">
        <v>1270</v>
      </c>
      <c r="Q1900">
        <v>5003.4514923300003</v>
      </c>
      <c r="R1900">
        <v>37299.792706400003</v>
      </c>
      <c r="S1900">
        <v>-16.7892396172</v>
      </c>
      <c r="T1900">
        <v>51.4769548648</v>
      </c>
      <c r="U1900">
        <v>0</v>
      </c>
      <c r="V1900">
        <v>0</v>
      </c>
    </row>
    <row r="1901" spans="1:22" x14ac:dyDescent="0.2">
      <c r="A1901"/>
      <c r="B1901">
        <v>26262</v>
      </c>
      <c r="C1901" t="s">
        <v>4017</v>
      </c>
      <c r="D1901" t="s">
        <v>1045</v>
      </c>
      <c r="E1901" t="s">
        <v>3757</v>
      </c>
      <c r="F1901" t="s">
        <v>2310</v>
      </c>
      <c r="G1901">
        <v>2813.0681012599998</v>
      </c>
      <c r="H1901" t="s">
        <v>12</v>
      </c>
      <c r="Q1901">
        <v>4965.5900701600003</v>
      </c>
      <c r="R1901">
        <v>37252.162829699999</v>
      </c>
      <c r="S1901">
        <v>-17.832205137199999</v>
      </c>
      <c r="T1901">
        <v>-128.14663991699999</v>
      </c>
      <c r="U1901">
        <v>0</v>
      </c>
      <c r="V1901">
        <v>0</v>
      </c>
    </row>
    <row r="1902" spans="1:22" x14ac:dyDescent="0.2">
      <c r="A1902"/>
      <c r="B1902">
        <v>26263</v>
      </c>
      <c r="C1902" t="s">
        <v>4018</v>
      </c>
      <c r="D1902" t="s">
        <v>1045</v>
      </c>
      <c r="E1902" t="s">
        <v>3757</v>
      </c>
      <c r="F1902" t="s">
        <v>2310</v>
      </c>
      <c r="G1902">
        <v>2813.0681012599998</v>
      </c>
      <c r="H1902" t="s">
        <v>1270</v>
      </c>
      <c r="Q1902">
        <v>4965.5900701600003</v>
      </c>
      <c r="R1902">
        <v>37252.162829699999</v>
      </c>
      <c r="S1902">
        <v>-17.832205137199999</v>
      </c>
      <c r="T1902">
        <v>51.853360083200002</v>
      </c>
      <c r="U1902">
        <v>0</v>
      </c>
      <c r="V1902">
        <v>0</v>
      </c>
    </row>
    <row r="1903" spans="1:22" x14ac:dyDescent="0.2">
      <c r="A1903"/>
      <c r="B1903">
        <v>26264</v>
      </c>
      <c r="C1903" t="s">
        <v>4019</v>
      </c>
      <c r="D1903" t="s">
        <v>1045</v>
      </c>
      <c r="E1903" t="s">
        <v>3757</v>
      </c>
      <c r="F1903" t="s">
        <v>2310</v>
      </c>
      <c r="G1903">
        <v>2953.6170800199998</v>
      </c>
      <c r="H1903" t="s">
        <v>12</v>
      </c>
      <c r="Q1903">
        <v>4887.2022933600001</v>
      </c>
      <c r="R1903">
        <v>37136.089575999998</v>
      </c>
      <c r="S1903">
        <v>-17.0580088058</v>
      </c>
      <c r="T1903">
        <v>-120.71004808399999</v>
      </c>
      <c r="U1903">
        <v>0</v>
      </c>
      <c r="V1903">
        <v>0</v>
      </c>
    </row>
    <row r="1904" spans="1:22" x14ac:dyDescent="0.2">
      <c r="A1904"/>
      <c r="B1904">
        <v>26265</v>
      </c>
      <c r="C1904" t="s">
        <v>4020</v>
      </c>
      <c r="D1904" t="s">
        <v>1045</v>
      </c>
      <c r="E1904" t="s">
        <v>3757</v>
      </c>
      <c r="F1904" t="s">
        <v>2310</v>
      </c>
      <c r="G1904">
        <v>2953.6170800199998</v>
      </c>
      <c r="H1904" t="s">
        <v>1270</v>
      </c>
      <c r="Q1904">
        <v>4887.2022933600001</v>
      </c>
      <c r="R1904">
        <v>37136.089575999998</v>
      </c>
      <c r="S1904">
        <v>-17.0580088058</v>
      </c>
      <c r="T1904">
        <v>59.289951916500002</v>
      </c>
      <c r="U1904">
        <v>0</v>
      </c>
      <c r="V1904">
        <v>0</v>
      </c>
    </row>
    <row r="1905" spans="1:22" x14ac:dyDescent="0.2">
      <c r="A1905"/>
      <c r="B1905">
        <v>26266</v>
      </c>
      <c r="C1905" t="s">
        <v>4021</v>
      </c>
      <c r="D1905" t="s">
        <v>1045</v>
      </c>
      <c r="E1905" t="s">
        <v>3757</v>
      </c>
      <c r="F1905" t="s">
        <v>2310</v>
      </c>
      <c r="G1905">
        <v>3064.05402349</v>
      </c>
      <c r="H1905" t="s">
        <v>12</v>
      </c>
      <c r="Q1905">
        <v>4831.3915980399997</v>
      </c>
      <c r="R1905">
        <v>37040.840895200003</v>
      </c>
      <c r="S1905">
        <v>-14.838577563899999</v>
      </c>
      <c r="T1905">
        <v>-120.27596437299999</v>
      </c>
      <c r="U1905">
        <v>0</v>
      </c>
      <c r="V1905">
        <v>0</v>
      </c>
    </row>
    <row r="1906" spans="1:22" x14ac:dyDescent="0.2">
      <c r="A1906"/>
      <c r="B1906">
        <v>26267</v>
      </c>
      <c r="C1906" t="s">
        <v>4022</v>
      </c>
      <c r="D1906" t="s">
        <v>1045</v>
      </c>
      <c r="E1906" t="s">
        <v>3757</v>
      </c>
      <c r="F1906" t="s">
        <v>2310</v>
      </c>
      <c r="G1906">
        <v>3064.05402349</v>
      </c>
      <c r="H1906" t="s">
        <v>1270</v>
      </c>
      <c r="Q1906">
        <v>4831.3915980399997</v>
      </c>
      <c r="R1906">
        <v>37040.840895200003</v>
      </c>
      <c r="S1906">
        <v>-14.838577563899999</v>
      </c>
      <c r="T1906">
        <v>59.724035626999999</v>
      </c>
      <c r="U1906">
        <v>0</v>
      </c>
      <c r="V1906">
        <v>0</v>
      </c>
    </row>
    <row r="1907" spans="1:22" x14ac:dyDescent="0.2">
      <c r="A1907"/>
      <c r="B1907">
        <v>26268</v>
      </c>
      <c r="C1907" t="s">
        <v>4023</v>
      </c>
      <c r="D1907" t="s">
        <v>1045</v>
      </c>
      <c r="E1907" t="s">
        <v>3757</v>
      </c>
      <c r="F1907" t="s">
        <v>2310</v>
      </c>
      <c r="G1907">
        <v>3200.5926400100002</v>
      </c>
      <c r="H1907" t="s">
        <v>12</v>
      </c>
      <c r="Q1907">
        <v>4775.0015542000001</v>
      </c>
      <c r="R1907">
        <v>36917.327753199999</v>
      </c>
      <c r="S1907">
        <v>-13.627811488500001</v>
      </c>
      <c r="T1907">
        <v>-109.726526256</v>
      </c>
      <c r="U1907">
        <v>0</v>
      </c>
      <c r="V1907">
        <v>0</v>
      </c>
    </row>
    <row r="1908" spans="1:22" x14ac:dyDescent="0.2">
      <c r="A1908"/>
      <c r="B1908">
        <v>26269</v>
      </c>
      <c r="C1908" t="s">
        <v>4024</v>
      </c>
      <c r="D1908" t="s">
        <v>1045</v>
      </c>
      <c r="E1908" t="s">
        <v>3757</v>
      </c>
      <c r="F1908" t="s">
        <v>2310</v>
      </c>
      <c r="G1908">
        <v>3200.5926400100002</v>
      </c>
      <c r="H1908" t="s">
        <v>1270</v>
      </c>
      <c r="Q1908">
        <v>4775.0015542000001</v>
      </c>
      <c r="R1908">
        <v>36917.327753199999</v>
      </c>
      <c r="S1908">
        <v>-13.627811488500001</v>
      </c>
      <c r="T1908">
        <v>70.273473744399993</v>
      </c>
      <c r="U1908">
        <v>0</v>
      </c>
      <c r="V1908">
        <v>0</v>
      </c>
    </row>
    <row r="1909" spans="1:22" x14ac:dyDescent="0.2">
      <c r="A1909"/>
      <c r="B1909">
        <v>26270</v>
      </c>
      <c r="C1909" t="s">
        <v>4025</v>
      </c>
      <c r="D1909" t="s">
        <v>1045</v>
      </c>
      <c r="E1909" t="s">
        <v>3757</v>
      </c>
      <c r="F1909" t="s">
        <v>2310</v>
      </c>
      <c r="G1909">
        <v>3226.01774828</v>
      </c>
      <c r="H1909" t="s">
        <v>12</v>
      </c>
      <c r="Q1909">
        <v>4766.4334175200001</v>
      </c>
      <c r="R1909">
        <v>36893.396158700001</v>
      </c>
      <c r="S1909">
        <v>-13.6192930594</v>
      </c>
      <c r="T1909">
        <v>-109.590589792</v>
      </c>
      <c r="U1909">
        <v>0</v>
      </c>
      <c r="V1909">
        <v>0</v>
      </c>
    </row>
    <row r="1910" spans="1:22" x14ac:dyDescent="0.2">
      <c r="A1910"/>
      <c r="B1910">
        <v>26271</v>
      </c>
      <c r="C1910" t="s">
        <v>4026</v>
      </c>
      <c r="D1910" t="s">
        <v>1045</v>
      </c>
      <c r="E1910" t="s">
        <v>3757</v>
      </c>
      <c r="F1910" t="s">
        <v>2310</v>
      </c>
      <c r="G1910">
        <v>3226.01774828</v>
      </c>
      <c r="H1910" t="s">
        <v>1270</v>
      </c>
      <c r="Q1910">
        <v>4766.4334175200001</v>
      </c>
      <c r="R1910">
        <v>36893.396158700001</v>
      </c>
      <c r="S1910">
        <v>-13.6192930594</v>
      </c>
      <c r="T1910">
        <v>70.409410208300002</v>
      </c>
      <c r="U1910">
        <v>0</v>
      </c>
      <c r="V1910">
        <v>0</v>
      </c>
    </row>
    <row r="1911" spans="1:22" x14ac:dyDescent="0.2">
      <c r="A1911"/>
      <c r="B1911">
        <v>26272</v>
      </c>
      <c r="C1911" t="s">
        <v>4027</v>
      </c>
      <c r="D1911" t="s">
        <v>1045</v>
      </c>
      <c r="E1911" t="s">
        <v>3757</v>
      </c>
      <c r="F1911" t="s">
        <v>2310</v>
      </c>
      <c r="G1911">
        <v>3473.92481051</v>
      </c>
      <c r="H1911" t="s">
        <v>12</v>
      </c>
      <c r="Q1911">
        <v>4705.8326842699998</v>
      </c>
      <c r="R1911">
        <v>36653.903296500001</v>
      </c>
      <c r="S1911">
        <v>-13.662261600000001</v>
      </c>
      <c r="T1911">
        <v>-99.336485515500001</v>
      </c>
      <c r="U1911">
        <v>0</v>
      </c>
      <c r="V1911">
        <v>0</v>
      </c>
    </row>
    <row r="1912" spans="1:22" x14ac:dyDescent="0.2">
      <c r="A1912"/>
      <c r="B1912">
        <v>26273</v>
      </c>
      <c r="C1912" t="s">
        <v>4028</v>
      </c>
      <c r="D1912" t="s">
        <v>1045</v>
      </c>
      <c r="E1912" t="s">
        <v>3757</v>
      </c>
      <c r="F1912" t="s">
        <v>2310</v>
      </c>
      <c r="G1912">
        <v>3473.92481051</v>
      </c>
      <c r="H1912" t="s">
        <v>1270</v>
      </c>
      <c r="Q1912">
        <v>4705.8326842699998</v>
      </c>
      <c r="R1912">
        <v>36653.903296500001</v>
      </c>
      <c r="S1912">
        <v>-13.662261600000001</v>
      </c>
      <c r="T1912">
        <v>80.663514484499999</v>
      </c>
      <c r="U1912">
        <v>0</v>
      </c>
      <c r="V1912">
        <v>0</v>
      </c>
    </row>
    <row r="1913" spans="1:22" x14ac:dyDescent="0.2">
      <c r="A1913"/>
      <c r="B1913">
        <v>26274</v>
      </c>
      <c r="C1913" t="s">
        <v>4029</v>
      </c>
      <c r="D1913" t="s">
        <v>1045</v>
      </c>
      <c r="E1913" t="s">
        <v>3757</v>
      </c>
      <c r="F1913" t="s">
        <v>2310</v>
      </c>
      <c r="G1913">
        <v>3532.0995761700001</v>
      </c>
      <c r="H1913" t="s">
        <v>12</v>
      </c>
      <c r="Q1913">
        <v>4696.63925973</v>
      </c>
      <c r="R1913">
        <v>36596.485594099999</v>
      </c>
      <c r="S1913">
        <v>-14.468836208999999</v>
      </c>
      <c r="T1913">
        <v>-98.885751720100004</v>
      </c>
      <c r="U1913">
        <v>0</v>
      </c>
      <c r="V1913">
        <v>0</v>
      </c>
    </row>
    <row r="1914" spans="1:22" x14ac:dyDescent="0.2">
      <c r="A1914"/>
      <c r="B1914">
        <v>26275</v>
      </c>
      <c r="C1914" t="s">
        <v>4030</v>
      </c>
      <c r="D1914" t="s">
        <v>1045</v>
      </c>
      <c r="E1914" t="s">
        <v>3757</v>
      </c>
      <c r="F1914" t="s">
        <v>2310</v>
      </c>
      <c r="G1914">
        <v>3532.0995761700001</v>
      </c>
      <c r="H1914" t="s">
        <v>1270</v>
      </c>
      <c r="Q1914">
        <v>4696.63925973</v>
      </c>
      <c r="R1914">
        <v>36596.485594099999</v>
      </c>
      <c r="S1914">
        <v>-14.468836208999999</v>
      </c>
      <c r="T1914">
        <v>81.114248279899996</v>
      </c>
      <c r="U1914">
        <v>0</v>
      </c>
      <c r="V1914">
        <v>0</v>
      </c>
    </row>
    <row r="1915" spans="1:22" x14ac:dyDescent="0.2">
      <c r="A1915"/>
      <c r="B1915">
        <v>26276</v>
      </c>
      <c r="C1915" t="s">
        <v>4031</v>
      </c>
      <c r="D1915" t="s">
        <v>1045</v>
      </c>
      <c r="E1915" t="s">
        <v>3757</v>
      </c>
      <c r="F1915" t="s">
        <v>2310</v>
      </c>
      <c r="G1915">
        <v>3648.8707348200001</v>
      </c>
      <c r="H1915" t="s">
        <v>12</v>
      </c>
      <c r="Q1915">
        <v>4688.0599563799997</v>
      </c>
      <c r="R1915">
        <v>36480.597702500003</v>
      </c>
      <c r="S1915">
        <v>-16.35930557</v>
      </c>
      <c r="T1915">
        <v>-90.390251406800004</v>
      </c>
      <c r="U1915">
        <v>0</v>
      </c>
      <c r="V1915">
        <v>0</v>
      </c>
    </row>
    <row r="1916" spans="1:22" x14ac:dyDescent="0.2">
      <c r="A1916"/>
      <c r="B1916">
        <v>26277</v>
      </c>
      <c r="C1916" t="s">
        <v>4032</v>
      </c>
      <c r="D1916" t="s">
        <v>1045</v>
      </c>
      <c r="E1916" t="s">
        <v>3757</v>
      </c>
      <c r="F1916" t="s">
        <v>2310</v>
      </c>
      <c r="G1916">
        <v>3648.8707348200001</v>
      </c>
      <c r="H1916" t="s">
        <v>1270</v>
      </c>
      <c r="Q1916">
        <v>4688.0599563799997</v>
      </c>
      <c r="R1916">
        <v>36480.597702500003</v>
      </c>
      <c r="S1916">
        <v>-16.35930557</v>
      </c>
      <c r="T1916">
        <v>89.609748593199996</v>
      </c>
      <c r="U1916">
        <v>0</v>
      </c>
      <c r="V1916">
        <v>0</v>
      </c>
    </row>
    <row r="1917" spans="1:22" x14ac:dyDescent="0.2">
      <c r="A1917"/>
      <c r="B1917">
        <v>26278</v>
      </c>
      <c r="C1917" t="s">
        <v>4033</v>
      </c>
      <c r="D1917" t="s">
        <v>1045</v>
      </c>
      <c r="E1917" t="s">
        <v>3757</v>
      </c>
      <c r="F1917" t="s">
        <v>2310</v>
      </c>
      <c r="G1917">
        <v>3822.3752819900001</v>
      </c>
      <c r="H1917" t="s">
        <v>12</v>
      </c>
      <c r="Q1917">
        <v>4687.2246871099996</v>
      </c>
      <c r="R1917">
        <v>36307.094314100003</v>
      </c>
      <c r="S1917">
        <v>-16.2615548566</v>
      </c>
      <c r="T1917">
        <v>-90.437358531399994</v>
      </c>
      <c r="U1917">
        <v>0</v>
      </c>
      <c r="V1917">
        <v>0</v>
      </c>
    </row>
    <row r="1918" spans="1:22" x14ac:dyDescent="0.2">
      <c r="A1918"/>
      <c r="B1918">
        <v>26279</v>
      </c>
      <c r="C1918" t="s">
        <v>4034</v>
      </c>
      <c r="D1918" t="s">
        <v>1045</v>
      </c>
      <c r="E1918" t="s">
        <v>1048</v>
      </c>
      <c r="F1918" t="s">
        <v>2310</v>
      </c>
      <c r="G1918">
        <v>3822.3752819900001</v>
      </c>
      <c r="H1918" t="s">
        <v>1270</v>
      </c>
      <c r="Q1918">
        <v>4687.2246871099996</v>
      </c>
      <c r="R1918">
        <v>36307.094314100003</v>
      </c>
      <c r="S1918">
        <v>-16.2615548566</v>
      </c>
      <c r="T1918">
        <v>89.562641468600006</v>
      </c>
      <c r="U1918">
        <v>0</v>
      </c>
      <c r="V1918">
        <v>0</v>
      </c>
    </row>
    <row r="1919" spans="1:22" x14ac:dyDescent="0.2">
      <c r="A1919"/>
      <c r="B1919">
        <v>26280</v>
      </c>
      <c r="C1919" t="s">
        <v>4035</v>
      </c>
      <c r="D1919" t="s">
        <v>1045</v>
      </c>
      <c r="E1919" t="s">
        <v>1048</v>
      </c>
      <c r="F1919" t="s">
        <v>2310</v>
      </c>
      <c r="G1919">
        <v>3993.0068801799998</v>
      </c>
      <c r="H1919" t="s">
        <v>12</v>
      </c>
      <c r="Q1919">
        <v>4659.5446900799998</v>
      </c>
      <c r="R1919">
        <v>36138.897140300003</v>
      </c>
      <c r="S1919">
        <v>-16.496570156299999</v>
      </c>
      <c r="T1919">
        <v>-107.557315045</v>
      </c>
      <c r="U1919">
        <v>0</v>
      </c>
      <c r="V1919">
        <v>0</v>
      </c>
    </row>
    <row r="1920" spans="1:22" x14ac:dyDescent="0.2">
      <c r="A1920"/>
      <c r="B1920">
        <v>26281</v>
      </c>
      <c r="C1920" t="s">
        <v>4036</v>
      </c>
      <c r="D1920" t="s">
        <v>1045</v>
      </c>
      <c r="E1920" t="s">
        <v>3757</v>
      </c>
      <c r="F1920" t="s">
        <v>2310</v>
      </c>
      <c r="G1920">
        <v>3993.0068801799998</v>
      </c>
      <c r="H1920" t="s">
        <v>1270</v>
      </c>
      <c r="Q1920">
        <v>4659.5446900799998</v>
      </c>
      <c r="R1920">
        <v>36138.897140300003</v>
      </c>
      <c r="S1920">
        <v>-16.496570156299999</v>
      </c>
      <c r="T1920">
        <v>72.442684954599997</v>
      </c>
      <c r="U1920">
        <v>0</v>
      </c>
      <c r="V1920">
        <v>0</v>
      </c>
    </row>
    <row r="1921" spans="1:22" x14ac:dyDescent="0.2">
      <c r="A1921"/>
      <c r="B1921">
        <v>26282</v>
      </c>
      <c r="C1921" t="s">
        <v>4037</v>
      </c>
      <c r="D1921" t="s">
        <v>1045</v>
      </c>
      <c r="E1921" t="s">
        <v>3757</v>
      </c>
      <c r="F1921" t="s">
        <v>2310</v>
      </c>
      <c r="G1921">
        <v>4030.6101544600001</v>
      </c>
      <c r="H1921" t="s">
        <v>12</v>
      </c>
      <c r="Q1921">
        <v>4648.2795831900003</v>
      </c>
      <c r="R1921">
        <v>36103.034465999997</v>
      </c>
      <c r="S1921">
        <v>-16.142717924599999</v>
      </c>
      <c r="T1921">
        <v>-107.304378473</v>
      </c>
      <c r="U1921">
        <v>0</v>
      </c>
      <c r="V1921">
        <v>0</v>
      </c>
    </row>
    <row r="1922" spans="1:22" x14ac:dyDescent="0.2">
      <c r="A1922"/>
      <c r="B1922">
        <v>26283</v>
      </c>
      <c r="C1922" t="s">
        <v>4038</v>
      </c>
      <c r="D1922" t="s">
        <v>1045</v>
      </c>
      <c r="E1922" t="s">
        <v>1048</v>
      </c>
      <c r="F1922" t="s">
        <v>2310</v>
      </c>
      <c r="G1922">
        <v>4030.6101544600001</v>
      </c>
      <c r="H1922" t="s">
        <v>1270</v>
      </c>
      <c r="Q1922">
        <v>4648.2795831900003</v>
      </c>
      <c r="R1922">
        <v>36103.034465999997</v>
      </c>
      <c r="S1922">
        <v>-16.142717924599999</v>
      </c>
      <c r="T1922">
        <v>72.695621526699995</v>
      </c>
      <c r="U1922">
        <v>0</v>
      </c>
      <c r="V1922">
        <v>0</v>
      </c>
    </row>
    <row r="1923" spans="1:22" x14ac:dyDescent="0.2">
      <c r="A1923"/>
      <c r="B1923">
        <v>26284</v>
      </c>
      <c r="C1923" t="s">
        <v>4039</v>
      </c>
      <c r="D1923" t="s">
        <v>1045</v>
      </c>
      <c r="E1923" t="s">
        <v>1048</v>
      </c>
      <c r="F1923" t="s">
        <v>2310</v>
      </c>
      <c r="G1923">
        <v>4284.4199992499998</v>
      </c>
      <c r="H1923" t="s">
        <v>12</v>
      </c>
      <c r="Q1923">
        <v>4516.6701331200002</v>
      </c>
      <c r="R1923">
        <v>35888.3155099</v>
      </c>
      <c r="S1923">
        <v>-13.0070475794</v>
      </c>
      <c r="T1923">
        <v>-134.46564011699999</v>
      </c>
      <c r="U1923">
        <v>0</v>
      </c>
      <c r="V1923">
        <v>0</v>
      </c>
    </row>
    <row r="1924" spans="1:22" x14ac:dyDescent="0.2">
      <c r="A1924"/>
      <c r="B1924">
        <v>26285</v>
      </c>
      <c r="C1924" t="s">
        <v>4040</v>
      </c>
      <c r="D1924" t="s">
        <v>1045</v>
      </c>
      <c r="E1924" t="s">
        <v>3757</v>
      </c>
      <c r="F1924" t="s">
        <v>2310</v>
      </c>
      <c r="G1924">
        <v>4284.4199992499998</v>
      </c>
      <c r="H1924" t="s">
        <v>1270</v>
      </c>
      <c r="Q1924">
        <v>4516.6701331200002</v>
      </c>
      <c r="R1924">
        <v>35888.3155099</v>
      </c>
      <c r="S1924">
        <v>-13.0070475794</v>
      </c>
      <c r="T1924">
        <v>45.534359883400001</v>
      </c>
      <c r="U1924">
        <v>0</v>
      </c>
      <c r="V1924">
        <v>0</v>
      </c>
    </row>
    <row r="1925" spans="1:22" x14ac:dyDescent="0.2">
      <c r="A1925"/>
      <c r="B1925">
        <v>26286</v>
      </c>
      <c r="C1925" t="s">
        <v>4041</v>
      </c>
      <c r="D1925" t="s">
        <v>1045</v>
      </c>
      <c r="E1925" t="s">
        <v>3757</v>
      </c>
      <c r="F1925" t="s">
        <v>2310</v>
      </c>
      <c r="G1925">
        <v>4497.3614092999997</v>
      </c>
      <c r="H1925" t="s">
        <v>12</v>
      </c>
      <c r="Q1925">
        <v>4367.0094913399998</v>
      </c>
      <c r="R1925">
        <v>35736.845016699997</v>
      </c>
      <c r="S1925">
        <v>-12.988999424499999</v>
      </c>
      <c r="T1925">
        <v>-134.34482407100001</v>
      </c>
      <c r="U1925">
        <v>0</v>
      </c>
      <c r="V1925">
        <v>0</v>
      </c>
    </row>
    <row r="1926" spans="1:22" x14ac:dyDescent="0.2">
      <c r="A1926"/>
      <c r="B1926">
        <v>26287</v>
      </c>
      <c r="C1926" t="s">
        <v>4042</v>
      </c>
      <c r="D1926" t="s">
        <v>1045</v>
      </c>
      <c r="E1926" t="s">
        <v>3757</v>
      </c>
      <c r="F1926" t="s">
        <v>2310</v>
      </c>
      <c r="G1926">
        <v>4497.3614092999997</v>
      </c>
      <c r="H1926" t="s">
        <v>1270</v>
      </c>
      <c r="Q1926">
        <v>4367.0094913399998</v>
      </c>
      <c r="R1926">
        <v>35736.845016699997</v>
      </c>
      <c r="S1926">
        <v>-12.988999424499999</v>
      </c>
      <c r="T1926">
        <v>45.655175929000002</v>
      </c>
      <c r="U1926">
        <v>0</v>
      </c>
      <c r="V1926">
        <v>0</v>
      </c>
    </row>
    <row r="1927" spans="1:22" x14ac:dyDescent="0.2">
      <c r="A1927"/>
      <c r="B1927">
        <v>26288</v>
      </c>
      <c r="C1927" t="s">
        <v>4043</v>
      </c>
      <c r="D1927" t="s">
        <v>1045</v>
      </c>
      <c r="E1927" t="s">
        <v>3757</v>
      </c>
      <c r="F1927" t="s">
        <v>2310</v>
      </c>
      <c r="G1927">
        <v>4708.0966298599997</v>
      </c>
      <c r="H1927" t="s">
        <v>12</v>
      </c>
      <c r="Q1927">
        <v>4240.6148031299999</v>
      </c>
      <c r="R1927">
        <v>35569.9423742</v>
      </c>
      <c r="S1927">
        <v>-15.0610217032</v>
      </c>
      <c r="T1927">
        <v>-120.067859232</v>
      </c>
      <c r="U1927">
        <v>0</v>
      </c>
      <c r="V1927">
        <v>0</v>
      </c>
    </row>
    <row r="1928" spans="1:22" x14ac:dyDescent="0.2">
      <c r="A1928"/>
      <c r="B1928">
        <v>26289</v>
      </c>
      <c r="C1928" t="s">
        <v>4044</v>
      </c>
      <c r="D1928" t="s">
        <v>1045</v>
      </c>
      <c r="E1928" t="s">
        <v>3757</v>
      </c>
      <c r="F1928" t="s">
        <v>2310</v>
      </c>
      <c r="G1928">
        <v>4708.0966298599997</v>
      </c>
      <c r="H1928" t="s">
        <v>1270</v>
      </c>
      <c r="Q1928">
        <v>4240.6148031299999</v>
      </c>
      <c r="R1928">
        <v>35569.9423742</v>
      </c>
      <c r="S1928">
        <v>-15.0610217032</v>
      </c>
      <c r="T1928">
        <v>59.932140767999996</v>
      </c>
      <c r="U1928">
        <v>0</v>
      </c>
      <c r="V1928">
        <v>0</v>
      </c>
    </row>
    <row r="1929" spans="1:22" x14ac:dyDescent="0.2">
      <c r="A1929"/>
      <c r="B1929">
        <v>26290</v>
      </c>
      <c r="C1929" t="s">
        <v>4045</v>
      </c>
      <c r="D1929" t="s">
        <v>1045</v>
      </c>
      <c r="E1929" t="s">
        <v>3757</v>
      </c>
      <c r="F1929" t="s">
        <v>2310</v>
      </c>
      <c r="G1929">
        <v>4761.8001848100002</v>
      </c>
      <c r="H1929" t="s">
        <v>12</v>
      </c>
      <c r="Q1929">
        <v>4213.7545747100003</v>
      </c>
      <c r="R1929">
        <v>35523.442605600001</v>
      </c>
      <c r="S1929">
        <v>-15.060179098300001</v>
      </c>
      <c r="T1929">
        <v>-119.988703633</v>
      </c>
      <c r="U1929">
        <v>0</v>
      </c>
      <c r="V1929">
        <v>0</v>
      </c>
    </row>
    <row r="1930" spans="1:22" x14ac:dyDescent="0.2">
      <c r="A1930"/>
      <c r="B1930">
        <v>26291</v>
      </c>
      <c r="C1930" t="s">
        <v>4046</v>
      </c>
      <c r="D1930" t="s">
        <v>1045</v>
      </c>
      <c r="E1930" t="s">
        <v>3757</v>
      </c>
      <c r="F1930" t="s">
        <v>2310</v>
      </c>
      <c r="G1930">
        <v>4761.8001848100002</v>
      </c>
      <c r="H1930" t="s">
        <v>1270</v>
      </c>
      <c r="Q1930">
        <v>4213.7545747100003</v>
      </c>
      <c r="R1930">
        <v>35523.442605600001</v>
      </c>
      <c r="S1930">
        <v>-15.060179098300001</v>
      </c>
      <c r="T1930">
        <v>60.011296367</v>
      </c>
      <c r="U1930">
        <v>0</v>
      </c>
      <c r="V1930">
        <v>0</v>
      </c>
    </row>
    <row r="1931" spans="1:22" x14ac:dyDescent="0.2">
      <c r="A1931"/>
      <c r="B1931">
        <v>26292</v>
      </c>
      <c r="C1931" t="s">
        <v>4047</v>
      </c>
      <c r="D1931" t="s">
        <v>1045</v>
      </c>
      <c r="E1931" t="s">
        <v>3757</v>
      </c>
      <c r="F1931" t="s">
        <v>2310</v>
      </c>
      <c r="G1931">
        <v>4983.0466726599998</v>
      </c>
      <c r="H1931" t="s">
        <v>12</v>
      </c>
      <c r="Q1931">
        <v>4139.4033418600002</v>
      </c>
      <c r="R1931">
        <v>35317.580787999999</v>
      </c>
      <c r="S1931">
        <v>-15.0212773764</v>
      </c>
      <c r="T1931">
        <v>-100.11975573399999</v>
      </c>
      <c r="U1931">
        <v>0</v>
      </c>
      <c r="V1931">
        <v>0</v>
      </c>
    </row>
    <row r="1932" spans="1:22" x14ac:dyDescent="0.2">
      <c r="A1932"/>
      <c r="B1932">
        <v>26293</v>
      </c>
      <c r="C1932" t="s">
        <v>4048</v>
      </c>
      <c r="D1932" t="s">
        <v>1045</v>
      </c>
      <c r="E1932" t="s">
        <v>3757</v>
      </c>
      <c r="F1932" t="s">
        <v>2310</v>
      </c>
      <c r="G1932">
        <v>4983.0466726599998</v>
      </c>
      <c r="H1932" t="s">
        <v>1270</v>
      </c>
      <c r="Q1932">
        <v>4139.4033418600002</v>
      </c>
      <c r="R1932">
        <v>35317.580787999999</v>
      </c>
      <c r="S1932">
        <v>-15.0212773764</v>
      </c>
      <c r="T1932">
        <v>79.880244265800002</v>
      </c>
      <c r="U1932">
        <v>0</v>
      </c>
      <c r="V1932">
        <v>0</v>
      </c>
    </row>
    <row r="1933" spans="1:22" x14ac:dyDescent="0.2">
      <c r="A1933"/>
      <c r="B1933">
        <v>26294</v>
      </c>
      <c r="C1933" t="s">
        <v>4049</v>
      </c>
      <c r="D1933" t="s">
        <v>1045</v>
      </c>
      <c r="E1933" t="s">
        <v>3757</v>
      </c>
      <c r="F1933" t="s">
        <v>2310</v>
      </c>
      <c r="G1933">
        <v>5122.3699905800004</v>
      </c>
      <c r="H1933" t="s">
        <v>12</v>
      </c>
      <c r="Q1933">
        <v>4128.8161390599998</v>
      </c>
      <c r="R1933">
        <v>35179.469916399998</v>
      </c>
      <c r="S1933">
        <v>-14.9807812778</v>
      </c>
      <c r="T1933">
        <v>-89.2611722077</v>
      </c>
      <c r="U1933">
        <v>0</v>
      </c>
      <c r="V1933">
        <v>0</v>
      </c>
    </row>
    <row r="1934" spans="1:22" x14ac:dyDescent="0.2">
      <c r="A1934"/>
      <c r="B1934">
        <v>26295</v>
      </c>
      <c r="C1934" t="s">
        <v>4050</v>
      </c>
      <c r="D1934" t="s">
        <v>1045</v>
      </c>
      <c r="E1934" t="s">
        <v>3757</v>
      </c>
      <c r="F1934" t="s">
        <v>2310</v>
      </c>
      <c r="G1934">
        <v>5122.3699905800004</v>
      </c>
      <c r="H1934" t="s">
        <v>1270</v>
      </c>
      <c r="Q1934">
        <v>4128.8161390599998</v>
      </c>
      <c r="R1934">
        <v>35179.469916399998</v>
      </c>
      <c r="S1934">
        <v>-14.9807812778</v>
      </c>
      <c r="T1934">
        <v>90.7388277923</v>
      </c>
      <c r="U1934">
        <v>0</v>
      </c>
      <c r="V1934">
        <v>0</v>
      </c>
    </row>
    <row r="1935" spans="1:22" x14ac:dyDescent="0.2">
      <c r="A1935"/>
      <c r="B1935">
        <v>26296</v>
      </c>
      <c r="C1935" t="s">
        <v>4051</v>
      </c>
      <c r="D1935" t="s">
        <v>1045</v>
      </c>
      <c r="E1935" t="s">
        <v>3757</v>
      </c>
      <c r="F1935" t="s">
        <v>2310</v>
      </c>
      <c r="G1935">
        <v>5390.3092534300004</v>
      </c>
      <c r="H1935" t="s">
        <v>12</v>
      </c>
      <c r="Q1935">
        <v>4133.2878497900001</v>
      </c>
      <c r="R1935">
        <v>34911.620031600003</v>
      </c>
      <c r="S1935">
        <v>-11.1743320866</v>
      </c>
      <c r="T1935">
        <v>-88.858237675200002</v>
      </c>
      <c r="U1935">
        <v>0</v>
      </c>
      <c r="V1935">
        <v>0</v>
      </c>
    </row>
    <row r="1936" spans="1:22" x14ac:dyDescent="0.2">
      <c r="A1936"/>
      <c r="B1936">
        <v>26297</v>
      </c>
      <c r="C1936" t="s">
        <v>4052</v>
      </c>
      <c r="D1936" t="s">
        <v>1045</v>
      </c>
      <c r="E1936" t="s">
        <v>3757</v>
      </c>
      <c r="F1936" t="s">
        <v>2310</v>
      </c>
      <c r="G1936">
        <v>5390.3092534300004</v>
      </c>
      <c r="H1936" t="s">
        <v>1270</v>
      </c>
      <c r="Q1936">
        <v>4133.2878497900001</v>
      </c>
      <c r="R1936">
        <v>34911.620031600003</v>
      </c>
      <c r="S1936">
        <v>-11.1743320866</v>
      </c>
      <c r="T1936">
        <v>91.141762324799998</v>
      </c>
      <c r="U1936">
        <v>0</v>
      </c>
      <c r="V1936">
        <v>0</v>
      </c>
    </row>
    <row r="1937" spans="1:22" x14ac:dyDescent="0.2">
      <c r="A1937"/>
      <c r="B1937">
        <v>26298</v>
      </c>
      <c r="C1937" t="s">
        <v>4053</v>
      </c>
      <c r="D1937" t="s">
        <v>1045</v>
      </c>
      <c r="E1937" t="s">
        <v>3757</v>
      </c>
      <c r="F1937" t="s">
        <v>2310</v>
      </c>
      <c r="G1937">
        <v>5499.8931369700003</v>
      </c>
      <c r="H1937" t="s">
        <v>12</v>
      </c>
      <c r="Q1937">
        <v>4138.6733955299997</v>
      </c>
      <c r="R1937">
        <v>34802.357793499999</v>
      </c>
      <c r="S1937">
        <v>-11.164632966099999</v>
      </c>
      <c r="T1937">
        <v>-85.2518589779</v>
      </c>
      <c r="U1937">
        <v>0</v>
      </c>
      <c r="V1937">
        <v>0</v>
      </c>
    </row>
    <row r="1938" spans="1:22" x14ac:dyDescent="0.2">
      <c r="A1938"/>
      <c r="B1938">
        <v>26299</v>
      </c>
      <c r="C1938" t="s">
        <v>4054</v>
      </c>
      <c r="D1938" t="s">
        <v>1045</v>
      </c>
      <c r="E1938" t="s">
        <v>3757</v>
      </c>
      <c r="F1938" t="s">
        <v>2310</v>
      </c>
      <c r="G1938">
        <v>5499.8931369700003</v>
      </c>
      <c r="H1938" t="s">
        <v>1270</v>
      </c>
      <c r="Q1938">
        <v>4138.6733955299997</v>
      </c>
      <c r="R1938">
        <v>34802.357793499999</v>
      </c>
      <c r="S1938">
        <v>-11.164632966099999</v>
      </c>
      <c r="T1938">
        <v>94.7481410221</v>
      </c>
      <c r="U1938">
        <v>0</v>
      </c>
      <c r="V1938">
        <v>0</v>
      </c>
    </row>
    <row r="1939" spans="1:22" x14ac:dyDescent="0.2">
      <c r="A1939"/>
      <c r="B1939">
        <v>26300</v>
      </c>
      <c r="C1939" t="s">
        <v>4055</v>
      </c>
      <c r="D1939" t="s">
        <v>1045</v>
      </c>
      <c r="E1939" t="s">
        <v>3757</v>
      </c>
      <c r="F1939" t="s">
        <v>2310</v>
      </c>
      <c r="G1939">
        <v>5534.5057988199997</v>
      </c>
      <c r="H1939" t="s">
        <v>12</v>
      </c>
      <c r="Q1939">
        <v>4141.5677639799997</v>
      </c>
      <c r="R1939">
        <v>34767.863702100003</v>
      </c>
      <c r="S1939">
        <v>-11.1619241794</v>
      </c>
      <c r="T1939">
        <v>-85.312836489099993</v>
      </c>
      <c r="U1939">
        <v>0</v>
      </c>
      <c r="V1939">
        <v>0</v>
      </c>
    </row>
    <row r="1940" spans="1:22" x14ac:dyDescent="0.2">
      <c r="A1940"/>
      <c r="B1940">
        <v>26301</v>
      </c>
      <c r="C1940" t="s">
        <v>4056</v>
      </c>
      <c r="D1940" t="s">
        <v>1045</v>
      </c>
      <c r="E1940" t="s">
        <v>3757</v>
      </c>
      <c r="F1940" t="s">
        <v>2310</v>
      </c>
      <c r="G1940">
        <v>5534.5057988199997</v>
      </c>
      <c r="H1940" t="s">
        <v>1270</v>
      </c>
      <c r="Q1940">
        <v>4141.5677639799997</v>
      </c>
      <c r="R1940">
        <v>34767.863702100003</v>
      </c>
      <c r="S1940">
        <v>-11.1619241794</v>
      </c>
      <c r="T1940">
        <v>94.687163510900007</v>
      </c>
      <c r="U1940">
        <v>0</v>
      </c>
      <c r="V1940">
        <v>0</v>
      </c>
    </row>
    <row r="1941" spans="1:22" x14ac:dyDescent="0.2">
      <c r="A1941"/>
      <c r="B1941">
        <v>26302</v>
      </c>
      <c r="C1941" t="s">
        <v>4057</v>
      </c>
      <c r="D1941" t="s">
        <v>1045</v>
      </c>
      <c r="E1941" t="s">
        <v>3757</v>
      </c>
      <c r="F1941" t="s">
        <v>2310</v>
      </c>
      <c r="G1941">
        <v>5669.7403122200003</v>
      </c>
      <c r="H1941" t="s">
        <v>12</v>
      </c>
      <c r="Q1941">
        <v>4140.3831544100003</v>
      </c>
      <c r="R1941">
        <v>34632.489364499997</v>
      </c>
      <c r="S1941">
        <v>-11.1579712864</v>
      </c>
      <c r="T1941">
        <v>-95.518684455100001</v>
      </c>
      <c r="U1941">
        <v>0</v>
      </c>
      <c r="V1941">
        <v>0</v>
      </c>
    </row>
    <row r="1942" spans="1:22" x14ac:dyDescent="0.2">
      <c r="A1942"/>
      <c r="B1942">
        <v>26303</v>
      </c>
      <c r="C1942" t="s">
        <v>4058</v>
      </c>
      <c r="D1942" t="s">
        <v>1045</v>
      </c>
      <c r="E1942" t="s">
        <v>3757</v>
      </c>
      <c r="F1942" t="s">
        <v>2310</v>
      </c>
      <c r="G1942">
        <v>5669.7403122200003</v>
      </c>
      <c r="H1942" t="s">
        <v>1270</v>
      </c>
      <c r="Q1942">
        <v>4140.3831544100003</v>
      </c>
      <c r="R1942">
        <v>34632.489364499997</v>
      </c>
      <c r="S1942">
        <v>-11.1579712864</v>
      </c>
      <c r="T1942">
        <v>84.481315544899999</v>
      </c>
      <c r="U1942">
        <v>0</v>
      </c>
      <c r="V1942">
        <v>0</v>
      </c>
    </row>
    <row r="1943" spans="1:22" x14ac:dyDescent="0.2">
      <c r="A1943"/>
      <c r="B1943">
        <v>26304</v>
      </c>
      <c r="C1943" t="s">
        <v>4059</v>
      </c>
      <c r="D1943" t="s">
        <v>1045</v>
      </c>
      <c r="E1943" t="s">
        <v>3757</v>
      </c>
      <c r="F1943" t="s">
        <v>2310</v>
      </c>
      <c r="G1943">
        <v>5784.0209280600002</v>
      </c>
      <c r="H1943" t="s">
        <v>12</v>
      </c>
      <c r="Q1943">
        <v>4128.6637417800002</v>
      </c>
      <c r="R1943">
        <v>34518.803025499998</v>
      </c>
      <c r="S1943">
        <v>-11.8883638139</v>
      </c>
      <c r="T1943">
        <v>-95.823766049200003</v>
      </c>
      <c r="U1943">
        <v>0</v>
      </c>
      <c r="V1943">
        <v>0</v>
      </c>
    </row>
    <row r="1944" spans="1:22" x14ac:dyDescent="0.2">
      <c r="A1944"/>
      <c r="B1944">
        <v>26305</v>
      </c>
      <c r="C1944" t="s">
        <v>4060</v>
      </c>
      <c r="D1944" t="s">
        <v>1045</v>
      </c>
      <c r="E1944" t="s">
        <v>3757</v>
      </c>
      <c r="F1944" t="s">
        <v>2310</v>
      </c>
      <c r="G1944">
        <v>5784.0209280600002</v>
      </c>
      <c r="H1944" t="s">
        <v>1270</v>
      </c>
      <c r="Q1944">
        <v>4128.6637417800002</v>
      </c>
      <c r="R1944">
        <v>34518.803025499998</v>
      </c>
      <c r="S1944">
        <v>-11.8883638139</v>
      </c>
      <c r="T1944">
        <v>84.176233950799997</v>
      </c>
      <c r="U1944">
        <v>0</v>
      </c>
      <c r="V1944">
        <v>0</v>
      </c>
    </row>
    <row r="1945" spans="1:22" x14ac:dyDescent="0.2">
      <c r="A1945"/>
      <c r="B1945">
        <v>26306</v>
      </c>
      <c r="C1945" t="s">
        <v>4061</v>
      </c>
      <c r="D1945" t="s">
        <v>1045</v>
      </c>
      <c r="E1945" t="s">
        <v>3757</v>
      </c>
      <c r="F1945" t="s">
        <v>2310</v>
      </c>
      <c r="G1945">
        <v>5883.5838086499998</v>
      </c>
      <c r="H1945" t="s">
        <v>12</v>
      </c>
      <c r="Q1945">
        <v>4119.75630327</v>
      </c>
      <c r="R1945">
        <v>34419.717049699997</v>
      </c>
      <c r="S1945">
        <v>-13.6051925913</v>
      </c>
      <c r="T1945">
        <v>-94.4600069241</v>
      </c>
      <c r="U1945">
        <v>0</v>
      </c>
      <c r="V1945">
        <v>0</v>
      </c>
    </row>
    <row r="1946" spans="1:22" x14ac:dyDescent="0.2">
      <c r="A1946"/>
      <c r="B1946">
        <v>26307</v>
      </c>
      <c r="C1946" t="s">
        <v>4062</v>
      </c>
      <c r="D1946" t="s">
        <v>1045</v>
      </c>
      <c r="E1946" t="s">
        <v>3757</v>
      </c>
      <c r="F1946" t="s">
        <v>2310</v>
      </c>
      <c r="G1946">
        <v>5883.5838086499998</v>
      </c>
      <c r="H1946" t="s">
        <v>1270</v>
      </c>
      <c r="Q1946">
        <v>4119.75630327</v>
      </c>
      <c r="R1946">
        <v>34419.717049699997</v>
      </c>
      <c r="S1946">
        <v>-13.6051925913</v>
      </c>
      <c r="T1946">
        <v>85.5399930759</v>
      </c>
      <c r="U1946">
        <v>0</v>
      </c>
      <c r="V1946">
        <v>0</v>
      </c>
    </row>
    <row r="1947" spans="1:22" x14ac:dyDescent="0.2">
      <c r="A1947"/>
      <c r="B1947">
        <v>26308</v>
      </c>
      <c r="C1947" t="s">
        <v>4063</v>
      </c>
      <c r="D1947" t="s">
        <v>1045</v>
      </c>
      <c r="E1947" t="s">
        <v>3757</v>
      </c>
      <c r="F1947" t="s">
        <v>2310</v>
      </c>
      <c r="G1947">
        <v>6045.0866849599997</v>
      </c>
      <c r="H1947" t="s">
        <v>12</v>
      </c>
      <c r="Q1947">
        <v>4107.4437982700001</v>
      </c>
      <c r="R1947">
        <v>34258.7041121</v>
      </c>
      <c r="S1947">
        <v>-14.635511022599999</v>
      </c>
      <c r="T1947">
        <v>-94.142149846799995</v>
      </c>
      <c r="U1947">
        <v>0</v>
      </c>
      <c r="V1947">
        <v>0</v>
      </c>
    </row>
    <row r="1948" spans="1:22" x14ac:dyDescent="0.2">
      <c r="A1948"/>
      <c r="B1948">
        <v>26309</v>
      </c>
      <c r="C1948" t="s">
        <v>4064</v>
      </c>
      <c r="D1948" t="s">
        <v>1045</v>
      </c>
      <c r="E1948" t="s">
        <v>3757</v>
      </c>
      <c r="F1948" t="s">
        <v>2310</v>
      </c>
      <c r="G1948">
        <v>6045.0866849599997</v>
      </c>
      <c r="H1948" t="s">
        <v>1270</v>
      </c>
      <c r="Q1948">
        <v>4107.4437982700001</v>
      </c>
      <c r="R1948">
        <v>34258.7041121</v>
      </c>
      <c r="S1948">
        <v>-14.635511022599999</v>
      </c>
      <c r="T1948">
        <v>85.857850153200005</v>
      </c>
      <c r="U1948">
        <v>0</v>
      </c>
      <c r="V1948">
        <v>0</v>
      </c>
    </row>
    <row r="1949" spans="1:22" x14ac:dyDescent="0.2">
      <c r="A1949"/>
      <c r="B1949">
        <v>26310</v>
      </c>
      <c r="C1949" t="s">
        <v>4065</v>
      </c>
      <c r="D1949" t="s">
        <v>1045</v>
      </c>
      <c r="E1949" t="s">
        <v>3757</v>
      </c>
      <c r="F1949" t="s">
        <v>2310</v>
      </c>
      <c r="G1949">
        <v>6223.6801759</v>
      </c>
      <c r="H1949" t="s">
        <v>12</v>
      </c>
      <c r="Q1949">
        <v>4098.2846054199999</v>
      </c>
      <c r="R1949">
        <v>34080.5132237</v>
      </c>
      <c r="S1949">
        <v>-11.5695387931</v>
      </c>
      <c r="T1949">
        <v>-91.558361836399996</v>
      </c>
      <c r="U1949">
        <v>0</v>
      </c>
      <c r="V1949">
        <v>0</v>
      </c>
    </row>
    <row r="1950" spans="1:22" x14ac:dyDescent="0.2">
      <c r="A1950"/>
      <c r="B1950">
        <v>26311</v>
      </c>
      <c r="C1950" t="s">
        <v>4066</v>
      </c>
      <c r="D1950" t="s">
        <v>1045</v>
      </c>
      <c r="E1950" t="s">
        <v>3757</v>
      </c>
      <c r="F1950" t="s">
        <v>2310</v>
      </c>
      <c r="G1950">
        <v>6223.6801759</v>
      </c>
      <c r="H1950" t="s">
        <v>1270</v>
      </c>
      <c r="Q1950">
        <v>4098.2846054199999</v>
      </c>
      <c r="R1950">
        <v>34080.5132237</v>
      </c>
      <c r="S1950">
        <v>-11.5695387931</v>
      </c>
      <c r="T1950">
        <v>88.441638163600004</v>
      </c>
      <c r="U1950">
        <v>0</v>
      </c>
      <c r="V1950">
        <v>0</v>
      </c>
    </row>
    <row r="1951" spans="1:22" x14ac:dyDescent="0.2">
      <c r="A1951"/>
      <c r="B1951">
        <v>26312</v>
      </c>
      <c r="C1951" t="s">
        <v>4067</v>
      </c>
      <c r="D1951" t="s">
        <v>1045</v>
      </c>
      <c r="E1951" t="s">
        <v>3757</v>
      </c>
      <c r="F1951" t="s">
        <v>2310</v>
      </c>
      <c r="G1951">
        <v>6513.5734755399999</v>
      </c>
      <c r="H1951" t="s">
        <v>12</v>
      </c>
      <c r="Q1951">
        <v>4091.2171869499998</v>
      </c>
      <c r="R1951">
        <v>33790.711455600001</v>
      </c>
      <c r="S1951">
        <v>-11.206209379100001</v>
      </c>
      <c r="T1951">
        <v>-91.621594350799995</v>
      </c>
      <c r="U1951">
        <v>0</v>
      </c>
      <c r="V1951">
        <v>0</v>
      </c>
    </row>
    <row r="1952" spans="1:22" x14ac:dyDescent="0.2">
      <c r="A1952"/>
      <c r="B1952">
        <v>26313</v>
      </c>
      <c r="C1952" t="s">
        <v>4068</v>
      </c>
      <c r="D1952" t="s">
        <v>1045</v>
      </c>
      <c r="E1952" t="s">
        <v>3757</v>
      </c>
      <c r="F1952" t="s">
        <v>2310</v>
      </c>
      <c r="G1952">
        <v>6513.5734755399999</v>
      </c>
      <c r="H1952" t="s">
        <v>1270</v>
      </c>
      <c r="Q1952">
        <v>4091.2171869499998</v>
      </c>
      <c r="R1952">
        <v>33790.711455600001</v>
      </c>
      <c r="S1952">
        <v>-11.206209379100001</v>
      </c>
      <c r="T1952">
        <v>88.378405649200005</v>
      </c>
      <c r="U1952">
        <v>0</v>
      </c>
      <c r="V1952">
        <v>0</v>
      </c>
    </row>
    <row r="1953" spans="1:22" x14ac:dyDescent="0.2">
      <c r="A1953"/>
      <c r="B1953">
        <v>26314</v>
      </c>
      <c r="C1953" t="s">
        <v>4069</v>
      </c>
      <c r="D1953" t="s">
        <v>1045</v>
      </c>
      <c r="E1953" t="s">
        <v>3757</v>
      </c>
      <c r="F1953" t="s">
        <v>2310</v>
      </c>
      <c r="G1953">
        <v>6676.5863660100003</v>
      </c>
      <c r="H1953" t="s">
        <v>12</v>
      </c>
      <c r="Q1953">
        <v>4070.8899689899999</v>
      </c>
      <c r="R1953">
        <v>33628.915152399997</v>
      </c>
      <c r="S1953">
        <v>-14.551938059499999</v>
      </c>
      <c r="T1953">
        <v>-103.25876093399999</v>
      </c>
      <c r="U1953">
        <v>0</v>
      </c>
      <c r="V1953">
        <v>0</v>
      </c>
    </row>
    <row r="1954" spans="1:22" x14ac:dyDescent="0.2">
      <c r="A1954"/>
      <c r="B1954">
        <v>26315</v>
      </c>
      <c r="C1954" t="s">
        <v>4070</v>
      </c>
      <c r="D1954" t="s">
        <v>1045</v>
      </c>
      <c r="E1954" t="s">
        <v>3757</v>
      </c>
      <c r="F1954" t="s">
        <v>2310</v>
      </c>
      <c r="G1954">
        <v>6676.5863660100003</v>
      </c>
      <c r="H1954" t="s">
        <v>1270</v>
      </c>
      <c r="Q1954">
        <v>4070.8899689899999</v>
      </c>
      <c r="R1954">
        <v>33628.915152399997</v>
      </c>
      <c r="S1954">
        <v>-14.551938059499999</v>
      </c>
      <c r="T1954">
        <v>76.741239065900004</v>
      </c>
      <c r="U1954">
        <v>0</v>
      </c>
      <c r="V1954">
        <v>0</v>
      </c>
    </row>
    <row r="1955" spans="1:22" x14ac:dyDescent="0.2">
      <c r="A1955"/>
      <c r="B1955">
        <v>26316</v>
      </c>
      <c r="C1955" t="s">
        <v>4071</v>
      </c>
      <c r="D1955" t="s">
        <v>1045</v>
      </c>
      <c r="E1955" t="s">
        <v>1048</v>
      </c>
      <c r="F1955" t="s">
        <v>2310</v>
      </c>
      <c r="G1955">
        <v>6768.8443080400002</v>
      </c>
      <c r="H1955" t="s">
        <v>12</v>
      </c>
      <c r="Q1955">
        <v>4049.4066896899999</v>
      </c>
      <c r="R1955">
        <v>33539.196853000001</v>
      </c>
      <c r="S1955">
        <v>-16.3234963847</v>
      </c>
      <c r="T1955">
        <v>-103.583654927</v>
      </c>
      <c r="U1955">
        <v>0</v>
      </c>
      <c r="V1955">
        <v>0</v>
      </c>
    </row>
    <row r="1956" spans="1:22" x14ac:dyDescent="0.2">
      <c r="A1956"/>
      <c r="B1956">
        <v>26317</v>
      </c>
      <c r="C1956" t="s">
        <v>4072</v>
      </c>
      <c r="D1956" t="s">
        <v>1045</v>
      </c>
      <c r="E1956" t="s">
        <v>3757</v>
      </c>
      <c r="F1956" t="s">
        <v>2310</v>
      </c>
      <c r="G1956">
        <v>6768.8443080400002</v>
      </c>
      <c r="H1956" t="s">
        <v>1270</v>
      </c>
      <c r="Q1956">
        <v>4049.4066896899999</v>
      </c>
      <c r="R1956">
        <v>33539.196853000001</v>
      </c>
      <c r="S1956">
        <v>-16.3234963847</v>
      </c>
      <c r="T1956">
        <v>76.416345072599995</v>
      </c>
      <c r="U1956">
        <v>0</v>
      </c>
      <c r="V1956">
        <v>0</v>
      </c>
    </row>
    <row r="1957" spans="1:22" x14ac:dyDescent="0.2">
      <c r="A1957"/>
      <c r="B1957">
        <v>26318</v>
      </c>
      <c r="C1957" t="s">
        <v>4073</v>
      </c>
      <c r="D1957" t="s">
        <v>1045</v>
      </c>
      <c r="E1957" t="s">
        <v>3757</v>
      </c>
      <c r="F1957" t="s">
        <v>2310</v>
      </c>
      <c r="G1957">
        <v>7002.2689619000002</v>
      </c>
      <c r="H1957" t="s">
        <v>12</v>
      </c>
      <c r="Q1957">
        <v>3964.20042388</v>
      </c>
      <c r="R1957">
        <v>33322.2392865</v>
      </c>
      <c r="S1957">
        <v>-14.5082610124</v>
      </c>
      <c r="T1957">
        <v>-119.860886841</v>
      </c>
      <c r="U1957">
        <v>0</v>
      </c>
      <c r="V1957">
        <v>0</v>
      </c>
    </row>
    <row r="1958" spans="1:22" x14ac:dyDescent="0.2">
      <c r="A1958"/>
      <c r="B1958">
        <v>26319</v>
      </c>
      <c r="C1958" t="s">
        <v>4074</v>
      </c>
      <c r="D1958" t="s">
        <v>1045</v>
      </c>
      <c r="E1958" t="s">
        <v>1050</v>
      </c>
      <c r="F1958" t="s">
        <v>2310</v>
      </c>
      <c r="G1958">
        <v>7002.2689619000002</v>
      </c>
      <c r="H1958" t="s">
        <v>1270</v>
      </c>
      <c r="Q1958">
        <v>3964.20042388</v>
      </c>
      <c r="R1958">
        <v>33322.2392865</v>
      </c>
      <c r="S1958">
        <v>-14.5082610124</v>
      </c>
      <c r="T1958">
        <v>60.139113158900003</v>
      </c>
      <c r="U1958">
        <v>0</v>
      </c>
      <c r="V1958">
        <v>0</v>
      </c>
    </row>
    <row r="1959" spans="1:22" x14ac:dyDescent="0.2">
      <c r="A1959"/>
      <c r="B1959">
        <v>26320</v>
      </c>
      <c r="C1959" t="s">
        <v>4075</v>
      </c>
      <c r="D1959" t="s">
        <v>1045</v>
      </c>
      <c r="E1959" t="s">
        <v>3757</v>
      </c>
      <c r="F1959" t="s">
        <v>2310</v>
      </c>
      <c r="G1959">
        <v>7040.3134740799997</v>
      </c>
      <c r="H1959" t="s">
        <v>12</v>
      </c>
      <c r="Q1959">
        <v>3945.1184974500002</v>
      </c>
      <c r="R1959">
        <v>33289.315915200001</v>
      </c>
      <c r="S1959">
        <v>-13.7491041822</v>
      </c>
      <c r="T1959">
        <v>-120.241889993</v>
      </c>
      <c r="U1959">
        <v>0</v>
      </c>
      <c r="V1959">
        <v>0</v>
      </c>
    </row>
    <row r="1960" spans="1:22" x14ac:dyDescent="0.2">
      <c r="A1960"/>
      <c r="B1960">
        <v>26321</v>
      </c>
      <c r="C1960" t="s">
        <v>4076</v>
      </c>
      <c r="D1960" t="s">
        <v>1045</v>
      </c>
      <c r="E1960" t="s">
        <v>1048</v>
      </c>
      <c r="F1960" t="s">
        <v>2310</v>
      </c>
      <c r="G1960">
        <v>7040.3134740799997</v>
      </c>
      <c r="H1960" t="s">
        <v>1270</v>
      </c>
      <c r="Q1960">
        <v>3945.1184974500002</v>
      </c>
      <c r="R1960">
        <v>33289.315915200001</v>
      </c>
      <c r="S1960">
        <v>-13.7491041822</v>
      </c>
      <c r="T1960">
        <v>59.758110006700001</v>
      </c>
      <c r="U1960">
        <v>0</v>
      </c>
      <c r="V1960">
        <v>0</v>
      </c>
    </row>
    <row r="1961" spans="1:22" x14ac:dyDescent="0.2">
      <c r="A1961"/>
      <c r="B1961">
        <v>26322</v>
      </c>
      <c r="C1961" t="s">
        <v>4077</v>
      </c>
      <c r="D1961" t="s">
        <v>1045</v>
      </c>
      <c r="E1961" t="s">
        <v>1048</v>
      </c>
      <c r="F1961" t="s">
        <v>2310</v>
      </c>
      <c r="G1961">
        <v>7223.8390241999996</v>
      </c>
      <c r="H1961" t="s">
        <v>12</v>
      </c>
      <c r="Q1961">
        <v>3829.0007867300001</v>
      </c>
      <c r="R1961">
        <v>33147.782312900003</v>
      </c>
      <c r="S1961">
        <v>-11.3192536628</v>
      </c>
      <c r="T1961">
        <v>-139.465413321</v>
      </c>
      <c r="U1961">
        <v>0</v>
      </c>
      <c r="V1961">
        <v>0</v>
      </c>
    </row>
    <row r="1962" spans="1:22" x14ac:dyDescent="0.2">
      <c r="A1962"/>
      <c r="B1962">
        <v>26323</v>
      </c>
      <c r="C1962" t="s">
        <v>4078</v>
      </c>
      <c r="D1962" t="s">
        <v>1045</v>
      </c>
      <c r="E1962" t="s">
        <v>3757</v>
      </c>
      <c r="F1962" t="s">
        <v>2310</v>
      </c>
      <c r="G1962">
        <v>7223.8390241999996</v>
      </c>
      <c r="H1962" t="s">
        <v>1270</v>
      </c>
      <c r="Q1962">
        <v>3829.0007867300001</v>
      </c>
      <c r="R1962">
        <v>33147.782312900003</v>
      </c>
      <c r="S1962">
        <v>-11.3192536628</v>
      </c>
      <c r="T1962">
        <v>40.534586679</v>
      </c>
      <c r="U1962">
        <v>0</v>
      </c>
      <c r="V1962">
        <v>0</v>
      </c>
    </row>
    <row r="1963" spans="1:22" x14ac:dyDescent="0.2">
      <c r="A1963"/>
      <c r="B1963">
        <v>26324</v>
      </c>
      <c r="C1963" t="s">
        <v>4079</v>
      </c>
      <c r="D1963" t="s">
        <v>1045</v>
      </c>
      <c r="E1963" t="s">
        <v>3757</v>
      </c>
      <c r="F1963" t="s">
        <v>2310</v>
      </c>
      <c r="G1963">
        <v>7348.3269434399999</v>
      </c>
      <c r="H1963" t="s">
        <v>12</v>
      </c>
      <c r="Q1963">
        <v>3739.0055357400001</v>
      </c>
      <c r="R1963">
        <v>33062.3612545</v>
      </c>
      <c r="S1963">
        <v>-11.312250386900001</v>
      </c>
      <c r="T1963">
        <v>-132.85110637700001</v>
      </c>
      <c r="U1963">
        <v>0</v>
      </c>
      <c r="V1963">
        <v>0</v>
      </c>
    </row>
    <row r="1964" spans="1:22" x14ac:dyDescent="0.2">
      <c r="A1964"/>
      <c r="B1964">
        <v>26325</v>
      </c>
      <c r="C1964" t="s">
        <v>4080</v>
      </c>
      <c r="D1964" t="s">
        <v>1045</v>
      </c>
      <c r="E1964" t="s">
        <v>3757</v>
      </c>
      <c r="F1964" t="s">
        <v>2310</v>
      </c>
      <c r="G1964">
        <v>7348.3269434399999</v>
      </c>
      <c r="H1964" t="s">
        <v>1270</v>
      </c>
      <c r="Q1964">
        <v>3739.0055357400001</v>
      </c>
      <c r="R1964">
        <v>33062.3612545</v>
      </c>
      <c r="S1964">
        <v>-11.312250386900001</v>
      </c>
      <c r="T1964">
        <v>47.148893623200003</v>
      </c>
      <c r="U1964">
        <v>0</v>
      </c>
      <c r="V1964">
        <v>0</v>
      </c>
    </row>
    <row r="1965" spans="1:22" x14ac:dyDescent="0.2">
      <c r="A1965"/>
      <c r="B1965">
        <v>26326</v>
      </c>
      <c r="C1965" t="s">
        <v>4081</v>
      </c>
      <c r="D1965" t="s">
        <v>1045</v>
      </c>
      <c r="E1965" t="s">
        <v>3757</v>
      </c>
      <c r="F1965" t="s">
        <v>2310</v>
      </c>
      <c r="G1965">
        <v>7373.9873785899999</v>
      </c>
      <c r="H1965" t="s">
        <v>12</v>
      </c>
      <c r="Q1965">
        <v>3721.6098030500002</v>
      </c>
      <c r="R1965">
        <v>33043.512819199997</v>
      </c>
      <c r="S1965">
        <v>-11.311199847499999</v>
      </c>
      <c r="T1965">
        <v>-132.59124653000001</v>
      </c>
      <c r="U1965">
        <v>0</v>
      </c>
      <c r="V1965">
        <v>0</v>
      </c>
    </row>
    <row r="1966" spans="1:22" x14ac:dyDescent="0.2">
      <c r="A1966"/>
      <c r="B1966">
        <v>26327</v>
      </c>
      <c r="C1966" t="s">
        <v>4082</v>
      </c>
      <c r="D1966" t="s">
        <v>1045</v>
      </c>
      <c r="E1966" t="s">
        <v>1049</v>
      </c>
      <c r="F1966" t="s">
        <v>2310</v>
      </c>
      <c r="G1966">
        <v>7373.9873785899999</v>
      </c>
      <c r="H1966" t="s">
        <v>1270</v>
      </c>
      <c r="Q1966">
        <v>3721.6098030500002</v>
      </c>
      <c r="R1966">
        <v>33043.512819199997</v>
      </c>
      <c r="S1966">
        <v>-11.311199847499999</v>
      </c>
      <c r="T1966">
        <v>47.408753470199997</v>
      </c>
      <c r="U1966">
        <v>0</v>
      </c>
      <c r="V1966">
        <v>0</v>
      </c>
    </row>
    <row r="1967" spans="1:22" x14ac:dyDescent="0.2">
      <c r="A1967"/>
      <c r="B1967">
        <v>26328</v>
      </c>
      <c r="C1967" t="s">
        <v>4083</v>
      </c>
      <c r="D1967" t="s">
        <v>1045</v>
      </c>
      <c r="E1967" t="s">
        <v>1049</v>
      </c>
      <c r="F1967" t="s">
        <v>2310</v>
      </c>
      <c r="G1967">
        <v>7533.2448442599998</v>
      </c>
      <c r="H1967" t="s">
        <v>12</v>
      </c>
      <c r="Q1967">
        <v>3621.4424841800001</v>
      </c>
      <c r="R1967">
        <v>32920.315621200003</v>
      </c>
      <c r="S1967">
        <v>-11.3109941812</v>
      </c>
      <c r="T1967">
        <v>-125.22576486299999</v>
      </c>
      <c r="U1967">
        <v>0</v>
      </c>
      <c r="V1967">
        <v>0</v>
      </c>
    </row>
    <row r="1968" spans="1:22" x14ac:dyDescent="0.2">
      <c r="A1968"/>
      <c r="B1968">
        <v>26329</v>
      </c>
      <c r="C1968" t="s">
        <v>4084</v>
      </c>
      <c r="D1968" t="s">
        <v>1045</v>
      </c>
      <c r="E1968" t="s">
        <v>3757</v>
      </c>
      <c r="F1968" t="s">
        <v>2310</v>
      </c>
      <c r="G1968">
        <v>7533.2448442599998</v>
      </c>
      <c r="H1968" t="s">
        <v>1270</v>
      </c>
      <c r="Q1968">
        <v>3621.4424841800001</v>
      </c>
      <c r="R1968">
        <v>32920.315621200003</v>
      </c>
      <c r="S1968">
        <v>-11.3109941812</v>
      </c>
      <c r="T1968">
        <v>54.774235136599998</v>
      </c>
      <c r="U1968">
        <v>0</v>
      </c>
      <c r="V1968">
        <v>0</v>
      </c>
    </row>
    <row r="1969" spans="1:22" x14ac:dyDescent="0.2">
      <c r="A1969"/>
      <c r="B1969">
        <v>26330</v>
      </c>
      <c r="C1969" t="s">
        <v>4085</v>
      </c>
      <c r="D1969" t="s">
        <v>1045</v>
      </c>
      <c r="E1969" t="s">
        <v>3757</v>
      </c>
      <c r="F1969" t="s">
        <v>2310</v>
      </c>
      <c r="G1969">
        <v>7557.7776714499996</v>
      </c>
      <c r="H1969" t="s">
        <v>12</v>
      </c>
      <c r="Q1969">
        <v>3607.3517645500001</v>
      </c>
      <c r="R1969">
        <v>32900.2485007</v>
      </c>
      <c r="S1969">
        <v>-11.3106338406</v>
      </c>
      <c r="T1969">
        <v>-124.93590306500001</v>
      </c>
      <c r="U1969">
        <v>0</v>
      </c>
      <c r="V1969">
        <v>0</v>
      </c>
    </row>
    <row r="1970" spans="1:22" x14ac:dyDescent="0.2">
      <c r="A1970"/>
      <c r="B1970">
        <v>26331</v>
      </c>
      <c r="C1970" t="s">
        <v>4086</v>
      </c>
      <c r="D1970" t="s">
        <v>1045</v>
      </c>
      <c r="E1970" t="s">
        <v>3757</v>
      </c>
      <c r="F1970" t="s">
        <v>2310</v>
      </c>
      <c r="G1970">
        <v>7557.7776714499996</v>
      </c>
      <c r="H1970" t="s">
        <v>1270</v>
      </c>
      <c r="Q1970">
        <v>3607.3517645500001</v>
      </c>
      <c r="R1970">
        <v>32900.2485007</v>
      </c>
      <c r="S1970">
        <v>-11.3106338406</v>
      </c>
      <c r="T1970">
        <v>55.064096935099997</v>
      </c>
      <c r="U1970">
        <v>0</v>
      </c>
      <c r="V1970">
        <v>0</v>
      </c>
    </row>
    <row r="1971" spans="1:22" x14ac:dyDescent="0.2">
      <c r="A1971"/>
      <c r="B1971">
        <v>26332</v>
      </c>
      <c r="C1971" t="s">
        <v>4087</v>
      </c>
      <c r="D1971" t="s">
        <v>1045</v>
      </c>
      <c r="E1971" t="s">
        <v>3757</v>
      </c>
      <c r="F1971" t="s">
        <v>2310</v>
      </c>
      <c r="G1971">
        <v>7687.7565512000001</v>
      </c>
      <c r="H1971" t="s">
        <v>12</v>
      </c>
      <c r="Q1971">
        <v>3541.9704081499999</v>
      </c>
      <c r="R1971">
        <v>32788.705879100002</v>
      </c>
      <c r="S1971">
        <v>-11.3076315539</v>
      </c>
      <c r="T1971">
        <v>-115.03003253999999</v>
      </c>
      <c r="U1971">
        <v>0</v>
      </c>
      <c r="V1971">
        <v>0</v>
      </c>
    </row>
    <row r="1972" spans="1:22" x14ac:dyDescent="0.2">
      <c r="A1972"/>
      <c r="B1972">
        <v>26333</v>
      </c>
      <c r="C1972" t="s">
        <v>4088</v>
      </c>
      <c r="D1972" t="s">
        <v>1045</v>
      </c>
      <c r="E1972" t="s">
        <v>3757</v>
      </c>
      <c r="F1972" t="s">
        <v>2310</v>
      </c>
      <c r="G1972">
        <v>7687.7565512000001</v>
      </c>
      <c r="H1972" t="s">
        <v>1270</v>
      </c>
      <c r="Q1972">
        <v>3541.9704081499999</v>
      </c>
      <c r="R1972">
        <v>32788.705879100002</v>
      </c>
      <c r="S1972">
        <v>-11.3076315539</v>
      </c>
      <c r="T1972">
        <v>64.969967460000007</v>
      </c>
      <c r="U1972">
        <v>0</v>
      </c>
      <c r="V1972">
        <v>0</v>
      </c>
    </row>
    <row r="1973" spans="1:22" x14ac:dyDescent="0.2">
      <c r="A1973"/>
      <c r="B1973">
        <v>26334</v>
      </c>
      <c r="C1973" t="s">
        <v>4089</v>
      </c>
      <c r="D1973" t="s">
        <v>1045</v>
      </c>
      <c r="E1973" t="s">
        <v>3757</v>
      </c>
      <c r="F1973" t="s">
        <v>2322</v>
      </c>
      <c r="G1973">
        <v>91.980083646400004</v>
      </c>
      <c r="H1973" t="s">
        <v>12</v>
      </c>
      <c r="Q1973">
        <v>3476.8012035299998</v>
      </c>
      <c r="R1973">
        <v>32648.540405</v>
      </c>
      <c r="S1973">
        <v>-11.231363653900001</v>
      </c>
      <c r="T1973">
        <v>-114.76068974099999</v>
      </c>
      <c r="U1973">
        <v>0</v>
      </c>
      <c r="V1973">
        <v>0</v>
      </c>
    </row>
    <row r="1974" spans="1:22" x14ac:dyDescent="0.2">
      <c r="A1974"/>
      <c r="B1974">
        <v>26335</v>
      </c>
      <c r="C1974" t="s">
        <v>4090</v>
      </c>
      <c r="D1974" t="s">
        <v>1045</v>
      </c>
      <c r="E1974" t="s">
        <v>1048</v>
      </c>
      <c r="F1974" t="s">
        <v>2322</v>
      </c>
      <c r="G1974">
        <v>91.980083646400004</v>
      </c>
      <c r="H1974" t="s">
        <v>1270</v>
      </c>
      <c r="Q1974">
        <v>3476.8012035299998</v>
      </c>
      <c r="R1974">
        <v>32648.540405</v>
      </c>
      <c r="S1974">
        <v>-11.231363653900001</v>
      </c>
      <c r="T1974">
        <v>65.2393102586</v>
      </c>
      <c r="U1974">
        <v>0</v>
      </c>
      <c r="V1974">
        <v>0</v>
      </c>
    </row>
    <row r="1975" spans="1:22" x14ac:dyDescent="0.2">
      <c r="A1975"/>
      <c r="B1975">
        <v>26336</v>
      </c>
      <c r="C1975" t="s">
        <v>4091</v>
      </c>
      <c r="D1975" t="s">
        <v>1045</v>
      </c>
      <c r="E1975" t="s">
        <v>1048</v>
      </c>
      <c r="F1975" t="s">
        <v>2322</v>
      </c>
      <c r="G1975">
        <v>257.67880331200001</v>
      </c>
      <c r="H1975" t="s">
        <v>12</v>
      </c>
      <c r="Q1975">
        <v>3428.92113754</v>
      </c>
      <c r="R1975">
        <v>32491.388605200002</v>
      </c>
      <c r="S1975">
        <v>-10.803977528700001</v>
      </c>
      <c r="T1975">
        <v>-99.955326006799993</v>
      </c>
      <c r="U1975">
        <v>0</v>
      </c>
      <c r="V1975">
        <v>0</v>
      </c>
    </row>
    <row r="1976" spans="1:22" x14ac:dyDescent="0.2">
      <c r="A1976"/>
      <c r="B1976">
        <v>26337</v>
      </c>
      <c r="C1976" t="s">
        <v>4092</v>
      </c>
      <c r="D1976" t="s">
        <v>1045</v>
      </c>
      <c r="E1976" t="s">
        <v>3757</v>
      </c>
      <c r="F1976" t="s">
        <v>2322</v>
      </c>
      <c r="G1976">
        <v>257.67880331200001</v>
      </c>
      <c r="H1976" t="s">
        <v>1270</v>
      </c>
      <c r="Q1976">
        <v>3428.92113754</v>
      </c>
      <c r="R1976">
        <v>32491.388605200002</v>
      </c>
      <c r="S1976">
        <v>-10.803977528700001</v>
      </c>
      <c r="T1976">
        <v>80.044673993200007</v>
      </c>
      <c r="U1976">
        <v>0</v>
      </c>
      <c r="V1976">
        <v>0</v>
      </c>
    </row>
    <row r="1977" spans="1:22" x14ac:dyDescent="0.2">
      <c r="A1977"/>
      <c r="B1977">
        <v>26338</v>
      </c>
      <c r="C1977" t="s">
        <v>4093</v>
      </c>
      <c r="D1977" t="s">
        <v>1045</v>
      </c>
      <c r="E1977" t="s">
        <v>3757</v>
      </c>
      <c r="F1977" t="s">
        <v>2325</v>
      </c>
      <c r="G1977">
        <v>142.17875535100001</v>
      </c>
      <c r="H1977" t="s">
        <v>12</v>
      </c>
      <c r="Q1977">
        <v>3386.5180702399998</v>
      </c>
      <c r="R1977">
        <v>32242.721928200001</v>
      </c>
      <c r="S1977">
        <v>-10.8015969861</v>
      </c>
      <c r="T1977">
        <v>-100.02648286500001</v>
      </c>
      <c r="U1977">
        <v>0</v>
      </c>
      <c r="V1977">
        <v>0</v>
      </c>
    </row>
    <row r="1978" spans="1:22" x14ac:dyDescent="0.2">
      <c r="A1978"/>
      <c r="B1978">
        <v>26339</v>
      </c>
      <c r="C1978" t="s">
        <v>4094</v>
      </c>
      <c r="D1978" t="s">
        <v>1045</v>
      </c>
      <c r="E1978" t="s">
        <v>3757</v>
      </c>
      <c r="F1978" t="s">
        <v>2325</v>
      </c>
      <c r="G1978">
        <v>142.17875535100001</v>
      </c>
      <c r="H1978" t="s">
        <v>1270</v>
      </c>
      <c r="Q1978">
        <v>3386.5180702399998</v>
      </c>
      <c r="R1978">
        <v>32242.721928200001</v>
      </c>
      <c r="S1978">
        <v>-10.8015969861</v>
      </c>
      <c r="T1978">
        <v>79.973517134700003</v>
      </c>
      <c r="U1978">
        <v>0</v>
      </c>
      <c r="V1978">
        <v>0</v>
      </c>
    </row>
    <row r="1979" spans="1:22" x14ac:dyDescent="0.2">
      <c r="A1979"/>
      <c r="B1979">
        <v>26340</v>
      </c>
      <c r="C1979" t="s">
        <v>4095</v>
      </c>
      <c r="D1979" t="s">
        <v>1045</v>
      </c>
      <c r="E1979" t="s">
        <v>3757</v>
      </c>
      <c r="F1979" t="s">
        <v>2325</v>
      </c>
      <c r="G1979">
        <v>262.92141354199998</v>
      </c>
      <c r="H1979" t="s">
        <v>12</v>
      </c>
      <c r="Q1979">
        <v>3361.3136027199998</v>
      </c>
      <c r="R1979">
        <v>32124.493766</v>
      </c>
      <c r="S1979">
        <v>-10.795593408</v>
      </c>
      <c r="T1979">
        <v>-104.298288857</v>
      </c>
      <c r="U1979">
        <v>0</v>
      </c>
      <c r="V1979">
        <v>0</v>
      </c>
    </row>
    <row r="1980" spans="1:22" x14ac:dyDescent="0.2">
      <c r="A1980"/>
      <c r="B1980">
        <v>26341</v>
      </c>
      <c r="C1980" t="s">
        <v>4096</v>
      </c>
      <c r="D1980" t="s">
        <v>1045</v>
      </c>
      <c r="E1980" t="s">
        <v>3757</v>
      </c>
      <c r="F1980" t="s">
        <v>2325</v>
      </c>
      <c r="G1980">
        <v>262.92141354199998</v>
      </c>
      <c r="H1980" t="s">
        <v>1270</v>
      </c>
      <c r="Q1980">
        <v>3361.3136027199998</v>
      </c>
      <c r="R1980">
        <v>32124.493766</v>
      </c>
      <c r="S1980">
        <v>-10.795593408</v>
      </c>
      <c r="T1980">
        <v>75.701711142899995</v>
      </c>
      <c r="U1980">
        <v>0</v>
      </c>
      <c r="V1980">
        <v>0</v>
      </c>
    </row>
    <row r="1981" spans="1:22" x14ac:dyDescent="0.2">
      <c r="A1981"/>
      <c r="B1981">
        <v>26342</v>
      </c>
      <c r="C1981" t="s">
        <v>4097</v>
      </c>
      <c r="D1981" t="s">
        <v>1045</v>
      </c>
      <c r="E1981" t="s">
        <v>3757</v>
      </c>
      <c r="F1981" t="s">
        <v>2330</v>
      </c>
      <c r="G1981">
        <v>70.907123934300003</v>
      </c>
      <c r="H1981" t="s">
        <v>12</v>
      </c>
      <c r="Q1981">
        <v>3294.3866269099999</v>
      </c>
      <c r="R1981">
        <v>31867.219764599999</v>
      </c>
      <c r="S1981">
        <v>-10.793897836599999</v>
      </c>
      <c r="T1981">
        <v>-104.533672685</v>
      </c>
      <c r="U1981">
        <v>0</v>
      </c>
      <c r="V1981">
        <v>0</v>
      </c>
    </row>
    <row r="1982" spans="1:22" x14ac:dyDescent="0.2">
      <c r="A1982"/>
      <c r="B1982">
        <v>26343</v>
      </c>
      <c r="C1982" t="s">
        <v>4098</v>
      </c>
      <c r="D1982" t="s">
        <v>1045</v>
      </c>
      <c r="E1982" t="s">
        <v>3757</v>
      </c>
      <c r="F1982" t="s">
        <v>2330</v>
      </c>
      <c r="G1982">
        <v>70.907123934300003</v>
      </c>
      <c r="H1982" t="s">
        <v>1270</v>
      </c>
      <c r="Q1982">
        <v>3294.3866269099999</v>
      </c>
      <c r="R1982">
        <v>31867.219764599999</v>
      </c>
      <c r="S1982">
        <v>-10.793897836599999</v>
      </c>
      <c r="T1982">
        <v>75.466327314699996</v>
      </c>
      <c r="U1982">
        <v>0</v>
      </c>
      <c r="V1982">
        <v>0</v>
      </c>
    </row>
    <row r="1983" spans="1:22" x14ac:dyDescent="0.2">
      <c r="A1983"/>
      <c r="B1983">
        <v>26344</v>
      </c>
      <c r="C1983" t="s">
        <v>4099</v>
      </c>
      <c r="D1983" t="s">
        <v>1045</v>
      </c>
      <c r="E1983" t="s">
        <v>3757</v>
      </c>
      <c r="F1983" t="s">
        <v>2330</v>
      </c>
      <c r="G1983">
        <v>237.35444643899999</v>
      </c>
      <c r="H1983" t="s">
        <v>12</v>
      </c>
      <c r="Q1983">
        <v>3264.5620425799998</v>
      </c>
      <c r="R1983">
        <v>31704.166648300001</v>
      </c>
      <c r="S1983">
        <v>-10.8001334904</v>
      </c>
      <c r="T1983">
        <v>-94.682945997700003</v>
      </c>
      <c r="U1983">
        <v>0</v>
      </c>
      <c r="V1983">
        <v>0</v>
      </c>
    </row>
    <row r="1984" spans="1:22" x14ac:dyDescent="0.2">
      <c r="A1984"/>
      <c r="B1984">
        <v>26345</v>
      </c>
      <c r="C1984" t="s">
        <v>4100</v>
      </c>
      <c r="D1984" t="s">
        <v>1045</v>
      </c>
      <c r="E1984" t="s">
        <v>3757</v>
      </c>
      <c r="F1984" t="s">
        <v>2330</v>
      </c>
      <c r="G1984">
        <v>237.35444643899999</v>
      </c>
      <c r="H1984" t="s">
        <v>1270</v>
      </c>
      <c r="Q1984">
        <v>3264.5620425799998</v>
      </c>
      <c r="R1984">
        <v>31704.166648300001</v>
      </c>
      <c r="S1984">
        <v>-10.8001334904</v>
      </c>
      <c r="T1984">
        <v>85.317054002299997</v>
      </c>
      <c r="U1984">
        <v>0</v>
      </c>
      <c r="V1984">
        <v>0</v>
      </c>
    </row>
    <row r="1985" spans="1:22" x14ac:dyDescent="0.2">
      <c r="A1985"/>
      <c r="B1985">
        <v>26346</v>
      </c>
      <c r="C1985" t="s">
        <v>4101</v>
      </c>
      <c r="D1985" t="s">
        <v>1045</v>
      </c>
      <c r="E1985" t="s">
        <v>3757</v>
      </c>
      <c r="F1985" t="s">
        <v>2335</v>
      </c>
      <c r="G1985">
        <v>272.01055575100003</v>
      </c>
      <c r="H1985" t="s">
        <v>12</v>
      </c>
      <c r="Q1985">
        <v>3243.5719884700002</v>
      </c>
      <c r="R1985">
        <v>31412.262771999998</v>
      </c>
      <c r="S1985">
        <v>-11.323138114400001</v>
      </c>
      <c r="T1985">
        <v>-93.969154689299998</v>
      </c>
      <c r="U1985">
        <v>0</v>
      </c>
      <c r="V1985">
        <v>0</v>
      </c>
    </row>
    <row r="1986" spans="1:22" x14ac:dyDescent="0.2">
      <c r="A1986"/>
      <c r="B1986">
        <v>26347</v>
      </c>
      <c r="C1986" t="s">
        <v>4102</v>
      </c>
      <c r="D1986" t="s">
        <v>1045</v>
      </c>
      <c r="E1986" t="s">
        <v>3757</v>
      </c>
      <c r="F1986" t="s">
        <v>2335</v>
      </c>
      <c r="G1986">
        <v>272.01055575100003</v>
      </c>
      <c r="H1986" t="s">
        <v>1270</v>
      </c>
      <c r="Q1986">
        <v>3243.5719884700002</v>
      </c>
      <c r="R1986">
        <v>31412.262771999998</v>
      </c>
      <c r="S1986">
        <v>-11.323138114400001</v>
      </c>
      <c r="T1986">
        <v>86.030845310700002</v>
      </c>
      <c r="U1986">
        <v>0</v>
      </c>
      <c r="V1986">
        <v>0</v>
      </c>
    </row>
    <row r="1987" spans="1:22" x14ac:dyDescent="0.2">
      <c r="A1987"/>
      <c r="B1987">
        <v>26348</v>
      </c>
      <c r="C1987" t="s">
        <v>4103</v>
      </c>
      <c r="D1987" t="s">
        <v>1045</v>
      </c>
      <c r="E1987" t="s">
        <v>3757</v>
      </c>
      <c r="F1987" t="s">
        <v>2335</v>
      </c>
      <c r="G1987">
        <v>378.11144499800002</v>
      </c>
      <c r="H1987" t="s">
        <v>12</v>
      </c>
      <c r="Q1987">
        <v>3234.5607138099999</v>
      </c>
      <c r="R1987">
        <v>31306.468877200001</v>
      </c>
      <c r="S1987">
        <v>-12.682243786100001</v>
      </c>
      <c r="T1987">
        <v>-96.124535378299996</v>
      </c>
      <c r="U1987">
        <v>0</v>
      </c>
      <c r="V1987">
        <v>0</v>
      </c>
    </row>
    <row r="1988" spans="1:22" x14ac:dyDescent="0.2">
      <c r="A1988"/>
      <c r="B1988">
        <v>26349</v>
      </c>
      <c r="C1988" t="s">
        <v>4104</v>
      </c>
      <c r="D1988" t="s">
        <v>1045</v>
      </c>
      <c r="E1988" t="s">
        <v>3757</v>
      </c>
      <c r="F1988" t="s">
        <v>2335</v>
      </c>
      <c r="G1988">
        <v>378.11144499800002</v>
      </c>
      <c r="H1988" t="s">
        <v>1270</v>
      </c>
      <c r="Q1988">
        <v>3234.5607138099999</v>
      </c>
      <c r="R1988">
        <v>31306.468877200001</v>
      </c>
      <c r="S1988">
        <v>-12.682243786100001</v>
      </c>
      <c r="T1988">
        <v>83.875464621700004</v>
      </c>
      <c r="U1988">
        <v>0</v>
      </c>
      <c r="V1988">
        <v>0</v>
      </c>
    </row>
    <row r="1989" spans="1:22" x14ac:dyDescent="0.2">
      <c r="A1989"/>
      <c r="B1989">
        <v>26350</v>
      </c>
      <c r="C1989" t="s">
        <v>4105</v>
      </c>
      <c r="D1989" t="s">
        <v>1045</v>
      </c>
      <c r="E1989" t="s">
        <v>3757</v>
      </c>
      <c r="F1989" t="s">
        <v>2335</v>
      </c>
      <c r="G1989">
        <v>609.49307551899994</v>
      </c>
      <c r="H1989" t="s">
        <v>12</v>
      </c>
      <c r="Q1989">
        <v>3208.4773860400001</v>
      </c>
      <c r="R1989">
        <v>31076.558506699999</v>
      </c>
      <c r="S1989">
        <v>-13.431170250699999</v>
      </c>
      <c r="T1989">
        <v>-96.315350382700004</v>
      </c>
      <c r="U1989">
        <v>0</v>
      </c>
      <c r="V1989">
        <v>0</v>
      </c>
    </row>
    <row r="1990" spans="1:22" x14ac:dyDescent="0.2">
      <c r="A1990"/>
      <c r="B1990">
        <v>26351</v>
      </c>
      <c r="C1990" t="s">
        <v>4106</v>
      </c>
      <c r="D1990" t="s">
        <v>1045</v>
      </c>
      <c r="E1990" t="s">
        <v>1048</v>
      </c>
      <c r="F1990" t="s">
        <v>2335</v>
      </c>
      <c r="G1990">
        <v>609.49307551899994</v>
      </c>
      <c r="H1990" t="s">
        <v>1270</v>
      </c>
      <c r="Q1990">
        <v>3208.4773860400001</v>
      </c>
      <c r="R1990">
        <v>31076.558506699999</v>
      </c>
      <c r="S1990">
        <v>-13.431170250699999</v>
      </c>
      <c r="T1990">
        <v>83.684649617299996</v>
      </c>
      <c r="U1990">
        <v>0</v>
      </c>
      <c r="V1990">
        <v>0</v>
      </c>
    </row>
    <row r="1991" spans="1:22" x14ac:dyDescent="0.2">
      <c r="A1991"/>
      <c r="B1991">
        <v>26352</v>
      </c>
      <c r="C1991" t="s">
        <v>4107</v>
      </c>
      <c r="D1991" t="s">
        <v>1045</v>
      </c>
      <c r="E1991" t="s">
        <v>1048</v>
      </c>
      <c r="F1991" t="s">
        <v>2335</v>
      </c>
      <c r="G1991">
        <v>833.19881875700003</v>
      </c>
      <c r="H1991" t="s">
        <v>12</v>
      </c>
      <c r="Q1991">
        <v>3223.8536590799999</v>
      </c>
      <c r="R1991">
        <v>30856.795582800001</v>
      </c>
      <c r="S1991">
        <v>-15.6123847008</v>
      </c>
      <c r="T1991">
        <v>-71.6938795704</v>
      </c>
      <c r="U1991">
        <v>0</v>
      </c>
      <c r="V1991">
        <v>0</v>
      </c>
    </row>
    <row r="1992" spans="1:22" x14ac:dyDescent="0.2">
      <c r="A1992"/>
      <c r="B1992">
        <v>26353</v>
      </c>
      <c r="C1992" t="s">
        <v>4108</v>
      </c>
      <c r="D1992" t="s">
        <v>1045</v>
      </c>
      <c r="E1992" t="s">
        <v>3757</v>
      </c>
      <c r="F1992" t="s">
        <v>2335</v>
      </c>
      <c r="G1992">
        <v>833.19881875700003</v>
      </c>
      <c r="H1992" t="s">
        <v>1270</v>
      </c>
      <c r="Q1992">
        <v>3223.8536590799999</v>
      </c>
      <c r="R1992">
        <v>30856.795582800001</v>
      </c>
      <c r="S1992">
        <v>-15.6123847008</v>
      </c>
      <c r="T1992">
        <v>108.30612043000001</v>
      </c>
      <c r="U1992">
        <v>0</v>
      </c>
      <c r="V1992">
        <v>0</v>
      </c>
    </row>
    <row r="1993" spans="1:22" x14ac:dyDescent="0.2">
      <c r="A1993"/>
      <c r="B1993">
        <v>26354</v>
      </c>
      <c r="C1993" t="s">
        <v>4109</v>
      </c>
      <c r="D1993" t="s">
        <v>1045</v>
      </c>
      <c r="E1993" t="s">
        <v>3757</v>
      </c>
      <c r="F1993" t="s">
        <v>2335</v>
      </c>
      <c r="G1993">
        <v>862.13632184100004</v>
      </c>
      <c r="H1993" t="s">
        <v>12</v>
      </c>
      <c r="Q1993">
        <v>3233.1943048200001</v>
      </c>
      <c r="R1993">
        <v>30829.444924899999</v>
      </c>
      <c r="S1993">
        <v>-16.070406957599999</v>
      </c>
      <c r="T1993">
        <v>-70.960773850500004</v>
      </c>
      <c r="U1993">
        <v>0</v>
      </c>
      <c r="V1993">
        <v>0</v>
      </c>
    </row>
    <row r="1994" spans="1:22" x14ac:dyDescent="0.2">
      <c r="A1994"/>
      <c r="B1994">
        <v>26355</v>
      </c>
      <c r="C1994" t="s">
        <v>4110</v>
      </c>
      <c r="D1994" t="s">
        <v>1045</v>
      </c>
      <c r="E1994" t="s">
        <v>3757</v>
      </c>
      <c r="F1994" t="s">
        <v>2335</v>
      </c>
      <c r="G1994">
        <v>862.13632184100004</v>
      </c>
      <c r="H1994" t="s">
        <v>1270</v>
      </c>
      <c r="Q1994">
        <v>3233.1943048200001</v>
      </c>
      <c r="R1994">
        <v>30829.444924899999</v>
      </c>
      <c r="S1994">
        <v>-16.070406957599999</v>
      </c>
      <c r="T1994">
        <v>109.03922615</v>
      </c>
      <c r="U1994">
        <v>0</v>
      </c>
      <c r="V1994">
        <v>0</v>
      </c>
    </row>
    <row r="1995" spans="1:22" x14ac:dyDescent="0.2">
      <c r="A1995"/>
      <c r="B1995">
        <v>26356</v>
      </c>
      <c r="C1995" t="s">
        <v>4111</v>
      </c>
      <c r="D1995" t="s">
        <v>1045</v>
      </c>
      <c r="E1995" t="s">
        <v>3757</v>
      </c>
      <c r="F1995" t="s">
        <v>2335</v>
      </c>
      <c r="G1995">
        <v>939.46743304799998</v>
      </c>
      <c r="H1995" t="s">
        <v>12</v>
      </c>
      <c r="Q1995">
        <v>3257.4666883199998</v>
      </c>
      <c r="R1995">
        <v>30755.961003</v>
      </c>
      <c r="S1995">
        <v>-17.258349643799999</v>
      </c>
      <c r="T1995">
        <v>-72.552695533100007</v>
      </c>
      <c r="U1995">
        <v>0</v>
      </c>
      <c r="V1995">
        <v>0</v>
      </c>
    </row>
    <row r="1996" spans="1:22" x14ac:dyDescent="0.2">
      <c r="A1996"/>
      <c r="B1996">
        <v>26357</v>
      </c>
      <c r="C1996" t="s">
        <v>4112</v>
      </c>
      <c r="D1996" t="s">
        <v>1045</v>
      </c>
      <c r="E1996" t="s">
        <v>3757</v>
      </c>
      <c r="F1996" t="s">
        <v>2335</v>
      </c>
      <c r="G1996">
        <v>939.46743304799998</v>
      </c>
      <c r="H1996" t="s">
        <v>1270</v>
      </c>
      <c r="Q1996">
        <v>3257.4666883199998</v>
      </c>
      <c r="R1996">
        <v>30755.961003</v>
      </c>
      <c r="S1996">
        <v>-17.258349643799999</v>
      </c>
      <c r="T1996">
        <v>107.447304467</v>
      </c>
      <c r="U1996">
        <v>0</v>
      </c>
      <c r="V1996">
        <v>0</v>
      </c>
    </row>
    <row r="1997" spans="1:22" x14ac:dyDescent="0.2">
      <c r="A1997"/>
      <c r="B1997">
        <v>26358</v>
      </c>
      <c r="C1997" t="s">
        <v>4113</v>
      </c>
      <c r="D1997" t="s">
        <v>1045</v>
      </c>
      <c r="E1997" t="s">
        <v>3757</v>
      </c>
      <c r="F1997" t="s">
        <v>2335</v>
      </c>
      <c r="G1997">
        <v>968.09908458200005</v>
      </c>
      <c r="H1997" t="s">
        <v>12</v>
      </c>
      <c r="Q1997">
        <v>3265.9040167100002</v>
      </c>
      <c r="R1997">
        <v>30728.5748585</v>
      </c>
      <c r="S1997">
        <v>-17.7081183803</v>
      </c>
      <c r="T1997">
        <v>-73.204461829400003</v>
      </c>
      <c r="U1997">
        <v>0</v>
      </c>
      <c r="V1997">
        <v>0</v>
      </c>
    </row>
    <row r="1998" spans="1:22" x14ac:dyDescent="0.2">
      <c r="A1998"/>
      <c r="B1998">
        <v>26359</v>
      </c>
      <c r="C1998" t="s">
        <v>4114</v>
      </c>
      <c r="D1998" t="s">
        <v>1045</v>
      </c>
      <c r="E1998" t="s">
        <v>3757</v>
      </c>
      <c r="F1998" t="s">
        <v>2335</v>
      </c>
      <c r="G1998">
        <v>968.09908458200005</v>
      </c>
      <c r="H1998" t="s">
        <v>1270</v>
      </c>
      <c r="Q1998">
        <v>3265.9040167100002</v>
      </c>
      <c r="R1998">
        <v>30728.5748585</v>
      </c>
      <c r="S1998">
        <v>-17.7081183803</v>
      </c>
      <c r="T1998">
        <v>106.795538171</v>
      </c>
      <c r="U1998">
        <v>0</v>
      </c>
      <c r="V1998">
        <v>0</v>
      </c>
    </row>
    <row r="1999" spans="1:22" x14ac:dyDescent="0.2">
      <c r="A1999"/>
      <c r="B1999">
        <v>26360</v>
      </c>
      <c r="C1999" t="s">
        <v>4115</v>
      </c>
      <c r="D1999" t="s">
        <v>1045</v>
      </c>
      <c r="E1999" t="s">
        <v>3757</v>
      </c>
      <c r="F1999" t="s">
        <v>2335</v>
      </c>
      <c r="G1999">
        <v>1110.05366841</v>
      </c>
      <c r="H1999" t="s">
        <v>12</v>
      </c>
      <c r="Q1999">
        <v>3300.6410021800002</v>
      </c>
      <c r="R1999">
        <v>30590.752091999999</v>
      </c>
      <c r="S1999">
        <v>-18.526435732900001</v>
      </c>
      <c r="T1999">
        <v>-79.499973321900001</v>
      </c>
      <c r="U1999">
        <v>0</v>
      </c>
      <c r="V1999">
        <v>0</v>
      </c>
    </row>
    <row r="2000" spans="1:22" x14ac:dyDescent="0.2">
      <c r="A2000"/>
      <c r="B2000">
        <v>26361</v>
      </c>
      <c r="C2000" t="s">
        <v>4116</v>
      </c>
      <c r="D2000" t="s">
        <v>1045</v>
      </c>
      <c r="E2000" t="s">
        <v>3757</v>
      </c>
      <c r="F2000" t="s">
        <v>2335</v>
      </c>
      <c r="G2000">
        <v>1110.05366841</v>
      </c>
      <c r="H2000" t="s">
        <v>1270</v>
      </c>
      <c r="Q2000">
        <v>3300.6410021800002</v>
      </c>
      <c r="R2000">
        <v>30590.752091999999</v>
      </c>
      <c r="S2000">
        <v>-18.526435732900001</v>
      </c>
      <c r="T2000">
        <v>100.500026678</v>
      </c>
      <c r="U2000">
        <v>0</v>
      </c>
      <c r="V2000">
        <v>0</v>
      </c>
    </row>
    <row r="2001" spans="1:22" x14ac:dyDescent="0.2">
      <c r="A2001"/>
      <c r="B2001">
        <v>26362</v>
      </c>
      <c r="C2001" t="s">
        <v>4117</v>
      </c>
      <c r="D2001" t="s">
        <v>1045</v>
      </c>
      <c r="E2001" t="s">
        <v>3757</v>
      </c>
      <c r="F2001" t="s">
        <v>2335</v>
      </c>
      <c r="G2001">
        <v>1189.4172125</v>
      </c>
      <c r="H2001" t="s">
        <v>12</v>
      </c>
      <c r="Q2001">
        <v>3314.2059054000001</v>
      </c>
      <c r="R2001">
        <v>30512.528121899999</v>
      </c>
      <c r="S2001">
        <v>-18.2902668017</v>
      </c>
      <c r="T2001">
        <v>-80.162743516999996</v>
      </c>
      <c r="U2001">
        <v>0</v>
      </c>
      <c r="V2001">
        <v>0</v>
      </c>
    </row>
    <row r="2002" spans="1:22" x14ac:dyDescent="0.2">
      <c r="A2002"/>
      <c r="B2002">
        <v>26363</v>
      </c>
      <c r="C2002" t="s">
        <v>4118</v>
      </c>
      <c r="D2002" t="s">
        <v>1045</v>
      </c>
      <c r="E2002" t="s">
        <v>3757</v>
      </c>
      <c r="F2002" t="s">
        <v>2335</v>
      </c>
      <c r="G2002">
        <v>1189.4172125</v>
      </c>
      <c r="H2002" t="s">
        <v>1270</v>
      </c>
      <c r="Q2002">
        <v>3314.2059054000001</v>
      </c>
      <c r="R2002">
        <v>30512.528121899999</v>
      </c>
      <c r="S2002">
        <v>-18.2902668017</v>
      </c>
      <c r="T2002">
        <v>99.837256483000004</v>
      </c>
      <c r="U2002">
        <v>0</v>
      </c>
      <c r="V2002">
        <v>0</v>
      </c>
    </row>
    <row r="2003" spans="1:22" x14ac:dyDescent="0.2">
      <c r="A2003"/>
      <c r="B2003">
        <v>26364</v>
      </c>
      <c r="C2003" t="s">
        <v>4119</v>
      </c>
      <c r="D2003" t="s">
        <v>1045</v>
      </c>
      <c r="E2003" t="s">
        <v>3757</v>
      </c>
      <c r="F2003" t="s">
        <v>2335</v>
      </c>
      <c r="G2003">
        <v>1265.1204041599999</v>
      </c>
      <c r="H2003" t="s">
        <v>12</v>
      </c>
      <c r="Q2003">
        <v>3327.9876356099999</v>
      </c>
      <c r="R2003">
        <v>30438.150462099999</v>
      </c>
      <c r="S2003">
        <v>-18.0698585835</v>
      </c>
      <c r="T2003">
        <v>-78.845388404299996</v>
      </c>
      <c r="U2003">
        <v>0</v>
      </c>
      <c r="V2003">
        <v>0</v>
      </c>
    </row>
    <row r="2004" spans="1:22" x14ac:dyDescent="0.2">
      <c r="A2004"/>
      <c r="B2004">
        <v>26365</v>
      </c>
      <c r="C2004" t="s">
        <v>4120</v>
      </c>
      <c r="D2004" t="s">
        <v>1045</v>
      </c>
      <c r="E2004" t="s">
        <v>3757</v>
      </c>
      <c r="F2004" t="s">
        <v>2335</v>
      </c>
      <c r="G2004">
        <v>1265.1204041599999</v>
      </c>
      <c r="H2004" t="s">
        <v>1270</v>
      </c>
      <c r="Q2004">
        <v>3327.9876356099999</v>
      </c>
      <c r="R2004">
        <v>30438.150462099999</v>
      </c>
      <c r="S2004">
        <v>-18.0698585835</v>
      </c>
      <c r="T2004">
        <v>101.154611596</v>
      </c>
      <c r="U2004">
        <v>0</v>
      </c>
      <c r="V2004">
        <v>0</v>
      </c>
    </row>
    <row r="2005" spans="1:22" x14ac:dyDescent="0.2">
      <c r="A2005"/>
      <c r="B2005">
        <v>26366</v>
      </c>
      <c r="C2005" t="s">
        <v>4121</v>
      </c>
      <c r="D2005" t="s">
        <v>1045</v>
      </c>
      <c r="E2005" t="s">
        <v>3757</v>
      </c>
      <c r="F2005" t="s">
        <v>2335</v>
      </c>
      <c r="G2005">
        <v>1299.6421645800001</v>
      </c>
      <c r="H2005" t="s">
        <v>12</v>
      </c>
      <c r="Q2005">
        <v>3334.8364645500001</v>
      </c>
      <c r="R2005">
        <v>30404.3417233</v>
      </c>
      <c r="S2005">
        <v>-17.990648951699999</v>
      </c>
      <c r="T2005">
        <v>-78.248482502300007</v>
      </c>
      <c r="U2005">
        <v>0</v>
      </c>
      <c r="V2005">
        <v>0</v>
      </c>
    </row>
    <row r="2006" spans="1:22" x14ac:dyDescent="0.2">
      <c r="A2006"/>
      <c r="B2006">
        <v>26367</v>
      </c>
      <c r="C2006" t="s">
        <v>4122</v>
      </c>
      <c r="D2006" t="s">
        <v>1045</v>
      </c>
      <c r="E2006" t="s">
        <v>3757</v>
      </c>
      <c r="F2006" t="s">
        <v>2335</v>
      </c>
      <c r="G2006">
        <v>1299.6421645800001</v>
      </c>
      <c r="H2006" t="s">
        <v>1270</v>
      </c>
      <c r="Q2006">
        <v>3334.8364645500001</v>
      </c>
      <c r="R2006">
        <v>30404.3417233</v>
      </c>
      <c r="S2006">
        <v>-17.990648951699999</v>
      </c>
      <c r="T2006">
        <v>101.751517498</v>
      </c>
      <c r="U2006">
        <v>0</v>
      </c>
      <c r="V2006">
        <v>0</v>
      </c>
    </row>
    <row r="2007" spans="1:22" x14ac:dyDescent="0.2">
      <c r="A2007"/>
      <c r="B2007">
        <v>26368</v>
      </c>
      <c r="C2007" t="s">
        <v>4123</v>
      </c>
      <c r="D2007" t="s">
        <v>1045</v>
      </c>
      <c r="E2007" t="s">
        <v>3757</v>
      </c>
      <c r="F2007" t="s">
        <v>2335</v>
      </c>
      <c r="G2007">
        <v>1412.52111881</v>
      </c>
      <c r="H2007" t="s">
        <v>12</v>
      </c>
      <c r="Q2007">
        <v>3354.7622147000002</v>
      </c>
      <c r="R2007">
        <v>30293.091252099999</v>
      </c>
      <c r="S2007">
        <v>-18.2687240395</v>
      </c>
      <c r="T2007">
        <v>-82.615404616600003</v>
      </c>
      <c r="U2007">
        <v>0</v>
      </c>
      <c r="V2007">
        <v>0</v>
      </c>
    </row>
    <row r="2008" spans="1:22" x14ac:dyDescent="0.2">
      <c r="A2008"/>
      <c r="B2008">
        <v>26369</v>
      </c>
      <c r="C2008" t="s">
        <v>4124</v>
      </c>
      <c r="D2008" t="s">
        <v>1045</v>
      </c>
      <c r="E2008" t="s">
        <v>3757</v>
      </c>
      <c r="F2008" t="s">
        <v>2335</v>
      </c>
      <c r="G2008">
        <v>1412.52111881</v>
      </c>
      <c r="H2008" t="s">
        <v>1270</v>
      </c>
      <c r="Q2008">
        <v>3354.7622147000002</v>
      </c>
      <c r="R2008">
        <v>30293.091252099999</v>
      </c>
      <c r="S2008">
        <v>-18.2687240395</v>
      </c>
      <c r="T2008">
        <v>97.384595383399997</v>
      </c>
      <c r="U2008">
        <v>0</v>
      </c>
      <c r="V2008">
        <v>0</v>
      </c>
    </row>
    <row r="2009" spans="1:22" x14ac:dyDescent="0.2">
      <c r="A2009"/>
      <c r="B2009">
        <v>26370</v>
      </c>
      <c r="C2009" t="s">
        <v>4125</v>
      </c>
      <c r="D2009" t="s">
        <v>1045</v>
      </c>
      <c r="E2009" t="s">
        <v>3757</v>
      </c>
      <c r="F2009" t="s">
        <v>2335</v>
      </c>
      <c r="G2009">
        <v>1608.9074123299999</v>
      </c>
      <c r="H2009" t="s">
        <v>12</v>
      </c>
      <c r="Q2009">
        <v>3367.6998068100002</v>
      </c>
      <c r="R2009">
        <v>30096.982821099999</v>
      </c>
      <c r="S2009">
        <v>-16.920224662300001</v>
      </c>
      <c r="T2009">
        <v>-91.630901480299997</v>
      </c>
      <c r="U2009">
        <v>0</v>
      </c>
      <c r="V2009">
        <v>0</v>
      </c>
    </row>
    <row r="2010" spans="1:22" x14ac:dyDescent="0.2">
      <c r="A2010"/>
      <c r="B2010">
        <v>26371</v>
      </c>
      <c r="C2010" t="s">
        <v>4126</v>
      </c>
      <c r="D2010" t="s">
        <v>1045</v>
      </c>
      <c r="E2010" t="s">
        <v>3757</v>
      </c>
      <c r="F2010" t="s">
        <v>2335</v>
      </c>
      <c r="G2010">
        <v>1608.9074123299999</v>
      </c>
      <c r="H2010" t="s">
        <v>1270</v>
      </c>
      <c r="Q2010">
        <v>3367.6998068100002</v>
      </c>
      <c r="R2010">
        <v>30096.982821099999</v>
      </c>
      <c r="S2010">
        <v>-16.920224662300001</v>
      </c>
      <c r="T2010">
        <v>88.369098519700003</v>
      </c>
      <c r="U2010">
        <v>0</v>
      </c>
      <c r="V2010">
        <v>0</v>
      </c>
    </row>
    <row r="2011" spans="1:22" x14ac:dyDescent="0.2">
      <c r="A2011"/>
      <c r="B2011">
        <v>26372</v>
      </c>
      <c r="C2011" t="s">
        <v>4127</v>
      </c>
      <c r="D2011" t="s">
        <v>1045</v>
      </c>
      <c r="E2011" t="s">
        <v>3757</v>
      </c>
      <c r="F2011" t="s">
        <v>2335</v>
      </c>
      <c r="G2011">
        <v>2010.5891590199999</v>
      </c>
      <c r="H2011" t="s">
        <v>12</v>
      </c>
      <c r="Q2011">
        <v>3355.4940220399999</v>
      </c>
      <c r="R2011">
        <v>29695.515469099999</v>
      </c>
      <c r="S2011">
        <v>-15.7330421974</v>
      </c>
      <c r="T2011">
        <v>-91.610330939400001</v>
      </c>
      <c r="U2011">
        <v>0</v>
      </c>
      <c r="V2011">
        <v>0</v>
      </c>
    </row>
    <row r="2012" spans="1:22" x14ac:dyDescent="0.2">
      <c r="A2012"/>
      <c r="B2012">
        <v>26373</v>
      </c>
      <c r="C2012" t="s">
        <v>4128</v>
      </c>
      <c r="D2012" t="s">
        <v>1045</v>
      </c>
      <c r="E2012" t="s">
        <v>3757</v>
      </c>
      <c r="F2012" t="s">
        <v>2335</v>
      </c>
      <c r="G2012">
        <v>2010.5891590199999</v>
      </c>
      <c r="H2012" t="s">
        <v>1270</v>
      </c>
      <c r="Q2012">
        <v>3355.4940220399999</v>
      </c>
      <c r="R2012">
        <v>29695.515469099999</v>
      </c>
      <c r="S2012">
        <v>-15.7330421974</v>
      </c>
      <c r="T2012">
        <v>88.389669060599999</v>
      </c>
      <c r="U2012">
        <v>0</v>
      </c>
      <c r="V2012">
        <v>0</v>
      </c>
    </row>
    <row r="2013" spans="1:22" x14ac:dyDescent="0.2">
      <c r="A2013"/>
      <c r="B2013">
        <v>26374</v>
      </c>
      <c r="C2013" t="s">
        <v>4129</v>
      </c>
      <c r="D2013" t="s">
        <v>1045</v>
      </c>
      <c r="E2013" t="s">
        <v>3757</v>
      </c>
      <c r="F2013" t="s">
        <v>2335</v>
      </c>
      <c r="G2013">
        <v>2117.4497440499999</v>
      </c>
      <c r="H2013" t="s">
        <v>12</v>
      </c>
      <c r="Q2013">
        <v>3356.04595238</v>
      </c>
      <c r="R2013">
        <v>29588.939715600001</v>
      </c>
      <c r="S2013">
        <v>-17.650924696000001</v>
      </c>
      <c r="T2013">
        <v>-86.865912128299996</v>
      </c>
      <c r="U2013">
        <v>0</v>
      </c>
      <c r="V2013">
        <v>0</v>
      </c>
    </row>
    <row r="2014" spans="1:22" x14ac:dyDescent="0.2">
      <c r="A2014"/>
      <c r="B2014">
        <v>26375</v>
      </c>
      <c r="C2014" t="s">
        <v>4130</v>
      </c>
      <c r="D2014" t="s">
        <v>1045</v>
      </c>
      <c r="E2014" t="s">
        <v>3757</v>
      </c>
      <c r="F2014" t="s">
        <v>2335</v>
      </c>
      <c r="G2014">
        <v>2117.4497440499999</v>
      </c>
      <c r="H2014" t="s">
        <v>1270</v>
      </c>
      <c r="Q2014">
        <v>3356.04595238</v>
      </c>
      <c r="R2014">
        <v>29588.939715600001</v>
      </c>
      <c r="S2014">
        <v>-17.650924696000001</v>
      </c>
      <c r="T2014">
        <v>93.134087871700004</v>
      </c>
      <c r="U2014">
        <v>0</v>
      </c>
      <c r="V2014">
        <v>0</v>
      </c>
    </row>
    <row r="2015" spans="1:22" x14ac:dyDescent="0.2">
      <c r="A2015"/>
      <c r="B2015">
        <v>26376</v>
      </c>
      <c r="C2015" t="s">
        <v>4131</v>
      </c>
      <c r="D2015" t="s">
        <v>1045</v>
      </c>
      <c r="E2015" t="s">
        <v>3757</v>
      </c>
      <c r="F2015" t="s">
        <v>2335</v>
      </c>
      <c r="G2015">
        <v>2182.6355888799999</v>
      </c>
      <c r="H2015" t="s">
        <v>12</v>
      </c>
      <c r="Q2015">
        <v>3360.12833955</v>
      </c>
      <c r="R2015">
        <v>29523.9278491</v>
      </c>
      <c r="S2015">
        <v>-18.363733076799999</v>
      </c>
      <c r="T2015">
        <v>-85.939643976799999</v>
      </c>
      <c r="U2015">
        <v>0</v>
      </c>
      <c r="V2015">
        <v>0</v>
      </c>
    </row>
    <row r="2016" spans="1:22" x14ac:dyDescent="0.2">
      <c r="A2016"/>
      <c r="B2016">
        <v>26377</v>
      </c>
      <c r="C2016" t="s">
        <v>4132</v>
      </c>
      <c r="D2016" t="s">
        <v>1045</v>
      </c>
      <c r="E2016" t="s">
        <v>3757</v>
      </c>
      <c r="F2016" t="s">
        <v>2335</v>
      </c>
      <c r="G2016">
        <v>2182.6355888799999</v>
      </c>
      <c r="H2016" t="s">
        <v>1270</v>
      </c>
      <c r="Q2016">
        <v>3360.12833955</v>
      </c>
      <c r="R2016">
        <v>29523.9278491</v>
      </c>
      <c r="S2016">
        <v>-18.363733076799999</v>
      </c>
      <c r="T2016">
        <v>94.060356023200001</v>
      </c>
      <c r="U2016">
        <v>0</v>
      </c>
      <c r="V2016">
        <v>0</v>
      </c>
    </row>
    <row r="2017" spans="1:22" x14ac:dyDescent="0.2">
      <c r="A2017"/>
      <c r="B2017">
        <v>26378</v>
      </c>
      <c r="C2017" t="s">
        <v>4133</v>
      </c>
      <c r="D2017" t="s">
        <v>1045</v>
      </c>
      <c r="E2017" t="s">
        <v>3757</v>
      </c>
      <c r="F2017" t="s">
        <v>2335</v>
      </c>
      <c r="G2017">
        <v>2335.0384562999998</v>
      </c>
      <c r="H2017" t="s">
        <v>12</v>
      </c>
      <c r="Q2017">
        <v>3383.4980812499998</v>
      </c>
      <c r="R2017">
        <v>29374.253483299999</v>
      </c>
      <c r="S2017">
        <v>-17.947692346299998</v>
      </c>
      <c r="T2017">
        <v>-74.326136996700001</v>
      </c>
      <c r="U2017">
        <v>0</v>
      </c>
      <c r="V2017">
        <v>0</v>
      </c>
    </row>
    <row r="2018" spans="1:22" x14ac:dyDescent="0.2">
      <c r="A2018"/>
      <c r="B2018">
        <v>26379</v>
      </c>
      <c r="C2018" t="s">
        <v>4134</v>
      </c>
      <c r="D2018" t="s">
        <v>1045</v>
      </c>
      <c r="E2018" t="s">
        <v>3757</v>
      </c>
      <c r="F2018" t="s">
        <v>2335</v>
      </c>
      <c r="G2018">
        <v>2335.0384562999998</v>
      </c>
      <c r="H2018" t="s">
        <v>1270</v>
      </c>
      <c r="Q2018">
        <v>3383.4980812499998</v>
      </c>
      <c r="R2018">
        <v>29374.253483299999</v>
      </c>
      <c r="S2018">
        <v>-17.947692346299998</v>
      </c>
      <c r="T2018">
        <v>105.67386300299999</v>
      </c>
      <c r="U2018">
        <v>0</v>
      </c>
      <c r="V2018">
        <v>0</v>
      </c>
    </row>
    <row r="2019" spans="1:22" x14ac:dyDescent="0.2">
      <c r="A2019"/>
      <c r="B2019">
        <v>26380</v>
      </c>
      <c r="C2019" t="s">
        <v>4135</v>
      </c>
      <c r="D2019" t="s">
        <v>1045</v>
      </c>
      <c r="E2019" t="s">
        <v>3757</v>
      </c>
      <c r="F2019" t="s">
        <v>2335</v>
      </c>
      <c r="G2019">
        <v>2470.2445736700001</v>
      </c>
      <c r="H2019" t="s">
        <v>12</v>
      </c>
      <c r="Q2019">
        <v>3412.12224758</v>
      </c>
      <c r="R2019">
        <v>29241.965557299998</v>
      </c>
      <c r="S2019">
        <v>-17.973207394199999</v>
      </c>
      <c r="T2019">
        <v>-83.568691368299994</v>
      </c>
      <c r="U2019">
        <v>0</v>
      </c>
      <c r="V2019">
        <v>0</v>
      </c>
    </row>
    <row r="2020" spans="1:22" x14ac:dyDescent="0.2">
      <c r="A2020"/>
      <c r="B2020">
        <v>26381</v>
      </c>
      <c r="C2020" t="s">
        <v>4136</v>
      </c>
      <c r="D2020" t="s">
        <v>1045</v>
      </c>
      <c r="E2020" t="s">
        <v>3757</v>
      </c>
      <c r="F2020" t="s">
        <v>2335</v>
      </c>
      <c r="G2020">
        <v>2470.2445736700001</v>
      </c>
      <c r="H2020" t="s">
        <v>1270</v>
      </c>
      <c r="Q2020">
        <v>3412.12224758</v>
      </c>
      <c r="R2020">
        <v>29241.965557299998</v>
      </c>
      <c r="S2020">
        <v>-17.973207394199999</v>
      </c>
      <c r="T2020">
        <v>96.431308631700006</v>
      </c>
      <c r="U2020">
        <v>0</v>
      </c>
      <c r="V2020">
        <v>0</v>
      </c>
    </row>
    <row r="2021" spans="1:22" x14ac:dyDescent="0.2">
      <c r="A2021"/>
      <c r="B2021">
        <v>26382</v>
      </c>
      <c r="C2021" t="s">
        <v>4137</v>
      </c>
      <c r="D2021" t="s">
        <v>1045</v>
      </c>
      <c r="E2021" t="s">
        <v>3757</v>
      </c>
      <c r="F2021" t="s">
        <v>2335</v>
      </c>
      <c r="G2021">
        <v>2778.5626682400002</v>
      </c>
      <c r="H2021" t="s">
        <v>12</v>
      </c>
      <c r="Q2021">
        <v>3445.7170082399998</v>
      </c>
      <c r="R2021">
        <v>28935.468810099999</v>
      </c>
      <c r="S2021">
        <v>-17.518633628100002</v>
      </c>
      <c r="T2021">
        <v>-83.939530920899998</v>
      </c>
      <c r="U2021">
        <v>0</v>
      </c>
      <c r="V2021">
        <v>0</v>
      </c>
    </row>
    <row r="2022" spans="1:22" x14ac:dyDescent="0.2">
      <c r="A2022"/>
      <c r="B2022">
        <v>26383</v>
      </c>
      <c r="C2022" t="s">
        <v>4138</v>
      </c>
      <c r="D2022" t="s">
        <v>1045</v>
      </c>
      <c r="E2022" t="s">
        <v>1048</v>
      </c>
      <c r="F2022" t="s">
        <v>2335</v>
      </c>
      <c r="G2022">
        <v>2778.5626682400002</v>
      </c>
      <c r="H2022" t="s">
        <v>1270</v>
      </c>
      <c r="Q2022">
        <v>3445.7170082399998</v>
      </c>
      <c r="R2022">
        <v>28935.468810099999</v>
      </c>
      <c r="S2022">
        <v>-17.518633628100002</v>
      </c>
      <c r="T2022">
        <v>96.060469079100002</v>
      </c>
      <c r="U2022">
        <v>0</v>
      </c>
      <c r="V2022">
        <v>0</v>
      </c>
    </row>
    <row r="2023" spans="1:22" x14ac:dyDescent="0.2">
      <c r="A2023"/>
      <c r="B2023">
        <v>26384</v>
      </c>
      <c r="C2023" t="s">
        <v>4139</v>
      </c>
      <c r="D2023" t="s">
        <v>1045</v>
      </c>
      <c r="E2023" t="s">
        <v>1048</v>
      </c>
      <c r="F2023" t="s">
        <v>2335</v>
      </c>
      <c r="G2023">
        <v>3035.47797008</v>
      </c>
      <c r="H2023" t="s">
        <v>12</v>
      </c>
      <c r="Q2023">
        <v>3414.8821184799999</v>
      </c>
      <c r="R2023">
        <v>28683.020555399999</v>
      </c>
      <c r="S2023">
        <v>-15.4565307639</v>
      </c>
      <c r="T2023">
        <v>-112.856358595</v>
      </c>
      <c r="U2023">
        <v>0</v>
      </c>
      <c r="V2023">
        <v>0</v>
      </c>
    </row>
    <row r="2024" spans="1:22" x14ac:dyDescent="0.2">
      <c r="A2024"/>
      <c r="B2024">
        <v>26385</v>
      </c>
      <c r="C2024" t="s">
        <v>4140</v>
      </c>
      <c r="D2024" t="s">
        <v>1045</v>
      </c>
      <c r="E2024" t="s">
        <v>3757</v>
      </c>
      <c r="F2024" t="s">
        <v>2335</v>
      </c>
      <c r="G2024">
        <v>3035.47797008</v>
      </c>
      <c r="H2024" t="s">
        <v>1270</v>
      </c>
      <c r="Q2024">
        <v>3414.8821184799999</v>
      </c>
      <c r="R2024">
        <v>28683.020555399999</v>
      </c>
      <c r="S2024">
        <v>-15.4565307639</v>
      </c>
      <c r="T2024">
        <v>67.143641404899995</v>
      </c>
      <c r="U2024">
        <v>0</v>
      </c>
      <c r="V2024">
        <v>0</v>
      </c>
    </row>
    <row r="2025" spans="1:22" x14ac:dyDescent="0.2">
      <c r="A2025"/>
      <c r="B2025">
        <v>26386</v>
      </c>
      <c r="C2025" t="s">
        <v>4141</v>
      </c>
      <c r="D2025" t="s">
        <v>1045</v>
      </c>
      <c r="E2025" t="s">
        <v>3757</v>
      </c>
      <c r="F2025" t="s">
        <v>2335</v>
      </c>
      <c r="G2025">
        <v>3311.04035028</v>
      </c>
      <c r="H2025" t="s">
        <v>12</v>
      </c>
      <c r="Q2025">
        <v>3306.4081144800002</v>
      </c>
      <c r="R2025">
        <v>28429.708331900001</v>
      </c>
      <c r="S2025">
        <v>-14.7742890926</v>
      </c>
      <c r="T2025">
        <v>-113.00861202599999</v>
      </c>
      <c r="U2025">
        <v>0</v>
      </c>
      <c r="V2025">
        <v>0</v>
      </c>
    </row>
    <row r="2026" spans="1:22" x14ac:dyDescent="0.2">
      <c r="A2026"/>
      <c r="B2026">
        <v>26387</v>
      </c>
      <c r="C2026" t="s">
        <v>4142</v>
      </c>
      <c r="D2026" t="s">
        <v>1045</v>
      </c>
      <c r="E2026" t="s">
        <v>3757</v>
      </c>
      <c r="F2026" t="s">
        <v>2335</v>
      </c>
      <c r="G2026">
        <v>3311.04035028</v>
      </c>
      <c r="H2026" t="s">
        <v>1270</v>
      </c>
      <c r="Q2026">
        <v>3306.4081144800002</v>
      </c>
      <c r="R2026">
        <v>28429.708331900001</v>
      </c>
      <c r="S2026">
        <v>-14.7742890926</v>
      </c>
      <c r="T2026">
        <v>66.991387973900004</v>
      </c>
      <c r="U2026">
        <v>0</v>
      </c>
      <c r="V2026">
        <v>0</v>
      </c>
    </row>
    <row r="2027" spans="1:22" x14ac:dyDescent="0.2">
      <c r="A2027"/>
      <c r="B2027">
        <v>26388</v>
      </c>
      <c r="C2027" t="s">
        <v>4143</v>
      </c>
      <c r="D2027" t="s">
        <v>1045</v>
      </c>
      <c r="E2027" t="s">
        <v>3757</v>
      </c>
      <c r="F2027" t="s">
        <v>2335</v>
      </c>
      <c r="G2027">
        <v>3409.0213741900002</v>
      </c>
      <c r="H2027" t="s">
        <v>12</v>
      </c>
      <c r="Q2027">
        <v>3270.2024344400002</v>
      </c>
      <c r="R2027">
        <v>28338.849453399998</v>
      </c>
      <c r="S2027">
        <v>-16.5758920683</v>
      </c>
      <c r="T2027">
        <v>-109.8468479</v>
      </c>
      <c r="U2027">
        <v>0</v>
      </c>
      <c r="V2027">
        <v>0</v>
      </c>
    </row>
    <row r="2028" spans="1:22" x14ac:dyDescent="0.2">
      <c r="A2028"/>
      <c r="B2028">
        <v>26389</v>
      </c>
      <c r="C2028" t="s">
        <v>4144</v>
      </c>
      <c r="D2028" t="s">
        <v>1045</v>
      </c>
      <c r="E2028" t="s">
        <v>3757</v>
      </c>
      <c r="F2028" t="s">
        <v>2335</v>
      </c>
      <c r="G2028">
        <v>3409.0213741900002</v>
      </c>
      <c r="H2028" t="s">
        <v>1270</v>
      </c>
      <c r="Q2028">
        <v>3270.2024344400002</v>
      </c>
      <c r="R2028">
        <v>28338.849453399998</v>
      </c>
      <c r="S2028">
        <v>-16.5758920683</v>
      </c>
      <c r="T2028">
        <v>70.153152100300005</v>
      </c>
      <c r="U2028">
        <v>0</v>
      </c>
      <c r="V2028">
        <v>0</v>
      </c>
    </row>
    <row r="2029" spans="1:22" x14ac:dyDescent="0.2">
      <c r="A2029"/>
      <c r="B2029">
        <v>26390</v>
      </c>
      <c r="C2029" t="s">
        <v>4145</v>
      </c>
      <c r="D2029" t="s">
        <v>1045</v>
      </c>
      <c r="E2029" t="s">
        <v>3757</v>
      </c>
      <c r="F2029" t="s">
        <v>2335</v>
      </c>
      <c r="G2029">
        <v>3444.4606892500001</v>
      </c>
      <c r="H2029" t="s">
        <v>12</v>
      </c>
      <c r="Q2029">
        <v>3258.4219478099999</v>
      </c>
      <c r="R2029">
        <v>28305.467206000001</v>
      </c>
      <c r="S2029">
        <v>-17.247586107899998</v>
      </c>
      <c r="T2029">
        <v>-109.095675341</v>
      </c>
      <c r="U2029">
        <v>0</v>
      </c>
      <c r="V2029">
        <v>0</v>
      </c>
    </row>
    <row r="2030" spans="1:22" x14ac:dyDescent="0.2">
      <c r="A2030"/>
      <c r="B2030">
        <v>26391</v>
      </c>
      <c r="C2030" t="s">
        <v>4146</v>
      </c>
      <c r="D2030" t="s">
        <v>1045</v>
      </c>
      <c r="E2030" t="s">
        <v>1048</v>
      </c>
      <c r="F2030" t="s">
        <v>2335</v>
      </c>
      <c r="G2030">
        <v>3444.4606892500001</v>
      </c>
      <c r="H2030" t="s">
        <v>1270</v>
      </c>
      <c r="Q2030">
        <v>3258.4219478099999</v>
      </c>
      <c r="R2030">
        <v>28305.467206000001</v>
      </c>
      <c r="S2030">
        <v>-17.247586107899998</v>
      </c>
      <c r="T2030">
        <v>70.904324659099998</v>
      </c>
      <c r="U2030">
        <v>0</v>
      </c>
      <c r="V2030">
        <v>0</v>
      </c>
    </row>
    <row r="2031" spans="1:22" x14ac:dyDescent="0.2">
      <c r="A2031"/>
      <c r="B2031">
        <v>26392</v>
      </c>
      <c r="C2031" t="s">
        <v>4147</v>
      </c>
      <c r="D2031" t="s">
        <v>1045</v>
      </c>
      <c r="E2031" t="s">
        <v>1048</v>
      </c>
      <c r="F2031" t="s">
        <v>2335</v>
      </c>
      <c r="G2031">
        <v>3584.0473901099999</v>
      </c>
      <c r="H2031" t="s">
        <v>12</v>
      </c>
      <c r="Q2031">
        <v>3224.5769530100001</v>
      </c>
      <c r="R2031">
        <v>28171.027184499999</v>
      </c>
      <c r="S2031">
        <v>-18.665170166900001</v>
      </c>
      <c r="T2031">
        <v>-97.138326314599993</v>
      </c>
      <c r="U2031">
        <v>0</v>
      </c>
      <c r="V2031">
        <v>0</v>
      </c>
    </row>
    <row r="2032" spans="1:22" x14ac:dyDescent="0.2">
      <c r="A2032"/>
      <c r="B2032">
        <v>26393</v>
      </c>
      <c r="C2032" t="s">
        <v>4148</v>
      </c>
      <c r="D2032" t="s">
        <v>1045</v>
      </c>
      <c r="E2032" t="s">
        <v>3757</v>
      </c>
      <c r="F2032" t="s">
        <v>2335</v>
      </c>
      <c r="G2032">
        <v>3584.0473901099999</v>
      </c>
      <c r="H2032" t="s">
        <v>1270</v>
      </c>
      <c r="Q2032">
        <v>3224.5769530100001</v>
      </c>
      <c r="R2032">
        <v>28171.027184499999</v>
      </c>
      <c r="S2032">
        <v>-18.665170166900001</v>
      </c>
      <c r="T2032">
        <v>82.861673685400007</v>
      </c>
      <c r="U2032">
        <v>0</v>
      </c>
      <c r="V2032">
        <v>0</v>
      </c>
    </row>
    <row r="2033" spans="1:22" x14ac:dyDescent="0.2">
      <c r="A2033"/>
      <c r="B2033">
        <v>26394</v>
      </c>
      <c r="C2033" t="s">
        <v>4149</v>
      </c>
      <c r="D2033" t="s">
        <v>1045</v>
      </c>
      <c r="E2033" t="s">
        <v>3757</v>
      </c>
      <c r="F2033" t="s">
        <v>2335</v>
      </c>
      <c r="G2033">
        <v>4256.8912011499997</v>
      </c>
      <c r="H2033" t="s">
        <v>12</v>
      </c>
      <c r="Q2033">
        <v>3141.4207454900002</v>
      </c>
      <c r="R2033">
        <v>27503.3887574</v>
      </c>
      <c r="S2033">
        <v>-14.567235285300001</v>
      </c>
      <c r="T2033">
        <v>-97.035398891599996</v>
      </c>
      <c r="U2033">
        <v>0</v>
      </c>
      <c r="V2033">
        <v>0</v>
      </c>
    </row>
    <row r="2034" spans="1:22" x14ac:dyDescent="0.2">
      <c r="A2034"/>
      <c r="B2034">
        <v>26395</v>
      </c>
      <c r="C2034" t="s">
        <v>4150</v>
      </c>
      <c r="D2034" t="s">
        <v>1045</v>
      </c>
      <c r="E2034" t="s">
        <v>3757</v>
      </c>
      <c r="F2034" t="s">
        <v>2335</v>
      </c>
      <c r="G2034">
        <v>4256.8912011499997</v>
      </c>
      <c r="H2034" t="s">
        <v>1270</v>
      </c>
      <c r="Q2034">
        <v>3141.4207454900002</v>
      </c>
      <c r="R2034">
        <v>27503.3887574</v>
      </c>
      <c r="S2034">
        <v>-14.567235285300001</v>
      </c>
      <c r="T2034">
        <v>82.964601108400004</v>
      </c>
      <c r="U2034">
        <v>0</v>
      </c>
      <c r="V2034">
        <v>0</v>
      </c>
    </row>
    <row r="2035" spans="1:22" x14ac:dyDescent="0.2">
      <c r="A2035"/>
      <c r="B2035">
        <v>26396</v>
      </c>
      <c r="C2035" t="s">
        <v>4151</v>
      </c>
      <c r="D2035" t="s">
        <v>1045</v>
      </c>
      <c r="E2035" t="s">
        <v>3757</v>
      </c>
      <c r="F2035" t="s">
        <v>2335</v>
      </c>
      <c r="G2035">
        <v>4396.4581696599998</v>
      </c>
      <c r="H2035" t="s">
        <v>12</v>
      </c>
      <c r="Q2035">
        <v>3129.6772434300001</v>
      </c>
      <c r="R2035">
        <v>27364.6085915</v>
      </c>
      <c r="S2035">
        <v>-14.460494217999999</v>
      </c>
      <c r="T2035">
        <v>-92.098980480099996</v>
      </c>
      <c r="U2035">
        <v>0</v>
      </c>
      <c r="V2035">
        <v>0</v>
      </c>
    </row>
    <row r="2036" spans="1:22" x14ac:dyDescent="0.2">
      <c r="A2036"/>
      <c r="B2036">
        <v>26397</v>
      </c>
      <c r="C2036" t="s">
        <v>4152</v>
      </c>
      <c r="D2036" t="s">
        <v>1045</v>
      </c>
      <c r="E2036" t="s">
        <v>3757</v>
      </c>
      <c r="F2036" t="s">
        <v>2335</v>
      </c>
      <c r="G2036">
        <v>4396.4581696599998</v>
      </c>
      <c r="H2036" t="s">
        <v>1270</v>
      </c>
      <c r="Q2036">
        <v>3129.6772434300001</v>
      </c>
      <c r="R2036">
        <v>27364.6085915</v>
      </c>
      <c r="S2036">
        <v>-14.460494217999999</v>
      </c>
      <c r="T2036">
        <v>87.901019519900004</v>
      </c>
      <c r="U2036">
        <v>0</v>
      </c>
      <c r="V2036">
        <v>0</v>
      </c>
    </row>
    <row r="2037" spans="1:22" x14ac:dyDescent="0.2">
      <c r="A2037"/>
      <c r="B2037">
        <v>26398</v>
      </c>
      <c r="C2037" t="s">
        <v>4153</v>
      </c>
      <c r="D2037" t="s">
        <v>1045</v>
      </c>
      <c r="E2037" t="s">
        <v>3757</v>
      </c>
      <c r="F2037" t="s">
        <v>2335</v>
      </c>
      <c r="G2037">
        <v>4461.5256203400004</v>
      </c>
      <c r="H2037" t="s">
        <v>12</v>
      </c>
      <c r="Q2037">
        <v>3127.4728519</v>
      </c>
      <c r="R2037">
        <v>27299.590325199999</v>
      </c>
      <c r="S2037">
        <v>-14.443249766999999</v>
      </c>
      <c r="T2037">
        <v>-91.828885701499999</v>
      </c>
      <c r="U2037">
        <v>0</v>
      </c>
      <c r="V2037">
        <v>0</v>
      </c>
    </row>
    <row r="2038" spans="1:22" x14ac:dyDescent="0.2">
      <c r="A2038"/>
      <c r="B2038">
        <v>26399</v>
      </c>
      <c r="C2038" t="s">
        <v>4154</v>
      </c>
      <c r="D2038" t="s">
        <v>1045</v>
      </c>
      <c r="E2038" t="s">
        <v>3757</v>
      </c>
      <c r="F2038" t="s">
        <v>2335</v>
      </c>
      <c r="G2038">
        <v>4461.5256203400004</v>
      </c>
      <c r="H2038" t="s">
        <v>1270</v>
      </c>
      <c r="Q2038">
        <v>3127.4728519</v>
      </c>
      <c r="R2038">
        <v>27299.590325199999</v>
      </c>
      <c r="S2038">
        <v>-14.443249766999999</v>
      </c>
      <c r="T2038">
        <v>88.171114298500001</v>
      </c>
      <c r="U2038">
        <v>0</v>
      </c>
      <c r="V2038">
        <v>0</v>
      </c>
    </row>
    <row r="2039" spans="1:22" x14ac:dyDescent="0.2">
      <c r="A2039"/>
      <c r="B2039">
        <v>26400</v>
      </c>
      <c r="C2039" t="s">
        <v>4155</v>
      </c>
      <c r="D2039" t="s">
        <v>1045</v>
      </c>
      <c r="E2039" t="s">
        <v>3757</v>
      </c>
      <c r="F2039" t="s">
        <v>2335</v>
      </c>
      <c r="G2039">
        <v>4640.1922563199996</v>
      </c>
      <c r="H2039" t="s">
        <v>12</v>
      </c>
      <c r="Q2039">
        <v>3142.7894150400002</v>
      </c>
      <c r="R2039">
        <v>27122.965567399999</v>
      </c>
      <c r="S2039">
        <v>-16.4741383072</v>
      </c>
      <c r="T2039">
        <v>-77.003380312800005</v>
      </c>
      <c r="U2039">
        <v>0</v>
      </c>
      <c r="V2039">
        <v>0</v>
      </c>
    </row>
    <row r="2040" spans="1:22" x14ac:dyDescent="0.2">
      <c r="A2040"/>
      <c r="B2040">
        <v>26401</v>
      </c>
      <c r="C2040" t="s">
        <v>4156</v>
      </c>
      <c r="D2040" t="s">
        <v>1045</v>
      </c>
      <c r="E2040" t="s">
        <v>1049</v>
      </c>
      <c r="F2040" t="s">
        <v>2335</v>
      </c>
      <c r="G2040">
        <v>4640.1922563199996</v>
      </c>
      <c r="H2040" t="s">
        <v>1270</v>
      </c>
      <c r="Q2040">
        <v>3142.7894150400002</v>
      </c>
      <c r="R2040">
        <v>27122.965567399999</v>
      </c>
      <c r="S2040">
        <v>-16.4741383072</v>
      </c>
      <c r="T2040">
        <v>102.99661968700001</v>
      </c>
      <c r="U2040">
        <v>0</v>
      </c>
      <c r="V2040">
        <v>0</v>
      </c>
    </row>
    <row r="2041" spans="1:22" x14ac:dyDescent="0.2">
      <c r="A2041"/>
      <c r="B2041">
        <v>26402</v>
      </c>
      <c r="C2041" t="s">
        <v>4157</v>
      </c>
      <c r="D2041" t="s">
        <v>1045</v>
      </c>
      <c r="E2041" t="s">
        <v>1049</v>
      </c>
      <c r="F2041" t="s">
        <v>2335</v>
      </c>
      <c r="G2041">
        <v>4809.8806693899996</v>
      </c>
      <c r="H2041" t="s">
        <v>12</v>
      </c>
      <c r="Q2041">
        <v>3157.6961729</v>
      </c>
      <c r="R2041">
        <v>26954.187472699999</v>
      </c>
      <c r="S2041">
        <v>-18.404225652200001</v>
      </c>
      <c r="T2041">
        <v>-94.454483401999994</v>
      </c>
      <c r="U2041">
        <v>0</v>
      </c>
      <c r="V2041">
        <v>0</v>
      </c>
    </row>
    <row r="2042" spans="1:22" x14ac:dyDescent="0.2">
      <c r="A2042"/>
      <c r="B2042">
        <v>26403</v>
      </c>
      <c r="C2042" t="s">
        <v>4158</v>
      </c>
      <c r="D2042" t="s">
        <v>1045</v>
      </c>
      <c r="E2042" t="s">
        <v>3757</v>
      </c>
      <c r="F2042" t="s">
        <v>2335</v>
      </c>
      <c r="G2042">
        <v>4809.8806693899996</v>
      </c>
      <c r="H2042" t="s">
        <v>1270</v>
      </c>
      <c r="Q2042">
        <v>3157.6961729</v>
      </c>
      <c r="R2042">
        <v>26954.187472699999</v>
      </c>
      <c r="S2042">
        <v>-18.404225652200001</v>
      </c>
      <c r="T2042">
        <v>85.545516598000006</v>
      </c>
      <c r="U2042">
        <v>0</v>
      </c>
      <c r="V2042">
        <v>0</v>
      </c>
    </row>
    <row r="2043" spans="1:22" x14ac:dyDescent="0.2">
      <c r="A2043"/>
      <c r="B2043">
        <v>26404</v>
      </c>
      <c r="C2043" t="s">
        <v>4159</v>
      </c>
      <c r="D2043" t="s">
        <v>1045</v>
      </c>
      <c r="E2043" t="s">
        <v>3757</v>
      </c>
      <c r="F2043" t="s">
        <v>2335</v>
      </c>
      <c r="G2043">
        <v>4998.5614770900002</v>
      </c>
      <c r="H2043" t="s">
        <v>12</v>
      </c>
      <c r="Q2043">
        <v>3142.4736654899998</v>
      </c>
      <c r="R2043">
        <v>26766.120591499999</v>
      </c>
      <c r="S2043">
        <v>-18.566031546600001</v>
      </c>
      <c r="T2043">
        <v>-94.519072009499993</v>
      </c>
      <c r="U2043">
        <v>0</v>
      </c>
      <c r="V2043">
        <v>0</v>
      </c>
    </row>
    <row r="2044" spans="1:22" x14ac:dyDescent="0.2">
      <c r="A2044"/>
      <c r="B2044">
        <v>26405</v>
      </c>
      <c r="C2044" t="s">
        <v>4160</v>
      </c>
      <c r="D2044" t="s">
        <v>1045</v>
      </c>
      <c r="E2044" t="s">
        <v>3757</v>
      </c>
      <c r="F2044" t="s">
        <v>2335</v>
      </c>
      <c r="G2044">
        <v>4998.5614770900002</v>
      </c>
      <c r="H2044" t="s">
        <v>1270</v>
      </c>
      <c r="Q2044">
        <v>3142.4736654899998</v>
      </c>
      <c r="R2044">
        <v>26766.120591499999</v>
      </c>
      <c r="S2044">
        <v>-18.566031546600001</v>
      </c>
      <c r="T2044">
        <v>85.480927990500007</v>
      </c>
      <c r="U2044">
        <v>0</v>
      </c>
      <c r="V2044">
        <v>0</v>
      </c>
    </row>
    <row r="2045" spans="1:22" x14ac:dyDescent="0.2">
      <c r="A2045"/>
      <c r="B2045">
        <v>26406</v>
      </c>
      <c r="C2045" t="s">
        <v>4161</v>
      </c>
      <c r="D2045" t="s">
        <v>1045</v>
      </c>
      <c r="E2045" t="s">
        <v>3757</v>
      </c>
      <c r="F2045" t="s">
        <v>2335</v>
      </c>
      <c r="G2045">
        <v>5129.4955389400002</v>
      </c>
      <c r="H2045" t="s">
        <v>12</v>
      </c>
      <c r="Q2045">
        <v>3141.9676092</v>
      </c>
      <c r="R2045">
        <v>26635.902071199998</v>
      </c>
      <c r="S2045">
        <v>-16.2853940422</v>
      </c>
      <c r="T2045">
        <v>-84.764036797800003</v>
      </c>
      <c r="U2045">
        <v>0</v>
      </c>
      <c r="V2045">
        <v>0</v>
      </c>
    </row>
    <row r="2046" spans="1:22" x14ac:dyDescent="0.2">
      <c r="A2046"/>
      <c r="B2046">
        <v>26407</v>
      </c>
      <c r="C2046" t="s">
        <v>4162</v>
      </c>
      <c r="D2046" t="s">
        <v>1045</v>
      </c>
      <c r="E2046" t="s">
        <v>3757</v>
      </c>
      <c r="F2046" t="s">
        <v>2335</v>
      </c>
      <c r="G2046">
        <v>5129.4955389400002</v>
      </c>
      <c r="H2046" t="s">
        <v>1270</v>
      </c>
      <c r="Q2046">
        <v>3141.9676092</v>
      </c>
      <c r="R2046">
        <v>26635.902071199998</v>
      </c>
      <c r="S2046">
        <v>-16.2853940422</v>
      </c>
      <c r="T2046">
        <v>95.235963202199997</v>
      </c>
      <c r="U2046">
        <v>0</v>
      </c>
      <c r="V2046">
        <v>0</v>
      </c>
    </row>
    <row r="2047" spans="1:22" x14ac:dyDescent="0.2">
      <c r="A2047"/>
      <c r="B2047">
        <v>26408</v>
      </c>
      <c r="C2047" t="s">
        <v>4163</v>
      </c>
      <c r="D2047" t="s">
        <v>1045</v>
      </c>
      <c r="E2047" t="s">
        <v>3757</v>
      </c>
      <c r="F2047" t="s">
        <v>2335</v>
      </c>
      <c r="G2047">
        <v>5605.1242974300003</v>
      </c>
      <c r="H2047" t="s">
        <v>12</v>
      </c>
      <c r="Q2047">
        <v>3185.69079203</v>
      </c>
      <c r="R2047">
        <v>26162.3199743</v>
      </c>
      <c r="S2047">
        <v>-14.012960832199999</v>
      </c>
      <c r="T2047">
        <v>-84.564847339699995</v>
      </c>
      <c r="U2047">
        <v>0</v>
      </c>
      <c r="V2047">
        <v>0</v>
      </c>
    </row>
    <row r="2048" spans="1:22" x14ac:dyDescent="0.2">
      <c r="A2048"/>
      <c r="B2048">
        <v>26409</v>
      </c>
      <c r="C2048" t="s">
        <v>4164</v>
      </c>
      <c r="D2048" t="s">
        <v>1045</v>
      </c>
      <c r="E2048" t="s">
        <v>3757</v>
      </c>
      <c r="F2048" t="s">
        <v>2335</v>
      </c>
      <c r="G2048">
        <v>5605.1242974300003</v>
      </c>
      <c r="H2048" t="s">
        <v>1270</v>
      </c>
      <c r="Q2048">
        <v>3185.69079203</v>
      </c>
      <c r="R2048">
        <v>26162.3199743</v>
      </c>
      <c r="S2048">
        <v>-14.012960832199999</v>
      </c>
      <c r="T2048">
        <v>95.435152660300005</v>
      </c>
      <c r="U2048">
        <v>0</v>
      </c>
      <c r="V2048">
        <v>0</v>
      </c>
    </row>
    <row r="2049" spans="1:22" x14ac:dyDescent="0.2">
      <c r="A2049"/>
      <c r="B2049">
        <v>26410</v>
      </c>
      <c r="C2049" t="s">
        <v>4165</v>
      </c>
      <c r="D2049" t="s">
        <v>1045</v>
      </c>
      <c r="E2049" t="s">
        <v>3757</v>
      </c>
      <c r="F2049" t="s">
        <v>2335</v>
      </c>
      <c r="G2049">
        <v>5679.9691315299997</v>
      </c>
      <c r="H2049" t="s">
        <v>12</v>
      </c>
      <c r="Q2049">
        <v>3192.9976069899999</v>
      </c>
      <c r="R2049">
        <v>26087.860576800002</v>
      </c>
      <c r="S2049">
        <v>-15.432912346</v>
      </c>
      <c r="T2049">
        <v>-84.240777033900002</v>
      </c>
      <c r="U2049">
        <v>0</v>
      </c>
      <c r="V2049">
        <v>0</v>
      </c>
    </row>
    <row r="2050" spans="1:22" x14ac:dyDescent="0.2">
      <c r="A2050"/>
      <c r="B2050">
        <v>26411</v>
      </c>
      <c r="C2050" t="s">
        <v>4166</v>
      </c>
      <c r="D2050" t="s">
        <v>1045</v>
      </c>
      <c r="E2050" t="s">
        <v>3757</v>
      </c>
      <c r="F2050" t="s">
        <v>2335</v>
      </c>
      <c r="G2050">
        <v>5679.9691315299997</v>
      </c>
      <c r="H2050" t="s">
        <v>1270</v>
      </c>
      <c r="Q2050">
        <v>3192.9976069899999</v>
      </c>
      <c r="R2050">
        <v>26087.860576800002</v>
      </c>
      <c r="S2050">
        <v>-15.432912346</v>
      </c>
      <c r="T2050">
        <v>95.759222966099998</v>
      </c>
      <c r="U2050">
        <v>0</v>
      </c>
      <c r="V2050">
        <v>0</v>
      </c>
    </row>
    <row r="2051" spans="1:22" x14ac:dyDescent="0.2">
      <c r="A2051"/>
      <c r="B2051">
        <v>26412</v>
      </c>
      <c r="C2051" t="s">
        <v>4167</v>
      </c>
      <c r="D2051" t="s">
        <v>1045</v>
      </c>
      <c r="E2051" t="s">
        <v>3757</v>
      </c>
      <c r="F2051" t="s">
        <v>2335</v>
      </c>
      <c r="G2051">
        <v>5782.6267242900003</v>
      </c>
      <c r="H2051" t="s">
        <v>12</v>
      </c>
      <c r="Q2051">
        <v>3203.4825986300002</v>
      </c>
      <c r="R2051">
        <v>25985.766283199999</v>
      </c>
      <c r="S2051">
        <v>-17.465805373399999</v>
      </c>
      <c r="T2051">
        <v>-84.099803652299997</v>
      </c>
      <c r="U2051">
        <v>0</v>
      </c>
      <c r="V2051">
        <v>0</v>
      </c>
    </row>
    <row r="2052" spans="1:22" x14ac:dyDescent="0.2">
      <c r="A2052"/>
      <c r="B2052">
        <v>26413</v>
      </c>
      <c r="C2052" t="s">
        <v>4168</v>
      </c>
      <c r="D2052" t="s">
        <v>1045</v>
      </c>
      <c r="E2052" t="s">
        <v>3757</v>
      </c>
      <c r="F2052" t="s">
        <v>2335</v>
      </c>
      <c r="G2052">
        <v>5782.6267242900003</v>
      </c>
      <c r="H2052" t="s">
        <v>1270</v>
      </c>
      <c r="Q2052">
        <v>3203.4825986300002</v>
      </c>
      <c r="R2052">
        <v>25985.766283199999</v>
      </c>
      <c r="S2052">
        <v>-17.465805373399999</v>
      </c>
      <c r="T2052">
        <v>95.900196347700003</v>
      </c>
      <c r="U2052">
        <v>0</v>
      </c>
      <c r="V2052">
        <v>0</v>
      </c>
    </row>
    <row r="2053" spans="1:22" x14ac:dyDescent="0.2">
      <c r="A2053"/>
      <c r="B2053">
        <v>26414</v>
      </c>
      <c r="C2053" t="s">
        <v>4169</v>
      </c>
      <c r="D2053" t="s">
        <v>1045</v>
      </c>
      <c r="E2053" t="s">
        <v>3757</v>
      </c>
      <c r="F2053" t="s">
        <v>2335</v>
      </c>
      <c r="G2053">
        <v>5856.8894538200002</v>
      </c>
      <c r="H2053" t="s">
        <v>12</v>
      </c>
      <c r="Q2053">
        <v>3211.05518708</v>
      </c>
      <c r="R2053">
        <v>25911.892093300001</v>
      </c>
      <c r="S2053">
        <v>-18.3560859792</v>
      </c>
      <c r="T2053">
        <v>-84.214976777000004</v>
      </c>
      <c r="U2053">
        <v>0</v>
      </c>
      <c r="V2053">
        <v>0</v>
      </c>
    </row>
    <row r="2054" spans="1:22" x14ac:dyDescent="0.2">
      <c r="A2054"/>
      <c r="B2054">
        <v>26415</v>
      </c>
      <c r="C2054" t="s">
        <v>4376</v>
      </c>
      <c r="D2054" t="s">
        <v>1045</v>
      </c>
      <c r="E2054" t="s">
        <v>3959</v>
      </c>
      <c r="F2054" t="s">
        <v>2335</v>
      </c>
      <c r="G2054">
        <v>5856.8894538200002</v>
      </c>
      <c r="H2054" t="s">
        <v>1270</v>
      </c>
      <c r="Q2054">
        <v>3211.05518708</v>
      </c>
      <c r="R2054">
        <v>25911.892093300001</v>
      </c>
      <c r="S2054">
        <v>-18.3560859792</v>
      </c>
      <c r="T2054">
        <v>95.785023222999996</v>
      </c>
      <c r="U2054">
        <v>0</v>
      </c>
      <c r="V2054">
        <v>0</v>
      </c>
    </row>
    <row r="2055" spans="1:22" x14ac:dyDescent="0.2">
      <c r="A2055"/>
      <c r="B2055">
        <v>26416</v>
      </c>
      <c r="C2055" t="s">
        <v>4377</v>
      </c>
      <c r="D2055" t="s">
        <v>1045</v>
      </c>
      <c r="E2055" t="s">
        <v>3959</v>
      </c>
      <c r="F2055" t="s">
        <v>2472</v>
      </c>
      <c r="G2055">
        <v>3.96783063388E-3</v>
      </c>
      <c r="H2055" t="s">
        <v>12</v>
      </c>
      <c r="Q2055">
        <v>3222.9175841599999</v>
      </c>
      <c r="R2055">
        <v>25789.207570800001</v>
      </c>
      <c r="S2055">
        <v>-17.7120754498</v>
      </c>
      <c r="T2055">
        <v>-84.767996266099999</v>
      </c>
      <c r="U2055">
        <v>0</v>
      </c>
      <c r="V2055">
        <v>0</v>
      </c>
    </row>
    <row r="2056" spans="1:22" x14ac:dyDescent="0.2">
      <c r="A2056"/>
      <c r="B2056">
        <v>26417</v>
      </c>
      <c r="C2056" t="s">
        <v>4170</v>
      </c>
      <c r="D2056" t="s">
        <v>1045</v>
      </c>
      <c r="E2056" t="s">
        <v>3959</v>
      </c>
      <c r="F2056" t="s">
        <v>2472</v>
      </c>
      <c r="G2056">
        <v>3.96783063388E-3</v>
      </c>
      <c r="H2056" t="s">
        <v>1270</v>
      </c>
      <c r="Q2056">
        <v>3222.9175841599999</v>
      </c>
      <c r="R2056">
        <v>25789.207570800001</v>
      </c>
      <c r="S2056">
        <v>-17.7120754498</v>
      </c>
      <c r="T2056">
        <v>95.232003733900001</v>
      </c>
      <c r="U2056">
        <v>0</v>
      </c>
      <c r="V2056">
        <v>0</v>
      </c>
    </row>
    <row r="2057" spans="1:22" x14ac:dyDescent="0.2">
      <c r="A2057"/>
      <c r="B2057">
        <v>26418</v>
      </c>
      <c r="C2057" t="s">
        <v>4171</v>
      </c>
      <c r="D2057" t="s">
        <v>1045</v>
      </c>
      <c r="E2057" t="s">
        <v>3959</v>
      </c>
      <c r="F2057" t="s">
        <v>2472</v>
      </c>
      <c r="G2057">
        <v>249.94754766599999</v>
      </c>
      <c r="H2057" t="s">
        <v>12</v>
      </c>
      <c r="Q2057">
        <v>3084.06957878</v>
      </c>
      <c r="R2057">
        <v>25621.300478900001</v>
      </c>
      <c r="S2057">
        <v>-11.752362785400001</v>
      </c>
      <c r="T2057">
        <v>-174.98724930200001</v>
      </c>
      <c r="U2057">
        <v>0</v>
      </c>
      <c r="V2057">
        <v>0</v>
      </c>
    </row>
    <row r="2058" spans="1:22" x14ac:dyDescent="0.2">
      <c r="A2058"/>
      <c r="B2058">
        <v>26419</v>
      </c>
      <c r="C2058" t="s">
        <v>4378</v>
      </c>
      <c r="D2058" t="s">
        <v>1045</v>
      </c>
      <c r="E2058" t="s">
        <v>3959</v>
      </c>
      <c r="F2058" t="s">
        <v>2472</v>
      </c>
      <c r="G2058">
        <v>249.94754766599999</v>
      </c>
      <c r="H2058" t="s">
        <v>1270</v>
      </c>
      <c r="Q2058">
        <v>3084.06957878</v>
      </c>
      <c r="R2058">
        <v>25621.300478900001</v>
      </c>
      <c r="S2058">
        <v>-11.752362785400001</v>
      </c>
      <c r="T2058">
        <v>5.0127506984199997</v>
      </c>
      <c r="U2058">
        <v>0</v>
      </c>
      <c r="V2058">
        <v>0</v>
      </c>
    </row>
    <row r="2059" spans="1:22" x14ac:dyDescent="0.2">
      <c r="A2059"/>
      <c r="B2059">
        <v>26420</v>
      </c>
      <c r="C2059" t="s">
        <v>4379</v>
      </c>
      <c r="D2059" t="s">
        <v>1045</v>
      </c>
      <c r="E2059" t="s">
        <v>3959</v>
      </c>
      <c r="F2059" t="s">
        <v>2472</v>
      </c>
      <c r="G2059">
        <v>308.28457957500001</v>
      </c>
      <c r="H2059" t="s">
        <v>12</v>
      </c>
      <c r="Q2059">
        <v>3025.8080943700002</v>
      </c>
      <c r="R2059">
        <v>25617.177100699999</v>
      </c>
      <c r="S2059">
        <v>-11.1412247841</v>
      </c>
      <c r="T2059">
        <v>-176.72553427299999</v>
      </c>
      <c r="U2059">
        <v>0</v>
      </c>
      <c r="V2059">
        <v>0</v>
      </c>
    </row>
    <row r="2060" spans="1:22" x14ac:dyDescent="0.2">
      <c r="A2060"/>
      <c r="B2060">
        <v>26421</v>
      </c>
      <c r="C2060" t="s">
        <v>4172</v>
      </c>
      <c r="D2060" t="s">
        <v>1045</v>
      </c>
      <c r="E2060" t="s">
        <v>3757</v>
      </c>
      <c r="F2060" t="s">
        <v>2472</v>
      </c>
      <c r="G2060">
        <v>308.28457957500001</v>
      </c>
      <c r="H2060" t="s">
        <v>1270</v>
      </c>
      <c r="Q2060">
        <v>3025.8080943700002</v>
      </c>
      <c r="R2060">
        <v>25617.177100699999</v>
      </c>
      <c r="S2060">
        <v>-11.1412247841</v>
      </c>
      <c r="T2060">
        <v>3.2744657269499999</v>
      </c>
      <c r="U2060">
        <v>0</v>
      </c>
      <c r="V2060">
        <v>0</v>
      </c>
    </row>
    <row r="2061" spans="1:22" x14ac:dyDescent="0.2">
      <c r="A2061"/>
      <c r="B2061">
        <v>26422</v>
      </c>
      <c r="C2061" t="s">
        <v>4173</v>
      </c>
      <c r="D2061" t="s">
        <v>1045</v>
      </c>
      <c r="E2061" t="s">
        <v>3757</v>
      </c>
      <c r="F2061" t="s">
        <v>2472</v>
      </c>
      <c r="G2061">
        <v>397.46157614999998</v>
      </c>
      <c r="H2061" t="s">
        <v>12</v>
      </c>
      <c r="Q2061">
        <v>2936.5773231200001</v>
      </c>
      <c r="R2061">
        <v>25614.127448800002</v>
      </c>
      <c r="S2061">
        <v>-11.157721456699999</v>
      </c>
      <c r="T2061">
        <v>-179.334433324</v>
      </c>
      <c r="U2061">
        <v>0</v>
      </c>
      <c r="V2061">
        <v>0</v>
      </c>
    </row>
    <row r="2062" spans="1:22" x14ac:dyDescent="0.2">
      <c r="A2062"/>
      <c r="B2062">
        <v>26423</v>
      </c>
      <c r="C2062" t="s">
        <v>4380</v>
      </c>
      <c r="D2062" t="s">
        <v>1045</v>
      </c>
      <c r="E2062" t="s">
        <v>3959</v>
      </c>
      <c r="F2062" t="s">
        <v>2472</v>
      </c>
      <c r="G2062">
        <v>397.46157614999998</v>
      </c>
      <c r="H2062" t="s">
        <v>1270</v>
      </c>
      <c r="Q2062">
        <v>2936.5773231200001</v>
      </c>
      <c r="R2062">
        <v>25614.127448800002</v>
      </c>
      <c r="S2062">
        <v>-11.157721456699999</v>
      </c>
      <c r="T2062">
        <v>0.66556667598100006</v>
      </c>
      <c r="U2062">
        <v>0</v>
      </c>
      <c r="V2062">
        <v>0</v>
      </c>
    </row>
    <row r="2063" spans="1:22" x14ac:dyDescent="0.2">
      <c r="A2063"/>
      <c r="B2063">
        <v>26424</v>
      </c>
      <c r="C2063" t="s">
        <v>4381</v>
      </c>
      <c r="D2063" t="s">
        <v>1045</v>
      </c>
      <c r="E2063" t="s">
        <v>3959</v>
      </c>
      <c r="F2063" t="s">
        <v>2472</v>
      </c>
      <c r="G2063">
        <v>515.534300315</v>
      </c>
      <c r="H2063" t="s">
        <v>12</v>
      </c>
      <c r="Q2063">
        <v>2818.51969749</v>
      </c>
      <c r="R2063">
        <v>25613.031784800001</v>
      </c>
      <c r="S2063">
        <v>-11.551509789800001</v>
      </c>
      <c r="T2063">
        <v>-179.160564978</v>
      </c>
      <c r="U2063">
        <v>0</v>
      </c>
      <c r="V2063">
        <v>0</v>
      </c>
    </row>
    <row r="2064" spans="1:22" x14ac:dyDescent="0.2">
      <c r="A2064"/>
      <c r="B2064">
        <v>26425</v>
      </c>
      <c r="C2064" t="s">
        <v>4174</v>
      </c>
      <c r="D2064" t="s">
        <v>1045</v>
      </c>
      <c r="E2064" t="s">
        <v>3950</v>
      </c>
      <c r="F2064" t="s">
        <v>2472</v>
      </c>
      <c r="G2064">
        <v>515.534300315</v>
      </c>
      <c r="H2064" t="s">
        <v>1270</v>
      </c>
      <c r="Q2064">
        <v>2818.51969749</v>
      </c>
      <c r="R2064">
        <v>25613.031784800001</v>
      </c>
      <c r="S2064">
        <v>-11.551509789800001</v>
      </c>
      <c r="T2064">
        <v>0.83943502241199996</v>
      </c>
      <c r="U2064">
        <v>0</v>
      </c>
      <c r="V2064">
        <v>0</v>
      </c>
    </row>
    <row r="2065" spans="1:22" x14ac:dyDescent="0.2">
      <c r="A2065"/>
      <c r="B2065">
        <v>26426</v>
      </c>
      <c r="C2065" t="s">
        <v>4175</v>
      </c>
      <c r="D2065" t="s">
        <v>1045</v>
      </c>
      <c r="E2065" t="s">
        <v>3950</v>
      </c>
      <c r="F2065" t="s">
        <v>2343</v>
      </c>
      <c r="G2065">
        <v>4.8464347423799996E-3</v>
      </c>
      <c r="H2065" t="s">
        <v>12</v>
      </c>
      <c r="Q2065">
        <v>2670.9547815800001</v>
      </c>
      <c r="R2065">
        <v>25453.950779999999</v>
      </c>
      <c r="S2065">
        <v>-16.286811631900001</v>
      </c>
      <c r="T2065">
        <v>-88.042989275699995</v>
      </c>
      <c r="U2065">
        <v>0</v>
      </c>
      <c r="V2065">
        <v>0</v>
      </c>
    </row>
    <row r="2066" spans="1:22" x14ac:dyDescent="0.2">
      <c r="A2066"/>
      <c r="B2066">
        <v>26427</v>
      </c>
      <c r="C2066" t="s">
        <v>4382</v>
      </c>
      <c r="D2066" t="s">
        <v>1045</v>
      </c>
      <c r="E2066" t="s">
        <v>3959</v>
      </c>
      <c r="F2066" t="s">
        <v>2343</v>
      </c>
      <c r="G2066">
        <v>4.8464347423799996E-3</v>
      </c>
      <c r="H2066" t="s">
        <v>1270</v>
      </c>
      <c r="Q2066">
        <v>2670.9547815800001</v>
      </c>
      <c r="R2066">
        <v>25453.950779999999</v>
      </c>
      <c r="S2066">
        <v>-16.286811631900001</v>
      </c>
      <c r="T2066">
        <v>91.957010724300005</v>
      </c>
      <c r="U2066">
        <v>0</v>
      </c>
      <c r="V2066">
        <v>0</v>
      </c>
    </row>
    <row r="2067" spans="1:22" x14ac:dyDescent="0.2">
      <c r="A2067"/>
      <c r="B2067">
        <v>26428</v>
      </c>
      <c r="C2067" t="s">
        <v>4383</v>
      </c>
      <c r="D2067" t="s">
        <v>1045</v>
      </c>
      <c r="E2067" t="s">
        <v>3959</v>
      </c>
      <c r="F2067" t="s">
        <v>2343</v>
      </c>
      <c r="G2067">
        <v>916.64983993199996</v>
      </c>
      <c r="H2067" t="s">
        <v>12</v>
      </c>
      <c r="Q2067">
        <v>2702.8590397200001</v>
      </c>
      <c r="R2067">
        <v>24537.919944000001</v>
      </c>
      <c r="S2067">
        <v>-18.540674451099999</v>
      </c>
      <c r="T2067">
        <v>-88.018925317599994</v>
      </c>
      <c r="U2067">
        <v>0</v>
      </c>
      <c r="V2067">
        <v>0</v>
      </c>
    </row>
    <row r="2068" spans="1:22" x14ac:dyDescent="0.2">
      <c r="A2068"/>
      <c r="B2068">
        <v>26429</v>
      </c>
      <c r="C2068" t="s">
        <v>4176</v>
      </c>
      <c r="D2068" t="s">
        <v>1045</v>
      </c>
      <c r="E2068" t="s">
        <v>1048</v>
      </c>
      <c r="F2068" t="s">
        <v>2343</v>
      </c>
      <c r="G2068">
        <v>916.64983993199996</v>
      </c>
      <c r="H2068" t="s">
        <v>1270</v>
      </c>
      <c r="Q2068">
        <v>2702.8590397200001</v>
      </c>
      <c r="R2068">
        <v>24537.919944000001</v>
      </c>
      <c r="S2068">
        <v>-18.540674451099999</v>
      </c>
      <c r="T2068">
        <v>91.981074682400006</v>
      </c>
      <c r="U2068">
        <v>0</v>
      </c>
      <c r="V2068">
        <v>0</v>
      </c>
    </row>
    <row r="2069" spans="1:22" x14ac:dyDescent="0.2">
      <c r="A2069"/>
      <c r="B2069">
        <v>26430</v>
      </c>
      <c r="C2069" t="s">
        <v>4177</v>
      </c>
      <c r="D2069" t="s">
        <v>1045</v>
      </c>
      <c r="E2069" t="s">
        <v>1048</v>
      </c>
      <c r="F2069" t="s">
        <v>2343</v>
      </c>
      <c r="G2069">
        <v>1074.82778037</v>
      </c>
      <c r="H2069" t="s">
        <v>12</v>
      </c>
      <c r="Q2069">
        <v>2690.0719172300001</v>
      </c>
      <c r="R2069">
        <v>24380.325043199999</v>
      </c>
      <c r="S2069">
        <v>-15.4679496292</v>
      </c>
      <c r="T2069">
        <v>-103.39390124800001</v>
      </c>
      <c r="U2069">
        <v>0</v>
      </c>
      <c r="V2069">
        <v>0</v>
      </c>
    </row>
    <row r="2070" spans="1:22" x14ac:dyDescent="0.2">
      <c r="A2070"/>
      <c r="B2070">
        <v>26431</v>
      </c>
      <c r="C2070" t="s">
        <v>4178</v>
      </c>
      <c r="D2070" t="s">
        <v>1045</v>
      </c>
      <c r="E2070" t="s">
        <v>3757</v>
      </c>
      <c r="F2070" t="s">
        <v>2343</v>
      </c>
      <c r="G2070">
        <v>1074.82778037</v>
      </c>
      <c r="H2070" t="s">
        <v>1270</v>
      </c>
      <c r="Q2070">
        <v>2690.0719172300001</v>
      </c>
      <c r="R2070">
        <v>24380.325043199999</v>
      </c>
      <c r="S2070">
        <v>-15.4679496292</v>
      </c>
      <c r="T2070">
        <v>76.606098752099996</v>
      </c>
      <c r="U2070">
        <v>0</v>
      </c>
      <c r="V2070">
        <v>0</v>
      </c>
    </row>
    <row r="2071" spans="1:22" x14ac:dyDescent="0.2">
      <c r="A2071"/>
      <c r="B2071">
        <v>26432</v>
      </c>
      <c r="C2071" t="s">
        <v>4179</v>
      </c>
      <c r="D2071" t="s">
        <v>1045</v>
      </c>
      <c r="E2071" t="s">
        <v>3757</v>
      </c>
      <c r="F2071" t="s">
        <v>2345</v>
      </c>
      <c r="G2071">
        <v>68.506113077199998</v>
      </c>
      <c r="H2071" t="s">
        <v>12</v>
      </c>
      <c r="Q2071">
        <v>2622.76261441</v>
      </c>
      <c r="R2071">
        <v>24099.568287599999</v>
      </c>
      <c r="S2071">
        <v>-9.8317267836800006</v>
      </c>
      <c r="T2071">
        <v>-103.409412363</v>
      </c>
      <c r="U2071">
        <v>0</v>
      </c>
      <c r="V2071">
        <v>0</v>
      </c>
    </row>
    <row r="2072" spans="1:22" x14ac:dyDescent="0.2">
      <c r="A2072"/>
      <c r="B2072">
        <v>26433</v>
      </c>
      <c r="C2072" t="s">
        <v>4180</v>
      </c>
      <c r="D2072" t="s">
        <v>1045</v>
      </c>
      <c r="E2072" t="s">
        <v>3950</v>
      </c>
      <c r="F2072" t="s">
        <v>2345</v>
      </c>
      <c r="G2072">
        <v>68.506113077199998</v>
      </c>
      <c r="H2072" t="s">
        <v>1270</v>
      </c>
      <c r="Q2072">
        <v>2622.76261441</v>
      </c>
      <c r="R2072">
        <v>24099.568287599999</v>
      </c>
      <c r="S2072">
        <v>-9.8317267836800006</v>
      </c>
      <c r="T2072">
        <v>76.590587636899997</v>
      </c>
      <c r="U2072">
        <v>0</v>
      </c>
      <c r="V2072">
        <v>0</v>
      </c>
    </row>
    <row r="2073" spans="1:22" x14ac:dyDescent="0.2">
      <c r="A2073"/>
      <c r="B2073">
        <v>26434</v>
      </c>
      <c r="C2073" t="s">
        <v>4181</v>
      </c>
      <c r="D2073" t="s">
        <v>1045</v>
      </c>
      <c r="E2073" t="s">
        <v>3950</v>
      </c>
      <c r="F2073" t="s">
        <v>2345</v>
      </c>
      <c r="G2073">
        <v>178.993574231</v>
      </c>
      <c r="H2073" t="s">
        <v>12</v>
      </c>
      <c r="Q2073">
        <v>2615.47705438</v>
      </c>
      <c r="R2073">
        <v>23991.552080900001</v>
      </c>
      <c r="S2073">
        <v>-7.6641974351000002</v>
      </c>
      <c r="T2073">
        <v>-79.802195633899998</v>
      </c>
      <c r="U2073">
        <v>0</v>
      </c>
      <c r="V2073">
        <v>0</v>
      </c>
    </row>
    <row r="2074" spans="1:22" x14ac:dyDescent="0.2">
      <c r="A2074"/>
      <c r="B2074">
        <v>26435</v>
      </c>
      <c r="C2074" t="s">
        <v>4182</v>
      </c>
      <c r="D2074" t="s">
        <v>1045</v>
      </c>
      <c r="E2074" t="s">
        <v>3950</v>
      </c>
      <c r="F2074" t="s">
        <v>2345</v>
      </c>
      <c r="G2074">
        <v>178.993574231</v>
      </c>
      <c r="H2074" t="s">
        <v>1270</v>
      </c>
      <c r="Q2074">
        <v>2615.47705438</v>
      </c>
      <c r="R2074">
        <v>23991.552080900001</v>
      </c>
      <c r="S2074">
        <v>-7.6641974351000002</v>
      </c>
      <c r="T2074">
        <v>100.197804366</v>
      </c>
      <c r="U2074">
        <v>0</v>
      </c>
      <c r="V2074">
        <v>0</v>
      </c>
    </row>
    <row r="2075" spans="1:22" x14ac:dyDescent="0.2">
      <c r="A2075"/>
      <c r="B2075">
        <v>26436</v>
      </c>
      <c r="C2075" t="s">
        <v>4183</v>
      </c>
      <c r="D2075" t="s">
        <v>1045</v>
      </c>
      <c r="E2075" t="s">
        <v>3950</v>
      </c>
      <c r="F2075" t="s">
        <v>2345</v>
      </c>
      <c r="G2075">
        <v>292.81581108500001</v>
      </c>
      <c r="H2075" t="s">
        <v>12</v>
      </c>
      <c r="Q2075">
        <v>2613.87845831</v>
      </c>
      <c r="R2075">
        <v>23878.153012499999</v>
      </c>
      <c r="S2075">
        <v>-6.6096215467099997</v>
      </c>
      <c r="T2075">
        <v>-105.272922075</v>
      </c>
      <c r="U2075">
        <v>0</v>
      </c>
      <c r="V2075">
        <v>0</v>
      </c>
    </row>
    <row r="2076" spans="1:22" x14ac:dyDescent="0.2">
      <c r="A2076"/>
      <c r="B2076">
        <v>26437</v>
      </c>
      <c r="C2076" t="s">
        <v>4184</v>
      </c>
      <c r="D2076" t="s">
        <v>1045</v>
      </c>
      <c r="E2076" t="s">
        <v>3757</v>
      </c>
      <c r="F2076" t="s">
        <v>2345</v>
      </c>
      <c r="G2076">
        <v>292.81581108500001</v>
      </c>
      <c r="H2076" t="s">
        <v>1270</v>
      </c>
      <c r="Q2076">
        <v>2613.87845831</v>
      </c>
      <c r="R2076">
        <v>23878.153012499999</v>
      </c>
      <c r="S2076">
        <v>-6.6096215467099997</v>
      </c>
      <c r="T2076">
        <v>74.7270779248</v>
      </c>
      <c r="U2076">
        <v>0</v>
      </c>
      <c r="V2076">
        <v>0</v>
      </c>
    </row>
    <row r="2077" spans="1:22" x14ac:dyDescent="0.2">
      <c r="A2077"/>
      <c r="B2077">
        <v>26438</v>
      </c>
      <c r="C2077" t="s">
        <v>4185</v>
      </c>
      <c r="D2077" t="s">
        <v>1045</v>
      </c>
      <c r="E2077" t="s">
        <v>3757</v>
      </c>
      <c r="F2077" t="s">
        <v>2345</v>
      </c>
      <c r="G2077">
        <v>495.45969641599999</v>
      </c>
      <c r="H2077" t="s">
        <v>12</v>
      </c>
      <c r="Q2077">
        <v>2560.54815336</v>
      </c>
      <c r="R2077">
        <v>23682.655056200001</v>
      </c>
      <c r="S2077">
        <v>-6.6074955020599999</v>
      </c>
      <c r="T2077">
        <v>-105.21827684900001</v>
      </c>
      <c r="U2077">
        <v>0</v>
      </c>
      <c r="V2077">
        <v>0</v>
      </c>
    </row>
    <row r="2078" spans="1:22" x14ac:dyDescent="0.2">
      <c r="A2078"/>
      <c r="B2078">
        <v>26439</v>
      </c>
      <c r="C2078" t="s">
        <v>4186</v>
      </c>
      <c r="D2078" t="s">
        <v>1045</v>
      </c>
      <c r="E2078" t="s">
        <v>1046</v>
      </c>
      <c r="F2078" t="s">
        <v>2345</v>
      </c>
      <c r="G2078">
        <v>495.45969641599999</v>
      </c>
      <c r="H2078" t="s">
        <v>1270</v>
      </c>
      <c r="Q2078">
        <v>2560.54815336</v>
      </c>
      <c r="R2078">
        <v>23682.655056200001</v>
      </c>
      <c r="S2078">
        <v>-6.6074955020599999</v>
      </c>
      <c r="T2078">
        <v>74.781723151099996</v>
      </c>
      <c r="U2078">
        <v>0</v>
      </c>
      <c r="V2078">
        <v>0</v>
      </c>
    </row>
    <row r="2079" spans="1:22" x14ac:dyDescent="0.2">
      <c r="A2079"/>
      <c r="B2079">
        <v>26440</v>
      </c>
      <c r="C2079" t="s">
        <v>4187</v>
      </c>
      <c r="D2079" t="s">
        <v>1045</v>
      </c>
      <c r="E2079" t="s">
        <v>1046</v>
      </c>
      <c r="F2079" t="s">
        <v>2345</v>
      </c>
      <c r="G2079">
        <v>603.625089828</v>
      </c>
      <c r="H2079" t="s">
        <v>12</v>
      </c>
      <c r="Q2079">
        <v>2546.7812931799999</v>
      </c>
      <c r="R2079">
        <v>23576.485835300002</v>
      </c>
      <c r="S2079">
        <v>-7.86137652641</v>
      </c>
      <c r="T2079">
        <v>-90.544661721300002</v>
      </c>
      <c r="U2079">
        <v>0</v>
      </c>
      <c r="V2079">
        <v>0</v>
      </c>
    </row>
    <row r="2080" spans="1:22" x14ac:dyDescent="0.2">
      <c r="A2080"/>
      <c r="B2080">
        <v>26441</v>
      </c>
      <c r="C2080" t="s">
        <v>4188</v>
      </c>
      <c r="D2080" t="s">
        <v>1045</v>
      </c>
      <c r="E2080" t="s">
        <v>3757</v>
      </c>
      <c r="F2080" t="s">
        <v>2345</v>
      </c>
      <c r="G2080">
        <v>603.625089828</v>
      </c>
      <c r="H2080" t="s">
        <v>1270</v>
      </c>
      <c r="Q2080">
        <v>2546.7812931799999</v>
      </c>
      <c r="R2080">
        <v>23576.485835300002</v>
      </c>
      <c r="S2080">
        <v>-7.86137652641</v>
      </c>
      <c r="T2080">
        <v>89.455338278699998</v>
      </c>
      <c r="U2080">
        <v>0</v>
      </c>
      <c r="V2080">
        <v>0</v>
      </c>
    </row>
    <row r="2081" spans="1:22" x14ac:dyDescent="0.2">
      <c r="A2081"/>
      <c r="B2081">
        <v>26442</v>
      </c>
      <c r="C2081" t="s">
        <v>4189</v>
      </c>
      <c r="D2081" t="s">
        <v>1045</v>
      </c>
      <c r="E2081" t="s">
        <v>3757</v>
      </c>
      <c r="F2081" t="s">
        <v>2354</v>
      </c>
      <c r="G2081">
        <v>76.672489430499994</v>
      </c>
      <c r="H2081" t="s">
        <v>12</v>
      </c>
      <c r="Q2081">
        <v>2545.8250624799998</v>
      </c>
      <c r="R2081">
        <v>23481.409724199999</v>
      </c>
      <c r="S2081">
        <v>-9.60117014251</v>
      </c>
      <c r="T2081">
        <v>-90.809887320300007</v>
      </c>
      <c r="U2081">
        <v>0</v>
      </c>
      <c r="V2081">
        <v>0</v>
      </c>
    </row>
    <row r="2082" spans="1:22" x14ac:dyDescent="0.2">
      <c r="A2082"/>
      <c r="B2082">
        <v>26443</v>
      </c>
      <c r="C2082" t="s">
        <v>4190</v>
      </c>
      <c r="D2082" t="s">
        <v>1045</v>
      </c>
      <c r="E2082" t="s">
        <v>1046</v>
      </c>
      <c r="F2082" t="s">
        <v>2354</v>
      </c>
      <c r="G2082">
        <v>76.672489430499994</v>
      </c>
      <c r="H2082" t="s">
        <v>1270</v>
      </c>
      <c r="Q2082">
        <v>2545.8250624799998</v>
      </c>
      <c r="R2082">
        <v>23481.409724199999</v>
      </c>
      <c r="S2082">
        <v>-9.60117014251</v>
      </c>
      <c r="T2082">
        <v>89.190112679699993</v>
      </c>
      <c r="U2082">
        <v>0</v>
      </c>
      <c r="V2082">
        <v>0</v>
      </c>
    </row>
    <row r="2083" spans="1:22" x14ac:dyDescent="0.2">
      <c r="A2083"/>
      <c r="B2083">
        <v>26444</v>
      </c>
      <c r="C2083" t="s">
        <v>4191</v>
      </c>
      <c r="D2083" t="s">
        <v>1045</v>
      </c>
      <c r="E2083" t="s">
        <v>1046</v>
      </c>
      <c r="F2083" t="s">
        <v>2354</v>
      </c>
      <c r="G2083">
        <v>175.331942742</v>
      </c>
      <c r="H2083" t="s">
        <v>12</v>
      </c>
      <c r="Q2083">
        <v>2534.2017221800002</v>
      </c>
      <c r="R2083">
        <v>23383.205563399999</v>
      </c>
      <c r="S2083">
        <v>-11.418951034899999</v>
      </c>
      <c r="T2083">
        <v>-109.193177179</v>
      </c>
      <c r="U2083">
        <v>0</v>
      </c>
      <c r="V2083">
        <v>0</v>
      </c>
    </row>
    <row r="2084" spans="1:22" x14ac:dyDescent="0.2">
      <c r="A2084"/>
      <c r="B2084">
        <v>26445</v>
      </c>
      <c r="C2084" t="s">
        <v>4192</v>
      </c>
      <c r="D2084" t="s">
        <v>1045</v>
      </c>
      <c r="E2084" t="s">
        <v>3757</v>
      </c>
      <c r="F2084" t="s">
        <v>2354</v>
      </c>
      <c r="G2084">
        <v>175.331942742</v>
      </c>
      <c r="H2084" t="s">
        <v>1270</v>
      </c>
      <c r="Q2084">
        <v>2534.2017221800002</v>
      </c>
      <c r="R2084">
        <v>23383.205563399999</v>
      </c>
      <c r="S2084">
        <v>-11.418951034899999</v>
      </c>
      <c r="T2084">
        <v>70.806822821400004</v>
      </c>
      <c r="U2084">
        <v>0</v>
      </c>
      <c r="V2084">
        <v>0</v>
      </c>
    </row>
    <row r="2085" spans="1:22" x14ac:dyDescent="0.2">
      <c r="A2085"/>
      <c r="B2085">
        <v>26446</v>
      </c>
      <c r="C2085" t="s">
        <v>4193</v>
      </c>
      <c r="D2085" t="s">
        <v>1045</v>
      </c>
      <c r="E2085" t="s">
        <v>3757</v>
      </c>
      <c r="F2085" t="s">
        <v>2354</v>
      </c>
      <c r="G2085">
        <v>280.20046589499998</v>
      </c>
      <c r="H2085" t="s">
        <v>12</v>
      </c>
      <c r="Q2085">
        <v>2491.8545982099999</v>
      </c>
      <c r="R2085">
        <v>23287.229337299999</v>
      </c>
      <c r="S2085">
        <v>-13.3162142926</v>
      </c>
      <c r="T2085">
        <v>-111.297061548</v>
      </c>
      <c r="U2085">
        <v>0</v>
      </c>
      <c r="V2085">
        <v>0</v>
      </c>
    </row>
    <row r="2086" spans="1:22" x14ac:dyDescent="0.2">
      <c r="A2086"/>
      <c r="B2086">
        <v>26447</v>
      </c>
      <c r="C2086" t="s">
        <v>4194</v>
      </c>
      <c r="D2086" t="s">
        <v>1045</v>
      </c>
      <c r="E2086" t="s">
        <v>3757</v>
      </c>
      <c r="F2086" t="s">
        <v>2354</v>
      </c>
      <c r="G2086">
        <v>280.20046589499998</v>
      </c>
      <c r="H2086" t="s">
        <v>1270</v>
      </c>
      <c r="Q2086">
        <v>2491.8545982099999</v>
      </c>
      <c r="R2086">
        <v>23287.229337299999</v>
      </c>
      <c r="S2086">
        <v>-13.3162142926</v>
      </c>
      <c r="T2086">
        <v>68.702938452200002</v>
      </c>
      <c r="U2086">
        <v>0</v>
      </c>
      <c r="V2086">
        <v>0</v>
      </c>
    </row>
    <row r="2087" spans="1:22" x14ac:dyDescent="0.2">
      <c r="A2087"/>
      <c r="B2087">
        <v>26448</v>
      </c>
      <c r="C2087" t="s">
        <v>4195</v>
      </c>
      <c r="D2087" t="s">
        <v>1045</v>
      </c>
      <c r="E2087" t="s">
        <v>3757</v>
      </c>
      <c r="F2087" t="s">
        <v>2354</v>
      </c>
      <c r="G2087">
        <v>381.229269784</v>
      </c>
      <c r="H2087" t="s">
        <v>12</v>
      </c>
      <c r="Q2087">
        <v>2462.26869622</v>
      </c>
      <c r="R2087">
        <v>23190.947552400001</v>
      </c>
      <c r="S2087">
        <v>-14.9030606242</v>
      </c>
      <c r="T2087">
        <v>-105.749102744</v>
      </c>
      <c r="U2087">
        <v>0</v>
      </c>
      <c r="V2087">
        <v>0</v>
      </c>
    </row>
    <row r="2088" spans="1:22" x14ac:dyDescent="0.2">
      <c r="A2088"/>
      <c r="B2088">
        <v>26449</v>
      </c>
      <c r="C2088" t="s">
        <v>4196</v>
      </c>
      <c r="D2088" t="s">
        <v>1045</v>
      </c>
      <c r="E2088" t="s">
        <v>3757</v>
      </c>
      <c r="F2088" t="s">
        <v>2354</v>
      </c>
      <c r="G2088">
        <v>381.229269784</v>
      </c>
      <c r="H2088" t="s">
        <v>1270</v>
      </c>
      <c r="Q2088">
        <v>2462.26869622</v>
      </c>
      <c r="R2088">
        <v>23190.947552400001</v>
      </c>
      <c r="S2088">
        <v>-14.9030606242</v>
      </c>
      <c r="T2088">
        <v>74.250897255599995</v>
      </c>
      <c r="U2088">
        <v>0</v>
      </c>
      <c r="V2088">
        <v>0</v>
      </c>
    </row>
    <row r="2089" spans="1:22" x14ac:dyDescent="0.2">
      <c r="A2089"/>
      <c r="B2089">
        <v>26450</v>
      </c>
      <c r="C2089" t="s">
        <v>4197</v>
      </c>
      <c r="D2089" t="s">
        <v>1045</v>
      </c>
      <c r="E2089" t="s">
        <v>3757</v>
      </c>
      <c r="F2089" t="s">
        <v>1921</v>
      </c>
      <c r="G2089">
        <v>22</v>
      </c>
      <c r="H2089" t="s">
        <v>12</v>
      </c>
      <c r="Q2089">
        <v>3368.1812300500001</v>
      </c>
      <c r="R2089">
        <v>32245.800894100001</v>
      </c>
      <c r="S2089">
        <v>-10.792620232100001</v>
      </c>
      <c r="T2089">
        <v>-101.122529669</v>
      </c>
      <c r="U2089">
        <v>0</v>
      </c>
      <c r="V2089">
        <v>0</v>
      </c>
    </row>
    <row r="2090" spans="1:22" x14ac:dyDescent="0.2">
      <c r="A2090"/>
      <c r="B2090">
        <v>26451</v>
      </c>
      <c r="C2090" t="s">
        <v>4198</v>
      </c>
      <c r="D2090" t="s">
        <v>1045</v>
      </c>
      <c r="E2090" t="s">
        <v>3757</v>
      </c>
      <c r="F2090" t="s">
        <v>1921</v>
      </c>
      <c r="G2090">
        <v>22</v>
      </c>
      <c r="H2090" t="s">
        <v>1270</v>
      </c>
      <c r="Q2090">
        <v>3368.1812300500001</v>
      </c>
      <c r="R2090">
        <v>32245.800894100001</v>
      </c>
      <c r="S2090">
        <v>-10.792620232100001</v>
      </c>
      <c r="T2090">
        <v>78.877470330600005</v>
      </c>
      <c r="U2090">
        <v>0</v>
      </c>
      <c r="V2090">
        <v>0</v>
      </c>
    </row>
    <row r="2091" spans="1:22" x14ac:dyDescent="0.2">
      <c r="A2091"/>
      <c r="B2091">
        <v>26452</v>
      </c>
      <c r="C2091" t="s">
        <v>4245</v>
      </c>
      <c r="D2091" t="s">
        <v>1045</v>
      </c>
      <c r="E2091" t="s">
        <v>3757</v>
      </c>
      <c r="F2091" t="s">
        <v>1921</v>
      </c>
      <c r="G2091">
        <v>142</v>
      </c>
      <c r="H2091" t="s">
        <v>12</v>
      </c>
      <c r="Q2091">
        <v>3342.2533590899998</v>
      </c>
      <c r="R2091">
        <v>32128.7340626</v>
      </c>
      <c r="S2091">
        <v>-10.792083831299999</v>
      </c>
      <c r="T2091">
        <v>-103.16138193899999</v>
      </c>
      <c r="U2091">
        <v>0</v>
      </c>
      <c r="V2091">
        <v>0</v>
      </c>
    </row>
    <row r="2092" spans="1:22" x14ac:dyDescent="0.2">
      <c r="A2092"/>
      <c r="B2092">
        <v>26453</v>
      </c>
      <c r="C2092" t="s">
        <v>4246</v>
      </c>
      <c r="D2092" t="s">
        <v>1045</v>
      </c>
      <c r="E2092" t="s">
        <v>3757</v>
      </c>
      <c r="F2092" t="s">
        <v>1921</v>
      </c>
      <c r="G2092">
        <v>142</v>
      </c>
      <c r="H2092" t="s">
        <v>1270</v>
      </c>
      <c r="Q2092">
        <v>3342.2533590899998</v>
      </c>
      <c r="R2092">
        <v>32128.7340626</v>
      </c>
      <c r="S2092">
        <v>-10.792083831299999</v>
      </c>
      <c r="T2092">
        <v>76.8386180607</v>
      </c>
      <c r="U2092">
        <v>0</v>
      </c>
      <c r="V2092">
        <v>0</v>
      </c>
    </row>
    <row r="2093" spans="1:22" x14ac:dyDescent="0.2">
      <c r="A2093"/>
      <c r="B2093">
        <v>26454</v>
      </c>
      <c r="C2093" t="s">
        <v>4384</v>
      </c>
      <c r="D2093" t="s">
        <v>1045</v>
      </c>
      <c r="E2093" t="s">
        <v>4385</v>
      </c>
      <c r="F2093" t="s">
        <v>1923</v>
      </c>
      <c r="G2093">
        <v>5</v>
      </c>
      <c r="H2093" t="s">
        <v>12</v>
      </c>
      <c r="Q2093">
        <v>3238.7226075399999</v>
      </c>
      <c r="R2093">
        <v>31517.512919500001</v>
      </c>
      <c r="S2093">
        <v>-10.8109035162</v>
      </c>
      <c r="T2093">
        <v>-94.317360857599994</v>
      </c>
      <c r="U2093">
        <v>0</v>
      </c>
      <c r="V2093">
        <v>0</v>
      </c>
    </row>
    <row r="2094" spans="1:22" x14ac:dyDescent="0.2">
      <c r="A2094"/>
      <c r="B2094">
        <v>26455</v>
      </c>
      <c r="C2094" t="s">
        <v>4386</v>
      </c>
      <c r="D2094" t="s">
        <v>1045</v>
      </c>
      <c r="E2094" t="s">
        <v>4385</v>
      </c>
      <c r="F2094" t="s">
        <v>1922</v>
      </c>
      <c r="G2094">
        <v>84</v>
      </c>
      <c r="H2094" t="s">
        <v>12</v>
      </c>
      <c r="Q2094">
        <v>3242.9217104999998</v>
      </c>
      <c r="R2094">
        <v>31517.275550599999</v>
      </c>
      <c r="S2094">
        <v>-10.8200592947</v>
      </c>
      <c r="T2094">
        <v>-95.098824722499998</v>
      </c>
      <c r="U2094">
        <v>0</v>
      </c>
      <c r="V2094">
        <v>0</v>
      </c>
    </row>
    <row r="2095" spans="1:22" x14ac:dyDescent="0.2">
      <c r="A2095"/>
      <c r="B2095">
        <v>26456</v>
      </c>
      <c r="C2095" t="s">
        <v>4387</v>
      </c>
      <c r="D2095" t="s">
        <v>1045</v>
      </c>
      <c r="E2095" t="s">
        <v>4388</v>
      </c>
      <c r="F2095" t="s">
        <v>1923</v>
      </c>
      <c r="G2095">
        <v>684</v>
      </c>
      <c r="H2095" t="s">
        <v>248</v>
      </c>
      <c r="Q2095">
        <v>2718.0098274900001</v>
      </c>
      <c r="R2095">
        <v>31200.722458600001</v>
      </c>
      <c r="S2095">
        <v>-20.2988172572</v>
      </c>
      <c r="T2095">
        <v>150.229963639</v>
      </c>
      <c r="U2095">
        <v>0</v>
      </c>
      <c r="V2095">
        <v>0</v>
      </c>
    </row>
    <row r="2096" spans="1:22" x14ac:dyDescent="0.2">
      <c r="A2096"/>
      <c r="B2096">
        <v>26457</v>
      </c>
      <c r="C2096" t="s">
        <v>4389</v>
      </c>
      <c r="D2096" t="s">
        <v>1045</v>
      </c>
      <c r="E2096" t="s">
        <v>4388</v>
      </c>
      <c r="F2096" t="s">
        <v>1922</v>
      </c>
      <c r="G2096">
        <v>775</v>
      </c>
      <c r="H2096" t="s">
        <v>248</v>
      </c>
      <c r="Q2096">
        <v>2715.1041689100002</v>
      </c>
      <c r="R2096">
        <v>31195.8644484</v>
      </c>
      <c r="S2096">
        <v>-20.2904469064</v>
      </c>
      <c r="T2096">
        <v>147.91222564500001</v>
      </c>
      <c r="U2096">
        <v>0</v>
      </c>
      <c r="V2096">
        <v>0</v>
      </c>
    </row>
    <row r="2097" spans="1:22" x14ac:dyDescent="0.2">
      <c r="A2097"/>
      <c r="B2097">
        <v>26458</v>
      </c>
      <c r="C2097" t="s">
        <v>4390</v>
      </c>
      <c r="D2097" t="s">
        <v>1045</v>
      </c>
      <c r="E2097" t="s">
        <v>4388</v>
      </c>
      <c r="F2097" t="s">
        <v>1933</v>
      </c>
      <c r="G2097">
        <v>125</v>
      </c>
      <c r="H2097" t="s">
        <v>12</v>
      </c>
      <c r="Q2097">
        <v>2548.04307393</v>
      </c>
      <c r="R2097">
        <v>31313.159658100001</v>
      </c>
      <c r="S2097">
        <v>-23.907920593499998</v>
      </c>
      <c r="T2097">
        <v>155.606945548</v>
      </c>
      <c r="U2097">
        <v>0</v>
      </c>
      <c r="V2097">
        <v>0</v>
      </c>
    </row>
    <row r="2098" spans="1:22" x14ac:dyDescent="0.2">
      <c r="A2098"/>
      <c r="B2098">
        <v>26459</v>
      </c>
      <c r="C2098" t="s">
        <v>4391</v>
      </c>
      <c r="D2098" t="s">
        <v>1045</v>
      </c>
      <c r="E2098" t="s">
        <v>4388</v>
      </c>
      <c r="F2098" t="s">
        <v>1951</v>
      </c>
      <c r="G2098">
        <v>123</v>
      </c>
      <c r="H2098" t="s">
        <v>12</v>
      </c>
      <c r="Q2098">
        <v>2545.4448840800001</v>
      </c>
      <c r="R2098">
        <v>31305.653802600002</v>
      </c>
      <c r="S2098">
        <v>-23.8814007621</v>
      </c>
      <c r="T2098">
        <v>155.74417293900001</v>
      </c>
      <c r="U2098">
        <v>0</v>
      </c>
      <c r="V2098">
        <v>0</v>
      </c>
    </row>
    <row r="2099" spans="1:22" x14ac:dyDescent="0.2">
      <c r="A2099"/>
      <c r="B2099">
        <v>26460</v>
      </c>
      <c r="C2099" t="s">
        <v>4392</v>
      </c>
      <c r="D2099" t="s">
        <v>1045</v>
      </c>
      <c r="E2099" t="s">
        <v>4393</v>
      </c>
      <c r="F2099" t="s">
        <v>1923</v>
      </c>
      <c r="G2099">
        <v>123</v>
      </c>
      <c r="H2099" t="s">
        <v>12</v>
      </c>
      <c r="Q2099">
        <v>3212.4134404199999</v>
      </c>
      <c r="R2099">
        <v>31404.070940900001</v>
      </c>
      <c r="S2099">
        <v>-12.4271383705</v>
      </c>
      <c r="T2099">
        <v>-120.743996423</v>
      </c>
      <c r="U2099">
        <v>0</v>
      </c>
      <c r="V2099">
        <v>0</v>
      </c>
    </row>
    <row r="2100" spans="1:22" x14ac:dyDescent="0.2">
      <c r="A2100"/>
      <c r="B2100">
        <v>26461</v>
      </c>
      <c r="C2100" t="s">
        <v>4394</v>
      </c>
      <c r="D2100" t="s">
        <v>1045</v>
      </c>
      <c r="E2100" t="s">
        <v>4393</v>
      </c>
      <c r="F2100" t="s">
        <v>1922</v>
      </c>
      <c r="G2100">
        <v>404</v>
      </c>
      <c r="H2100" t="s">
        <v>248</v>
      </c>
      <c r="Q2100">
        <v>3052.7880782500001</v>
      </c>
      <c r="R2100">
        <v>31294.3014401</v>
      </c>
      <c r="S2100">
        <v>-15.912913978200001</v>
      </c>
      <c r="T2100">
        <v>-154.36452069699999</v>
      </c>
      <c r="U2100">
        <v>0</v>
      </c>
      <c r="V2100">
        <v>0</v>
      </c>
    </row>
    <row r="2101" spans="1:22" x14ac:dyDescent="0.2">
      <c r="A2101"/>
      <c r="B2101">
        <v>26462</v>
      </c>
      <c r="C2101" t="s">
        <v>4395</v>
      </c>
      <c r="D2101" t="s">
        <v>1045</v>
      </c>
      <c r="E2101" t="s">
        <v>4388</v>
      </c>
      <c r="F2101" t="s">
        <v>2082</v>
      </c>
      <c r="G2101">
        <v>5</v>
      </c>
      <c r="H2101" t="s">
        <v>12</v>
      </c>
      <c r="Q2101">
        <v>2471.5288536600001</v>
      </c>
      <c r="R2101">
        <v>31375.6373379</v>
      </c>
      <c r="S2101">
        <v>-26.284434427299999</v>
      </c>
      <c r="T2101">
        <v>141.08289789</v>
      </c>
      <c r="U2101">
        <v>0</v>
      </c>
      <c r="V2101">
        <v>0</v>
      </c>
    </row>
    <row r="2102" spans="1:22" x14ac:dyDescent="0.2">
      <c r="A2102"/>
      <c r="B2102">
        <v>26463</v>
      </c>
      <c r="C2102" t="s">
        <v>4396</v>
      </c>
      <c r="D2102" t="s">
        <v>1045</v>
      </c>
      <c r="E2102" t="s">
        <v>4388</v>
      </c>
      <c r="F2102" t="s">
        <v>2087</v>
      </c>
      <c r="G2102">
        <v>250</v>
      </c>
      <c r="H2102" t="s">
        <v>12</v>
      </c>
      <c r="Q2102">
        <v>2122.1918312799999</v>
      </c>
      <c r="R2102">
        <v>31733.145640499999</v>
      </c>
      <c r="S2102">
        <v>-31.8805076284</v>
      </c>
      <c r="T2102">
        <v>112.544000025</v>
      </c>
      <c r="U2102">
        <v>0</v>
      </c>
      <c r="V2102">
        <v>0</v>
      </c>
    </row>
    <row r="2103" spans="1:22" x14ac:dyDescent="0.2">
      <c r="A2103"/>
      <c r="B2103">
        <v>26464</v>
      </c>
      <c r="C2103" t="s">
        <v>4397</v>
      </c>
      <c r="D2103" t="s">
        <v>1045</v>
      </c>
      <c r="E2103" t="s">
        <v>4388</v>
      </c>
      <c r="F2103" t="s">
        <v>2070</v>
      </c>
      <c r="G2103">
        <v>467</v>
      </c>
      <c r="H2103" t="s">
        <v>12</v>
      </c>
      <c r="Q2103">
        <v>2122.8848165999998</v>
      </c>
      <c r="R2103">
        <v>31627.0470484</v>
      </c>
      <c r="S2103">
        <v>-31.698539087499999</v>
      </c>
      <c r="T2103">
        <v>140.55264804999999</v>
      </c>
      <c r="U2103">
        <v>0</v>
      </c>
      <c r="V2103">
        <v>0</v>
      </c>
    </row>
    <row r="2104" spans="1:22" x14ac:dyDescent="0.2">
      <c r="A2104"/>
      <c r="B2104">
        <v>26465</v>
      </c>
      <c r="C2104" t="s">
        <v>4398</v>
      </c>
      <c r="D2104" t="s">
        <v>1045</v>
      </c>
      <c r="E2104" t="s">
        <v>4388</v>
      </c>
      <c r="F2104" t="s">
        <v>1977</v>
      </c>
      <c r="G2104">
        <v>227</v>
      </c>
      <c r="H2104" t="s">
        <v>12</v>
      </c>
      <c r="Q2104">
        <v>2050.3924688699999</v>
      </c>
      <c r="R2104">
        <v>31329.053624699998</v>
      </c>
      <c r="S2104">
        <v>-31.044909084299999</v>
      </c>
      <c r="T2104">
        <v>-165.10536951899999</v>
      </c>
      <c r="U2104">
        <v>0</v>
      </c>
      <c r="V2104">
        <v>0</v>
      </c>
    </row>
    <row r="2105" spans="1:22" x14ac:dyDescent="0.2">
      <c r="A2105"/>
      <c r="B2105">
        <v>26466</v>
      </c>
      <c r="C2105" t="s">
        <v>4399</v>
      </c>
      <c r="D2105" t="s">
        <v>1045</v>
      </c>
      <c r="E2105" t="s">
        <v>4388</v>
      </c>
      <c r="F2105" t="s">
        <v>1972</v>
      </c>
      <c r="G2105">
        <v>226</v>
      </c>
      <c r="H2105" t="s">
        <v>12</v>
      </c>
      <c r="Q2105">
        <v>2052.5798270499999</v>
      </c>
      <c r="R2105">
        <v>31322.713885000001</v>
      </c>
      <c r="S2105">
        <v>-30.991858547</v>
      </c>
      <c r="T2105">
        <v>-164.80531542599999</v>
      </c>
      <c r="U2105">
        <v>0</v>
      </c>
      <c r="V2105">
        <v>0</v>
      </c>
    </row>
    <row r="2106" spans="1:22" x14ac:dyDescent="0.2">
      <c r="A2106"/>
      <c r="B2106">
        <v>26467</v>
      </c>
      <c r="C2106" t="s">
        <v>4400</v>
      </c>
      <c r="D2106" t="s">
        <v>1045</v>
      </c>
      <c r="E2106" t="s">
        <v>4388</v>
      </c>
      <c r="F2106" t="s">
        <v>1965</v>
      </c>
      <c r="G2106">
        <v>253</v>
      </c>
      <c r="H2106" t="s">
        <v>12</v>
      </c>
      <c r="Q2106">
        <v>2053.95254256</v>
      </c>
      <c r="R2106">
        <v>31316.569154500001</v>
      </c>
      <c r="S2106">
        <v>-30.946534609699999</v>
      </c>
      <c r="T2106">
        <v>-165.217201969</v>
      </c>
      <c r="U2106">
        <v>0</v>
      </c>
      <c r="V2106">
        <v>0</v>
      </c>
    </row>
    <row r="2107" spans="1:22" x14ac:dyDescent="0.2">
      <c r="A2107"/>
      <c r="B2107">
        <v>26468</v>
      </c>
      <c r="C2107" t="s">
        <v>4401</v>
      </c>
      <c r="D2107" t="s">
        <v>1045</v>
      </c>
      <c r="E2107" t="s">
        <v>4388</v>
      </c>
      <c r="F2107" t="s">
        <v>2139</v>
      </c>
      <c r="G2107">
        <v>240</v>
      </c>
      <c r="H2107" t="s">
        <v>12</v>
      </c>
      <c r="Q2107">
        <v>2062.8528589699999</v>
      </c>
      <c r="R2107">
        <v>31311.320409700002</v>
      </c>
      <c r="S2107">
        <v>-30.823467093800001</v>
      </c>
      <c r="T2107">
        <v>-165.33868664299999</v>
      </c>
      <c r="U2107">
        <v>0</v>
      </c>
      <c r="V2107">
        <v>0</v>
      </c>
    </row>
    <row r="2108" spans="1:22" x14ac:dyDescent="0.2">
      <c r="A2108"/>
      <c r="B2108">
        <v>26468</v>
      </c>
      <c r="C2108" t="s">
        <v>4401</v>
      </c>
      <c r="D2108" t="s">
        <v>1045</v>
      </c>
      <c r="E2108" t="s">
        <v>4388</v>
      </c>
      <c r="F2108" t="s">
        <v>2050</v>
      </c>
      <c r="G2108">
        <v>252</v>
      </c>
      <c r="H2108" t="s">
        <v>12</v>
      </c>
      <c r="Q2108">
        <v>2062.8528589699999</v>
      </c>
      <c r="R2108">
        <v>31311.320409700002</v>
      </c>
      <c r="S2108">
        <v>-30.823467093800001</v>
      </c>
      <c r="T2108">
        <v>-165.33868664299999</v>
      </c>
      <c r="U2108">
        <v>0</v>
      </c>
      <c r="V2108">
        <v>0</v>
      </c>
    </row>
    <row r="2109" spans="1:22" x14ac:dyDescent="0.2">
      <c r="A2109"/>
      <c r="B2109">
        <v>26468</v>
      </c>
      <c r="C2109" t="s">
        <v>4401</v>
      </c>
      <c r="D2109" t="s">
        <v>1045</v>
      </c>
      <c r="E2109" t="s">
        <v>4388</v>
      </c>
      <c r="F2109" t="s">
        <v>2016</v>
      </c>
      <c r="G2109">
        <v>248</v>
      </c>
      <c r="H2109" t="s">
        <v>12</v>
      </c>
      <c r="Q2109">
        <v>2062.8528589699999</v>
      </c>
      <c r="R2109">
        <v>31311.320409700002</v>
      </c>
      <c r="S2109">
        <v>-30.823467093800001</v>
      </c>
      <c r="T2109">
        <v>-165.33868664299999</v>
      </c>
      <c r="U2109">
        <v>0</v>
      </c>
      <c r="V2109">
        <v>0</v>
      </c>
    </row>
    <row r="2110" spans="1:22" x14ac:dyDescent="0.2">
      <c r="A2110"/>
      <c r="B2110">
        <v>26469</v>
      </c>
      <c r="C2110" t="s">
        <v>4402</v>
      </c>
      <c r="D2110" t="s">
        <v>1045</v>
      </c>
      <c r="E2110" t="s">
        <v>4388</v>
      </c>
      <c r="F2110" t="s">
        <v>2141</v>
      </c>
      <c r="G2110">
        <v>248</v>
      </c>
      <c r="H2110" t="s">
        <v>12</v>
      </c>
      <c r="Q2110">
        <v>2057.8232412799998</v>
      </c>
      <c r="R2110">
        <v>31300.738799399998</v>
      </c>
      <c r="S2110">
        <v>-30.825603668300001</v>
      </c>
      <c r="T2110">
        <v>-165.218942072</v>
      </c>
      <c r="U2110">
        <v>0</v>
      </c>
      <c r="V2110">
        <v>0</v>
      </c>
    </row>
    <row r="2111" spans="1:22" x14ac:dyDescent="0.2">
      <c r="A2111"/>
      <c r="B2111">
        <v>26470</v>
      </c>
      <c r="C2111" t="s">
        <v>4403</v>
      </c>
      <c r="D2111" t="s">
        <v>1045</v>
      </c>
      <c r="E2111" t="s">
        <v>4388</v>
      </c>
      <c r="F2111" t="s">
        <v>2062</v>
      </c>
      <c r="G2111">
        <v>352</v>
      </c>
      <c r="H2111" t="s">
        <v>12</v>
      </c>
      <c r="Q2111">
        <v>2120.82810707</v>
      </c>
      <c r="R2111">
        <v>31551.946818199998</v>
      </c>
      <c r="S2111">
        <v>-31.342849646800001</v>
      </c>
      <c r="T2111">
        <v>157.03192457700001</v>
      </c>
      <c r="U2111">
        <v>0</v>
      </c>
      <c r="V2111">
        <v>0</v>
      </c>
    </row>
    <row r="2112" spans="1:22" x14ac:dyDescent="0.2">
      <c r="A2112"/>
      <c r="B2112">
        <v>26471</v>
      </c>
      <c r="C2112" t="s">
        <v>4404</v>
      </c>
      <c r="D2112" t="s">
        <v>1045</v>
      </c>
      <c r="E2112" t="s">
        <v>4388</v>
      </c>
      <c r="F2112" t="s">
        <v>2056</v>
      </c>
      <c r="G2112">
        <v>253</v>
      </c>
      <c r="H2112" t="s">
        <v>12</v>
      </c>
      <c r="Q2112">
        <v>2118.5648946599999</v>
      </c>
      <c r="R2112">
        <v>31547.905776</v>
      </c>
      <c r="S2112">
        <v>-31.349269769399999</v>
      </c>
      <c r="T2112">
        <v>156.962044574</v>
      </c>
      <c r="U2112">
        <v>0</v>
      </c>
      <c r="V2112">
        <v>0</v>
      </c>
    </row>
    <row r="2113" spans="1:22" x14ac:dyDescent="0.2">
      <c r="A2113"/>
      <c r="B2113">
        <v>26472</v>
      </c>
      <c r="C2113" t="s">
        <v>4405</v>
      </c>
      <c r="D2113" t="s">
        <v>1045</v>
      </c>
      <c r="E2113" t="s">
        <v>4388</v>
      </c>
      <c r="F2113" t="s">
        <v>2044</v>
      </c>
      <c r="G2113">
        <v>260</v>
      </c>
      <c r="H2113" t="s">
        <v>12</v>
      </c>
      <c r="Q2113">
        <v>2113.73572719</v>
      </c>
      <c r="R2113">
        <v>31540.990624900001</v>
      </c>
      <c r="S2113">
        <v>-31.369575795399999</v>
      </c>
      <c r="T2113">
        <v>156.73541481999999</v>
      </c>
      <c r="U2113">
        <v>0</v>
      </c>
      <c r="V2113">
        <v>0</v>
      </c>
    </row>
    <row r="2114" spans="1:22" x14ac:dyDescent="0.2">
      <c r="A2114"/>
      <c r="B2114">
        <v>26473</v>
      </c>
      <c r="C2114" t="s">
        <v>4406</v>
      </c>
      <c r="D2114" t="s">
        <v>1045</v>
      </c>
      <c r="E2114" t="s">
        <v>4388</v>
      </c>
      <c r="F2114" t="s">
        <v>2038</v>
      </c>
      <c r="G2114">
        <v>260</v>
      </c>
      <c r="H2114" t="s">
        <v>12</v>
      </c>
      <c r="Q2114">
        <v>2111.5145832100002</v>
      </c>
      <c r="R2114">
        <v>31536.8721181</v>
      </c>
      <c r="S2114">
        <v>-31.378413009999999</v>
      </c>
      <c r="T2114">
        <v>156.74339650300001</v>
      </c>
      <c r="U2114">
        <v>0</v>
      </c>
      <c r="V2114">
        <v>0</v>
      </c>
    </row>
    <row r="2115" spans="1:22" x14ac:dyDescent="0.2">
      <c r="A2115"/>
      <c r="B2115">
        <v>26474</v>
      </c>
      <c r="C2115" t="s">
        <v>4407</v>
      </c>
      <c r="D2115" t="s">
        <v>1045</v>
      </c>
      <c r="E2115" t="s">
        <v>4388</v>
      </c>
      <c r="F2115" t="s">
        <v>2030</v>
      </c>
      <c r="G2115">
        <v>341</v>
      </c>
      <c r="H2115" t="s">
        <v>12</v>
      </c>
      <c r="Q2115">
        <v>2110.0513744700002</v>
      </c>
      <c r="R2115">
        <v>31532.3740254</v>
      </c>
      <c r="S2115">
        <v>-31.372590336999998</v>
      </c>
      <c r="T2115">
        <v>156.54935437699999</v>
      </c>
      <c r="U2115">
        <v>0</v>
      </c>
      <c r="V2115">
        <v>0</v>
      </c>
    </row>
    <row r="2116" spans="1:22" x14ac:dyDescent="0.2">
      <c r="A2116"/>
      <c r="B2116">
        <v>26475</v>
      </c>
      <c r="C2116" t="s">
        <v>4408</v>
      </c>
      <c r="D2116" t="s">
        <v>1045</v>
      </c>
      <c r="E2116" t="s">
        <v>4388</v>
      </c>
      <c r="F2116" t="s">
        <v>2022</v>
      </c>
      <c r="G2116">
        <v>249</v>
      </c>
      <c r="H2116" t="s">
        <v>12</v>
      </c>
      <c r="Q2116">
        <v>2102.2197234800001</v>
      </c>
      <c r="R2116">
        <v>31527.357596400001</v>
      </c>
      <c r="S2116">
        <v>-31.436501767100001</v>
      </c>
      <c r="T2116">
        <v>157.16449855799999</v>
      </c>
      <c r="U2116">
        <v>0</v>
      </c>
      <c r="V2116">
        <v>0</v>
      </c>
    </row>
    <row r="2117" spans="1:22" x14ac:dyDescent="0.2">
      <c r="A2117"/>
      <c r="B2117">
        <v>26476</v>
      </c>
      <c r="C2117" t="s">
        <v>4409</v>
      </c>
      <c r="D2117" t="s">
        <v>1045</v>
      </c>
      <c r="E2117" t="s">
        <v>4388</v>
      </c>
      <c r="F2117" t="s">
        <v>2011</v>
      </c>
      <c r="G2117">
        <v>232</v>
      </c>
      <c r="H2117" t="s">
        <v>12</v>
      </c>
      <c r="Q2117">
        <v>2081.3916339500001</v>
      </c>
      <c r="R2117">
        <v>31525.965976200001</v>
      </c>
      <c r="S2117">
        <v>-31.666583580800001</v>
      </c>
      <c r="T2117">
        <v>157.20054437300001</v>
      </c>
      <c r="U2117">
        <v>0</v>
      </c>
      <c r="V2117">
        <v>0</v>
      </c>
    </row>
    <row r="2118" spans="1:22" x14ac:dyDescent="0.2">
      <c r="A2118"/>
      <c r="B2118">
        <v>26477</v>
      </c>
      <c r="C2118" t="s">
        <v>4410</v>
      </c>
      <c r="D2118" t="s">
        <v>1045</v>
      </c>
      <c r="E2118" t="s">
        <v>4388</v>
      </c>
      <c r="F2118" t="s">
        <v>2005</v>
      </c>
      <c r="G2118">
        <v>232</v>
      </c>
      <c r="H2118" t="s">
        <v>12</v>
      </c>
      <c r="Q2118">
        <v>2079.3243145800002</v>
      </c>
      <c r="R2118">
        <v>31521.967655600001</v>
      </c>
      <c r="S2118">
        <v>-31.673441222699999</v>
      </c>
      <c r="T2118">
        <v>156.99066059399999</v>
      </c>
      <c r="U2118">
        <v>0</v>
      </c>
      <c r="V2118">
        <v>0</v>
      </c>
    </row>
    <row r="2119" spans="1:22" x14ac:dyDescent="0.2">
      <c r="A2119"/>
      <c r="B2119">
        <v>26478</v>
      </c>
      <c r="C2119" t="s">
        <v>4411</v>
      </c>
      <c r="D2119" t="s">
        <v>1045</v>
      </c>
      <c r="E2119" t="s">
        <v>4388</v>
      </c>
      <c r="F2119" t="s">
        <v>1939</v>
      </c>
      <c r="G2119">
        <v>267</v>
      </c>
      <c r="H2119" t="s">
        <v>12</v>
      </c>
      <c r="Q2119">
        <v>2077.2720868299998</v>
      </c>
      <c r="R2119">
        <v>31517.827293999999</v>
      </c>
      <c r="S2119">
        <v>-31.6770965977</v>
      </c>
      <c r="T2119">
        <v>156.839466722</v>
      </c>
      <c r="U2119">
        <v>0</v>
      </c>
      <c r="V2119">
        <v>0</v>
      </c>
    </row>
    <row r="2120" spans="1:22" x14ac:dyDescent="0.2">
      <c r="A2120"/>
      <c r="B2120">
        <v>26479</v>
      </c>
      <c r="C2120" t="s">
        <v>4412</v>
      </c>
      <c r="D2120" t="s">
        <v>1045</v>
      </c>
      <c r="E2120" t="s">
        <v>4388</v>
      </c>
      <c r="F2120" t="s">
        <v>1958</v>
      </c>
      <c r="G2120">
        <v>207</v>
      </c>
      <c r="H2120" t="s">
        <v>12</v>
      </c>
      <c r="Q2120">
        <v>2071.7137405899998</v>
      </c>
      <c r="R2120">
        <v>31515.0826232</v>
      </c>
      <c r="S2120">
        <v>-31.737211811200002</v>
      </c>
      <c r="T2120">
        <v>156.86007730099999</v>
      </c>
      <c r="U2120">
        <v>0</v>
      </c>
      <c r="V2120">
        <v>0</v>
      </c>
    </row>
    <row r="2121" spans="1:22" x14ac:dyDescent="0.2">
      <c r="A2121"/>
      <c r="B2121">
        <v>26480</v>
      </c>
      <c r="C2121" t="s">
        <v>4413</v>
      </c>
      <c r="D2121" t="s">
        <v>1045</v>
      </c>
      <c r="E2121" t="s">
        <v>4388</v>
      </c>
      <c r="F2121" t="s">
        <v>2000</v>
      </c>
      <c r="G2121">
        <v>209</v>
      </c>
      <c r="H2121" t="s">
        <v>12</v>
      </c>
      <c r="Q2121">
        <v>2068.0901049099998</v>
      </c>
      <c r="R2121">
        <v>31511.141944899999</v>
      </c>
      <c r="S2121">
        <v>-31.7490647841</v>
      </c>
      <c r="T2121">
        <v>156.69948404300001</v>
      </c>
      <c r="U2121">
        <v>0</v>
      </c>
      <c r="V2121">
        <v>0</v>
      </c>
    </row>
    <row r="2122" spans="1:22" x14ac:dyDescent="0.2">
      <c r="A2122"/>
      <c r="B2122">
        <v>26481</v>
      </c>
      <c r="C2122" t="s">
        <v>4414</v>
      </c>
      <c r="D2122" t="s">
        <v>1045</v>
      </c>
      <c r="E2122" t="s">
        <v>4388</v>
      </c>
      <c r="F2122" t="s">
        <v>1995</v>
      </c>
      <c r="G2122">
        <v>240</v>
      </c>
      <c r="H2122" t="s">
        <v>12</v>
      </c>
      <c r="Q2122">
        <v>2067.4868912100001</v>
      </c>
      <c r="R2122">
        <v>31506.988286</v>
      </c>
      <c r="S2122">
        <v>-31.734008935799999</v>
      </c>
      <c r="T2122">
        <v>156.68706196700001</v>
      </c>
      <c r="U2122">
        <v>0</v>
      </c>
      <c r="V2122">
        <v>0</v>
      </c>
    </row>
    <row r="2123" spans="1:22" x14ac:dyDescent="0.2">
      <c r="A2123"/>
      <c r="B2123">
        <v>26482</v>
      </c>
      <c r="C2123" t="s">
        <v>4415</v>
      </c>
      <c r="D2123" t="s">
        <v>1045</v>
      </c>
      <c r="E2123" t="s">
        <v>4388</v>
      </c>
      <c r="F2123" t="s">
        <v>1990</v>
      </c>
      <c r="G2123">
        <v>216</v>
      </c>
      <c r="H2123" t="s">
        <v>12</v>
      </c>
      <c r="Q2123">
        <v>2067.6017964600001</v>
      </c>
      <c r="R2123">
        <v>31501.633119099999</v>
      </c>
      <c r="S2123">
        <v>-31.709262403899999</v>
      </c>
      <c r="T2123">
        <v>156.575316472</v>
      </c>
      <c r="U2123">
        <v>0</v>
      </c>
      <c r="V2123">
        <v>0</v>
      </c>
    </row>
    <row r="2124" spans="1:22" x14ac:dyDescent="0.2">
      <c r="A2124"/>
      <c r="B2124">
        <v>26483</v>
      </c>
      <c r="C2124" t="s">
        <v>4416</v>
      </c>
      <c r="D2124" t="s">
        <v>1045</v>
      </c>
      <c r="E2124" t="s">
        <v>4388</v>
      </c>
      <c r="F2124" t="s">
        <v>1985</v>
      </c>
      <c r="G2124">
        <v>216</v>
      </c>
      <c r="H2124" t="s">
        <v>12</v>
      </c>
      <c r="Q2124">
        <v>2066.55563162</v>
      </c>
      <c r="R2124">
        <v>31497.247642900002</v>
      </c>
      <c r="S2124">
        <v>-31.699697335700002</v>
      </c>
      <c r="T2124">
        <v>156.35294709600001</v>
      </c>
      <c r="U2124">
        <v>0</v>
      </c>
      <c r="V2124">
        <v>0</v>
      </c>
    </row>
    <row r="2125" spans="1:22" x14ac:dyDescent="0.2">
      <c r="A2125"/>
      <c r="B2125">
        <v>26484</v>
      </c>
      <c r="C2125" t="s">
        <v>4417</v>
      </c>
      <c r="D2125" t="s">
        <v>1045</v>
      </c>
      <c r="E2125" t="s">
        <v>4388</v>
      </c>
      <c r="F2125" t="s">
        <v>1966</v>
      </c>
      <c r="G2125">
        <v>198</v>
      </c>
      <c r="H2125" t="s">
        <v>12</v>
      </c>
      <c r="Q2125">
        <v>2064.8506888100001</v>
      </c>
      <c r="R2125">
        <v>31492.822140699998</v>
      </c>
      <c r="S2125">
        <v>-31.693183591899999</v>
      </c>
      <c r="T2125">
        <v>156.43152610800001</v>
      </c>
      <c r="U2125">
        <v>0</v>
      </c>
      <c r="V2125">
        <v>0</v>
      </c>
    </row>
    <row r="2126" spans="1:22" x14ac:dyDescent="0.2">
      <c r="A2126"/>
      <c r="B2126">
        <v>26485</v>
      </c>
      <c r="C2126" t="s">
        <v>4418</v>
      </c>
      <c r="D2126" t="s">
        <v>1045</v>
      </c>
      <c r="E2126" t="s">
        <v>4388</v>
      </c>
      <c r="F2126" t="s">
        <v>2132</v>
      </c>
      <c r="G2126">
        <v>151</v>
      </c>
      <c r="H2126" t="s">
        <v>12</v>
      </c>
      <c r="Q2126">
        <v>2087.0602560900002</v>
      </c>
      <c r="R2126">
        <v>31472.278869900001</v>
      </c>
      <c r="S2126">
        <v>-31.339474389900001</v>
      </c>
      <c r="T2126">
        <v>157.022072447</v>
      </c>
      <c r="U2126">
        <v>0</v>
      </c>
      <c r="V2126">
        <v>0</v>
      </c>
    </row>
    <row r="2127" spans="1:22" x14ac:dyDescent="0.2">
      <c r="A2127"/>
      <c r="B2127">
        <v>26486</v>
      </c>
      <c r="C2127" t="s">
        <v>4419</v>
      </c>
      <c r="D2127" t="s">
        <v>1045</v>
      </c>
      <c r="E2127" t="s">
        <v>4388</v>
      </c>
      <c r="F2127" t="s">
        <v>2134</v>
      </c>
      <c r="G2127">
        <v>166</v>
      </c>
      <c r="H2127" t="s">
        <v>12</v>
      </c>
      <c r="Q2127">
        <v>2070.1667744599999</v>
      </c>
      <c r="R2127">
        <v>31463.760220799999</v>
      </c>
      <c r="S2127">
        <v>-31.494095889</v>
      </c>
      <c r="T2127">
        <v>157.173715679</v>
      </c>
      <c r="U2127">
        <v>0</v>
      </c>
      <c r="V2127">
        <v>0</v>
      </c>
    </row>
    <row r="2128" spans="1:22" x14ac:dyDescent="0.2">
      <c r="A2128"/>
      <c r="B2128">
        <v>26487</v>
      </c>
      <c r="C2128" t="s">
        <v>4420</v>
      </c>
      <c r="D2128" t="s">
        <v>1045</v>
      </c>
      <c r="E2128" t="s">
        <v>4393</v>
      </c>
      <c r="F2128" t="s">
        <v>1923</v>
      </c>
      <c r="G2128">
        <v>320</v>
      </c>
      <c r="H2128" t="s">
        <v>248</v>
      </c>
      <c r="Q2128">
        <v>3050.75500195</v>
      </c>
      <c r="R2128">
        <v>31298.440191199999</v>
      </c>
      <c r="S2128">
        <v>-15.900552961300001</v>
      </c>
      <c r="T2128">
        <v>-154.76955879799999</v>
      </c>
      <c r="U2128">
        <v>0</v>
      </c>
      <c r="V2128">
        <v>0</v>
      </c>
    </row>
    <row r="2129" spans="1:22" x14ac:dyDescent="0.2">
      <c r="A2129"/>
      <c r="B2129">
        <v>27000</v>
      </c>
      <c r="C2129" t="s">
        <v>4199</v>
      </c>
      <c r="D2129" t="s">
        <v>1061</v>
      </c>
      <c r="E2129" t="s">
        <v>1200</v>
      </c>
      <c r="F2129" t="s">
        <v>1922</v>
      </c>
      <c r="G2129">
        <v>60</v>
      </c>
      <c r="H2129" t="s">
        <v>248</v>
      </c>
      <c r="Q2129">
        <v>3242.9861158799999</v>
      </c>
      <c r="R2129">
        <v>31541.353266099999</v>
      </c>
      <c r="S2129">
        <v>-10.78730872</v>
      </c>
      <c r="T2129">
        <v>-94.765895693499999</v>
      </c>
      <c r="U2129">
        <v>0</v>
      </c>
      <c r="V2129">
        <v>0</v>
      </c>
    </row>
    <row r="2130" spans="1:22" x14ac:dyDescent="0.2">
      <c r="A2130"/>
      <c r="B2130">
        <v>27001</v>
      </c>
      <c r="C2130" t="s">
        <v>4200</v>
      </c>
      <c r="D2130" t="s">
        <v>1061</v>
      </c>
      <c r="E2130" t="s">
        <v>1200</v>
      </c>
      <c r="F2130" t="s">
        <v>1922</v>
      </c>
      <c r="G2130">
        <v>10</v>
      </c>
      <c r="H2130" t="s">
        <v>248</v>
      </c>
      <c r="Q2130">
        <v>3246.55097342</v>
      </c>
      <c r="R2130">
        <v>31591.200229400001</v>
      </c>
      <c r="S2130">
        <v>-10.787044897299999</v>
      </c>
      <c r="T2130">
        <v>-94.067173507999996</v>
      </c>
      <c r="U2130">
        <v>0</v>
      </c>
      <c r="V2130">
        <v>0</v>
      </c>
    </row>
    <row r="2131" spans="1:22" x14ac:dyDescent="0.2">
      <c r="A2131"/>
      <c r="B2131">
        <v>27002</v>
      </c>
      <c r="C2131" t="s">
        <v>4249</v>
      </c>
      <c r="D2131" t="s">
        <v>1061</v>
      </c>
      <c r="E2131" t="s">
        <v>1200</v>
      </c>
      <c r="F2131" t="s">
        <v>1915</v>
      </c>
      <c r="G2131">
        <v>64</v>
      </c>
      <c r="H2131" t="s">
        <v>248</v>
      </c>
      <c r="Q2131">
        <v>7064.7129093800004</v>
      </c>
      <c r="R2131">
        <v>37028.608535599997</v>
      </c>
      <c r="S2131">
        <v>-9.1425805357200005</v>
      </c>
      <c r="T2131">
        <v>53.159174277399998</v>
      </c>
      <c r="U2131">
        <v>0</v>
      </c>
      <c r="V2131">
        <v>0</v>
      </c>
    </row>
    <row r="2132" spans="1:22" x14ac:dyDescent="0.2">
      <c r="A2132"/>
      <c r="B2132">
        <v>27003</v>
      </c>
      <c r="C2132" t="s">
        <v>4201</v>
      </c>
      <c r="D2132" t="s">
        <v>1061</v>
      </c>
      <c r="E2132" t="s">
        <v>1200</v>
      </c>
      <c r="F2132" t="s">
        <v>1920</v>
      </c>
      <c r="G2132">
        <v>347.806874983</v>
      </c>
      <c r="H2132" t="s">
        <v>248</v>
      </c>
      <c r="Q2132">
        <v>7039.0522302999998</v>
      </c>
      <c r="R2132">
        <v>36993.815604099997</v>
      </c>
      <c r="S2132">
        <v>-9.1428514990099998</v>
      </c>
      <c r="T2132">
        <v>53.171994329999997</v>
      </c>
      <c r="U2132">
        <v>0</v>
      </c>
      <c r="V2132">
        <v>0</v>
      </c>
    </row>
    <row r="2133" spans="1:22" x14ac:dyDescent="0.2">
      <c r="A2133"/>
      <c r="B2133">
        <v>27004</v>
      </c>
      <c r="C2133" t="s">
        <v>4202</v>
      </c>
      <c r="D2133" t="s">
        <v>1061</v>
      </c>
      <c r="E2133" t="s">
        <v>1200</v>
      </c>
      <c r="F2133" t="s">
        <v>2316</v>
      </c>
      <c r="G2133">
        <v>53.154034570299999</v>
      </c>
      <c r="H2133" t="s">
        <v>248</v>
      </c>
      <c r="Q2133">
        <v>3415.9726445199999</v>
      </c>
      <c r="R2133">
        <v>32413.878353799999</v>
      </c>
      <c r="S2133">
        <v>-10.772326100800001</v>
      </c>
      <c r="T2133">
        <v>-99.635767095000006</v>
      </c>
      <c r="U2133">
        <v>0</v>
      </c>
      <c r="V2133">
        <v>0</v>
      </c>
    </row>
    <row r="2134" spans="1:22" x14ac:dyDescent="0.2">
      <c r="A2134"/>
      <c r="B2134">
        <v>27005</v>
      </c>
      <c r="C2134" t="s">
        <v>4203</v>
      </c>
      <c r="D2134" t="s">
        <v>1061</v>
      </c>
      <c r="E2134" t="s">
        <v>1200</v>
      </c>
      <c r="F2134" t="s">
        <v>2322</v>
      </c>
      <c r="G2134">
        <v>301.36119530500002</v>
      </c>
      <c r="H2134" t="s">
        <v>248</v>
      </c>
      <c r="Q2134">
        <v>3421.3637922900002</v>
      </c>
      <c r="R2134">
        <v>32448.382281300001</v>
      </c>
      <c r="S2134">
        <v>-10.7977440207</v>
      </c>
      <c r="T2134">
        <v>-99.542166443200003</v>
      </c>
      <c r="U2134">
        <v>0</v>
      </c>
      <c r="V2134">
        <v>0</v>
      </c>
    </row>
    <row r="2135" spans="1:22" x14ac:dyDescent="0.2">
      <c r="A2135"/>
      <c r="B2135">
        <v>27006</v>
      </c>
      <c r="C2135" t="s">
        <v>4204</v>
      </c>
      <c r="D2135" t="s">
        <v>1061</v>
      </c>
      <c r="E2135" t="s">
        <v>1200</v>
      </c>
      <c r="F2135" t="s">
        <v>2320</v>
      </c>
      <c r="G2135">
        <v>56.114389721999999</v>
      </c>
      <c r="H2135" t="s">
        <v>248</v>
      </c>
      <c r="Q2135">
        <v>3317.7343547800001</v>
      </c>
      <c r="R2135">
        <v>31956.743959200001</v>
      </c>
      <c r="S2135">
        <v>-10.772962551000001</v>
      </c>
      <c r="T2135">
        <v>-104.580072074</v>
      </c>
      <c r="U2135">
        <v>0</v>
      </c>
      <c r="V2135">
        <v>0</v>
      </c>
    </row>
    <row r="2136" spans="1:22" x14ac:dyDescent="0.2">
      <c r="A2136"/>
      <c r="B2136">
        <v>27007</v>
      </c>
      <c r="C2136" t="s">
        <v>4205</v>
      </c>
      <c r="D2136" t="s">
        <v>1061</v>
      </c>
      <c r="E2136" t="s">
        <v>1200</v>
      </c>
      <c r="F2136" t="s">
        <v>2453</v>
      </c>
      <c r="G2136">
        <v>63.677297507799999</v>
      </c>
      <c r="H2136" t="s">
        <v>248</v>
      </c>
      <c r="Q2136">
        <v>3321.77045494</v>
      </c>
      <c r="R2136">
        <v>31991.7762721</v>
      </c>
      <c r="S2136">
        <v>-10.8040486893</v>
      </c>
      <c r="T2136">
        <v>-104.525266032</v>
      </c>
      <c r="U2136">
        <v>0</v>
      </c>
      <c r="V2136">
        <v>0</v>
      </c>
    </row>
    <row r="2137" spans="1:22" x14ac:dyDescent="0.2">
      <c r="A2137"/>
      <c r="B2137">
        <v>27008</v>
      </c>
      <c r="C2137" t="s">
        <v>4206</v>
      </c>
      <c r="D2137" t="s">
        <v>1061</v>
      </c>
      <c r="E2137" t="s">
        <v>1200</v>
      </c>
      <c r="F2137" t="s">
        <v>2340</v>
      </c>
      <c r="G2137">
        <v>57.829987645800003</v>
      </c>
      <c r="H2137" t="s">
        <v>248</v>
      </c>
      <c r="Q2137">
        <v>2643.6910507600001</v>
      </c>
      <c r="R2137">
        <v>24186.406094400001</v>
      </c>
      <c r="S2137">
        <v>-11.544453947299999</v>
      </c>
      <c r="T2137">
        <v>-103.579461888</v>
      </c>
      <c r="U2137">
        <v>0</v>
      </c>
      <c r="V2137">
        <v>0</v>
      </c>
    </row>
    <row r="2138" spans="1:22" x14ac:dyDescent="0.2">
      <c r="A2138"/>
      <c r="B2138">
        <v>27009</v>
      </c>
      <c r="C2138" t="s">
        <v>4207</v>
      </c>
      <c r="D2138" t="s">
        <v>1061</v>
      </c>
      <c r="E2138" t="s">
        <v>1200</v>
      </c>
      <c r="F2138" t="s">
        <v>2335</v>
      </c>
      <c r="G2138">
        <v>56.237220448999999</v>
      </c>
      <c r="H2138" t="s">
        <v>248</v>
      </c>
      <c r="Q2138">
        <v>3254.3357735200002</v>
      </c>
      <c r="R2138">
        <v>31627.809984300002</v>
      </c>
      <c r="S2138">
        <v>-10.7991505915</v>
      </c>
      <c r="T2138">
        <v>-94.109058060099997</v>
      </c>
      <c r="U2138">
        <v>0</v>
      </c>
      <c r="V2138">
        <v>0</v>
      </c>
    </row>
    <row r="2139" spans="1:22" x14ac:dyDescent="0.2">
      <c r="A2139"/>
      <c r="B2139">
        <v>27011</v>
      </c>
      <c r="C2139" t="s">
        <v>4208</v>
      </c>
      <c r="D2139" t="s">
        <v>1061</v>
      </c>
      <c r="E2139" t="s">
        <v>1200</v>
      </c>
      <c r="F2139" t="s">
        <v>2325</v>
      </c>
      <c r="G2139">
        <v>52.127028076099997</v>
      </c>
      <c r="H2139" t="s">
        <v>248</v>
      </c>
      <c r="Q2139">
        <v>3397.12768031</v>
      </c>
      <c r="R2139">
        <v>32332.276300500002</v>
      </c>
      <c r="S2139">
        <v>-10.8043237098</v>
      </c>
      <c r="T2139">
        <v>-99.594894579200002</v>
      </c>
      <c r="U2139">
        <v>0</v>
      </c>
      <c r="V2139">
        <v>0</v>
      </c>
    </row>
    <row r="2140" spans="1:22" x14ac:dyDescent="0.2">
      <c r="A2140"/>
      <c r="B2140">
        <v>27013</v>
      </c>
      <c r="C2140" t="s">
        <v>4209</v>
      </c>
      <c r="D2140" t="s">
        <v>1061</v>
      </c>
      <c r="E2140" t="s">
        <v>1200</v>
      </c>
      <c r="F2140" t="s">
        <v>2453</v>
      </c>
      <c r="G2140">
        <v>56.535918348000003</v>
      </c>
      <c r="H2140" t="s">
        <v>248</v>
      </c>
      <c r="Q2140">
        <v>3328.01481612</v>
      </c>
      <c r="R2140">
        <v>31997.535351300001</v>
      </c>
      <c r="S2140">
        <v>-10.804126032499999</v>
      </c>
      <c r="T2140">
        <v>-104.53143579100001</v>
      </c>
      <c r="U2140">
        <v>0</v>
      </c>
      <c r="V2140">
        <v>0</v>
      </c>
    </row>
    <row r="2141" spans="1:22" x14ac:dyDescent="0.2">
      <c r="A2141"/>
      <c r="B2141">
        <v>27015</v>
      </c>
      <c r="C2141" t="s">
        <v>4210</v>
      </c>
      <c r="D2141" t="s">
        <v>1061</v>
      </c>
      <c r="E2141" t="s">
        <v>1200</v>
      </c>
      <c r="F2141" t="s">
        <v>2343</v>
      </c>
      <c r="G2141">
        <v>1239.83919393</v>
      </c>
      <c r="H2141" t="s">
        <v>248</v>
      </c>
      <c r="Q2141">
        <v>2651.4525898299999</v>
      </c>
      <c r="R2141">
        <v>24219.923355499999</v>
      </c>
      <c r="S2141">
        <v>-12.2439922089</v>
      </c>
      <c r="T2141">
        <v>-103.519771006</v>
      </c>
      <c r="U2141">
        <v>0</v>
      </c>
      <c r="V2141">
        <v>0</v>
      </c>
    </row>
    <row r="2142" spans="1:22" x14ac:dyDescent="0.2">
      <c r="A2142"/>
      <c r="B2142">
        <v>27016</v>
      </c>
      <c r="C2142" t="s">
        <v>4211</v>
      </c>
      <c r="D2142" t="s">
        <v>1061</v>
      </c>
      <c r="E2142" t="s">
        <v>1200</v>
      </c>
      <c r="F2142" t="s">
        <v>2340</v>
      </c>
      <c r="G2142">
        <v>720.72397585800002</v>
      </c>
      <c r="H2142" t="s">
        <v>248</v>
      </c>
      <c r="Q2142">
        <v>2546.5106553700002</v>
      </c>
      <c r="R2142">
        <v>23536.937808400002</v>
      </c>
      <c r="S2142">
        <v>-8.5567962477300004</v>
      </c>
      <c r="T2142">
        <v>-90.516696752499996</v>
      </c>
      <c r="U2142">
        <v>0</v>
      </c>
      <c r="V2142">
        <v>0</v>
      </c>
    </row>
    <row r="2143" spans="1:22" x14ac:dyDescent="0.2">
      <c r="A2143"/>
      <c r="B2143">
        <v>27017</v>
      </c>
      <c r="C2143" t="s">
        <v>4212</v>
      </c>
      <c r="D2143" t="s">
        <v>1061</v>
      </c>
      <c r="E2143" t="s">
        <v>1200</v>
      </c>
      <c r="F2143" t="s">
        <v>2354</v>
      </c>
      <c r="G2143">
        <v>53.367526675299999</v>
      </c>
      <c r="H2143" t="s">
        <v>248</v>
      </c>
      <c r="Q2143">
        <v>2545.5102452199999</v>
      </c>
      <c r="R2143">
        <v>23504.724034300001</v>
      </c>
      <c r="S2143">
        <v>-9.1766469839999996</v>
      </c>
      <c r="T2143">
        <v>-90.614224662500007</v>
      </c>
      <c r="U2143">
        <v>0</v>
      </c>
      <c r="V2143">
        <v>0</v>
      </c>
    </row>
    <row r="2144" spans="1:22" x14ac:dyDescent="0.2">
      <c r="A2144"/>
      <c r="B2144">
        <v>27018</v>
      </c>
      <c r="C2144" t="s">
        <v>4213</v>
      </c>
      <c r="D2144" t="s">
        <v>1061</v>
      </c>
      <c r="E2144" t="s">
        <v>1200</v>
      </c>
      <c r="F2144" t="s">
        <v>2486</v>
      </c>
      <c r="G2144">
        <v>22</v>
      </c>
      <c r="H2144" t="s">
        <v>248</v>
      </c>
      <c r="Q2144">
        <v>3385.9695650100002</v>
      </c>
      <c r="R2144">
        <v>32313.870128499999</v>
      </c>
      <c r="S2144">
        <v>-10.7927126213</v>
      </c>
      <c r="T2144">
        <v>-100.757677214</v>
      </c>
      <c r="U2144">
        <v>0</v>
      </c>
      <c r="V2144">
        <v>0</v>
      </c>
    </row>
    <row r="2145" spans="1:22" x14ac:dyDescent="0.2">
      <c r="A2145"/>
      <c r="B2145">
        <v>29000</v>
      </c>
      <c r="C2145" t="s">
        <v>4331</v>
      </c>
      <c r="D2145" t="s">
        <v>1276</v>
      </c>
      <c r="E2145" t="s">
        <v>1057</v>
      </c>
      <c r="F2145" t="s">
        <v>2310</v>
      </c>
      <c r="G2145">
        <v>6552.58</v>
      </c>
      <c r="H2145" t="s">
        <v>1270</v>
      </c>
      <c r="Q2145">
        <v>4085.3598552100002</v>
      </c>
      <c r="R2145">
        <v>33751.858192699998</v>
      </c>
      <c r="S2145">
        <v>-9.9697666010300008</v>
      </c>
      <c r="T2145">
        <v>87.372661829799995</v>
      </c>
      <c r="U2145">
        <v>0</v>
      </c>
      <c r="V2145">
        <v>0</v>
      </c>
    </row>
    <row r="2146" spans="1:22" x14ac:dyDescent="0.2">
      <c r="A2146"/>
      <c r="B2146">
        <v>29001</v>
      </c>
      <c r="C2146" t="s">
        <v>4332</v>
      </c>
      <c r="D2146" t="s">
        <v>4214</v>
      </c>
      <c r="E2146" t="s">
        <v>1057</v>
      </c>
      <c r="F2146" t="s">
        <v>1915</v>
      </c>
      <c r="G2146">
        <v>6613.06</v>
      </c>
      <c r="H2146" t="s">
        <v>1270</v>
      </c>
      <c r="Q2146">
        <v>4094.6344028499998</v>
      </c>
      <c r="R2146">
        <v>33751.587014099998</v>
      </c>
      <c r="S2146">
        <v>-8.1882242012800006</v>
      </c>
      <c r="T2146">
        <v>87.307120497300005</v>
      </c>
      <c r="U2146">
        <v>0</v>
      </c>
      <c r="V2146">
        <v>0</v>
      </c>
    </row>
    <row r="2147" spans="1:22" x14ac:dyDescent="0.2">
      <c r="A2147"/>
      <c r="B2147">
        <v>29002</v>
      </c>
      <c r="C2147" t="s">
        <v>4215</v>
      </c>
      <c r="D2147" t="s">
        <v>4216</v>
      </c>
      <c r="E2147" t="s">
        <v>1060</v>
      </c>
      <c r="F2147" t="s">
        <v>128</v>
      </c>
      <c r="G2147">
        <v>25.18</v>
      </c>
      <c r="H2147" t="s">
        <v>12</v>
      </c>
      <c r="Q2147">
        <v>6817.2315391499997</v>
      </c>
      <c r="R2147">
        <v>36705.578331899997</v>
      </c>
      <c r="S2147">
        <v>-8.3928482939800002</v>
      </c>
      <c r="T2147">
        <v>52.948510586600001</v>
      </c>
      <c r="U2147">
        <v>0</v>
      </c>
      <c r="V2147">
        <v>0</v>
      </c>
    </row>
    <row r="2148" spans="1:22" x14ac:dyDescent="0.2">
      <c r="A2148"/>
      <c r="B2148">
        <v>29003</v>
      </c>
      <c r="C2148" t="s">
        <v>4217</v>
      </c>
      <c r="D2148" t="s">
        <v>4218</v>
      </c>
      <c r="E2148" t="s">
        <v>1060</v>
      </c>
      <c r="F2148" t="s">
        <v>119</v>
      </c>
      <c r="G2148">
        <v>0.01</v>
      </c>
      <c r="H2148" t="s">
        <v>1270</v>
      </c>
      <c r="Q2148">
        <v>6809.8212884699997</v>
      </c>
      <c r="R2148">
        <v>36679.903007699999</v>
      </c>
      <c r="S2148">
        <v>-6.1647445096500002</v>
      </c>
      <c r="T2148">
        <v>-126.674336328</v>
      </c>
      <c r="U2148">
        <v>0</v>
      </c>
      <c r="V2148">
        <v>0</v>
      </c>
    </row>
    <row r="2149" spans="1:22" x14ac:dyDescent="0.2">
      <c r="A2149"/>
      <c r="B2149">
        <v>29004</v>
      </c>
      <c r="C2149" t="s">
        <v>4284</v>
      </c>
      <c r="D2149" t="s">
        <v>4313</v>
      </c>
      <c r="E2149" t="s">
        <v>1200</v>
      </c>
      <c r="F2149" t="s">
        <v>2310</v>
      </c>
      <c r="G2149">
        <v>5752.28</v>
      </c>
      <c r="H2149" t="s">
        <v>1270</v>
      </c>
      <c r="Q2149">
        <v>4127.1523716800002</v>
      </c>
      <c r="R2149">
        <v>34550.852782900001</v>
      </c>
      <c r="S2149">
        <v>-10.533795012100001</v>
      </c>
      <c r="T2149">
        <v>84.051631550899998</v>
      </c>
      <c r="U2149">
        <v>0</v>
      </c>
      <c r="V2149">
        <v>0</v>
      </c>
    </row>
    <row r="2150" spans="1:22" x14ac:dyDescent="0.2">
      <c r="A2150"/>
      <c r="B2150">
        <v>29005</v>
      </c>
      <c r="C2150" t="s">
        <v>4285</v>
      </c>
      <c r="D2150" t="s">
        <v>4314</v>
      </c>
      <c r="E2150" t="s">
        <v>1200</v>
      </c>
      <c r="F2150" t="s">
        <v>2310</v>
      </c>
      <c r="G2150">
        <v>5930.15</v>
      </c>
      <c r="H2150" t="s">
        <v>1270</v>
      </c>
      <c r="Q2150">
        <v>4111.5301288600003</v>
      </c>
      <c r="R2150">
        <v>34373.650040100001</v>
      </c>
      <c r="S2150">
        <v>-13.428539710600001</v>
      </c>
      <c r="T2150">
        <v>85.516592984400006</v>
      </c>
      <c r="U2150">
        <v>0</v>
      </c>
      <c r="V2150">
        <v>0</v>
      </c>
    </row>
    <row r="2151" spans="1:22" x14ac:dyDescent="0.2">
      <c r="A2151"/>
      <c r="B2151">
        <v>29006</v>
      </c>
      <c r="C2151" t="s">
        <v>4286</v>
      </c>
      <c r="D2151" t="s">
        <v>4311</v>
      </c>
      <c r="E2151" t="s">
        <v>1200</v>
      </c>
      <c r="F2151" t="s">
        <v>1915</v>
      </c>
      <c r="G2151">
        <v>5812.76</v>
      </c>
      <c r="H2151" t="s">
        <v>1270</v>
      </c>
      <c r="Q2151">
        <v>4136.5641046700002</v>
      </c>
      <c r="R2151">
        <v>34550.350397499999</v>
      </c>
      <c r="S2151">
        <v>-10.508065639</v>
      </c>
      <c r="T2151">
        <v>83.942287818599993</v>
      </c>
      <c r="U2151">
        <v>0</v>
      </c>
      <c r="V2151">
        <v>0</v>
      </c>
    </row>
    <row r="2152" spans="1:22" x14ac:dyDescent="0.2">
      <c r="A2152"/>
      <c r="B2152">
        <v>29007</v>
      </c>
      <c r="C2152" t="s">
        <v>4287</v>
      </c>
      <c r="D2152" t="s">
        <v>4312</v>
      </c>
      <c r="E2152" t="s">
        <v>1200</v>
      </c>
      <c r="F2152" t="s">
        <v>1915</v>
      </c>
      <c r="G2152">
        <v>5991.6</v>
      </c>
      <c r="H2152" t="s">
        <v>1270</v>
      </c>
      <c r="Q2152">
        <v>4120.6349515299999</v>
      </c>
      <c r="R2152">
        <v>34372.3202762</v>
      </c>
      <c r="S2152">
        <v>-13.396995145</v>
      </c>
      <c r="T2152">
        <v>85.564121241999999</v>
      </c>
      <c r="U2152">
        <v>0</v>
      </c>
      <c r="V2152">
        <v>0</v>
      </c>
    </row>
    <row r="2153" spans="1:22" x14ac:dyDescent="0.2">
      <c r="A2153"/>
      <c r="B2153">
        <v>29008</v>
      </c>
      <c r="C2153" t="s">
        <v>4267</v>
      </c>
      <c r="D2153" t="s">
        <v>4220</v>
      </c>
      <c r="E2153" t="s">
        <v>1200</v>
      </c>
      <c r="F2153" t="s">
        <v>118</v>
      </c>
      <c r="G2153">
        <v>90.4</v>
      </c>
      <c r="H2153" t="s">
        <v>1270</v>
      </c>
      <c r="Q2153">
        <v>6696.5813463100003</v>
      </c>
      <c r="R2153">
        <v>36435.129737900003</v>
      </c>
      <c r="S2153">
        <v>-3.1329197424099999</v>
      </c>
      <c r="T2153">
        <v>-101.49253044300001</v>
      </c>
      <c r="U2153">
        <v>0</v>
      </c>
      <c r="V2153">
        <v>0</v>
      </c>
    </row>
    <row r="2154" spans="1:22" x14ac:dyDescent="0.2">
      <c r="A2154"/>
      <c r="B2154">
        <v>29009</v>
      </c>
      <c r="C2154" t="s">
        <v>4268</v>
      </c>
      <c r="D2154" t="s">
        <v>4220</v>
      </c>
      <c r="E2154" t="s">
        <v>1200</v>
      </c>
      <c r="F2154" t="s">
        <v>127</v>
      </c>
      <c r="G2154">
        <v>183.6</v>
      </c>
      <c r="H2154" t="s">
        <v>1270</v>
      </c>
      <c r="Q2154">
        <v>6687.5617988499998</v>
      </c>
      <c r="R2154">
        <v>36437.482677799999</v>
      </c>
      <c r="S2154">
        <v>-3.15351000219</v>
      </c>
      <c r="T2154">
        <v>-101.70632202500001</v>
      </c>
      <c r="U2154">
        <v>0</v>
      </c>
      <c r="V2154">
        <v>0</v>
      </c>
    </row>
    <row r="2155" spans="1:22" x14ac:dyDescent="0.2">
      <c r="A2155"/>
      <c r="B2155">
        <v>29010</v>
      </c>
      <c r="C2155" t="s">
        <v>4257</v>
      </c>
      <c r="D2155" t="s">
        <v>4220</v>
      </c>
      <c r="E2155" t="s">
        <v>1200</v>
      </c>
      <c r="F2155" t="s">
        <v>92</v>
      </c>
      <c r="G2155">
        <v>5775</v>
      </c>
      <c r="H2155" t="s">
        <v>1270</v>
      </c>
      <c r="Q2155">
        <v>6453.4403990800001</v>
      </c>
      <c r="R2155">
        <v>34840.975444999996</v>
      </c>
      <c r="S2155">
        <v>-1.1907276445399999</v>
      </c>
      <c r="T2155">
        <v>-92.209673633099996</v>
      </c>
      <c r="U2155">
        <v>0</v>
      </c>
      <c r="V2155">
        <v>0</v>
      </c>
    </row>
    <row r="2156" spans="1:22" x14ac:dyDescent="0.2">
      <c r="A2156"/>
      <c r="B2156">
        <v>29011</v>
      </c>
      <c r="C2156" t="s">
        <v>4258</v>
      </c>
      <c r="D2156" t="s">
        <v>4220</v>
      </c>
      <c r="E2156" t="s">
        <v>1200</v>
      </c>
      <c r="F2156" t="s">
        <v>126</v>
      </c>
      <c r="G2156">
        <v>5776.2</v>
      </c>
      <c r="H2156" t="s">
        <v>1270</v>
      </c>
      <c r="Q2156">
        <v>6444.1717785999999</v>
      </c>
      <c r="R2156">
        <v>34842.615044099999</v>
      </c>
      <c r="S2156">
        <v>-1.2561948362599999</v>
      </c>
      <c r="T2156">
        <v>-92.223210674300006</v>
      </c>
      <c r="U2156">
        <v>0</v>
      </c>
      <c r="V2156">
        <v>0</v>
      </c>
    </row>
    <row r="2157" spans="1:22" x14ac:dyDescent="0.2">
      <c r="A2157"/>
      <c r="B2157">
        <v>29012</v>
      </c>
      <c r="C2157" t="s">
        <v>4250</v>
      </c>
      <c r="D2157" t="s">
        <v>4219</v>
      </c>
      <c r="E2157" t="s">
        <v>1200</v>
      </c>
      <c r="F2157" t="s">
        <v>92</v>
      </c>
      <c r="G2157">
        <v>5562.2</v>
      </c>
      <c r="H2157" t="s">
        <v>1270</v>
      </c>
      <c r="Q2157">
        <v>6444.4695358199997</v>
      </c>
      <c r="R2157">
        <v>34628.378310400003</v>
      </c>
      <c r="S2157">
        <v>0.42970078397200001</v>
      </c>
      <c r="T2157">
        <v>-92.692322233599995</v>
      </c>
      <c r="U2157">
        <v>0</v>
      </c>
      <c r="V2157">
        <v>0</v>
      </c>
    </row>
    <row r="2158" spans="1:22" x14ac:dyDescent="0.2">
      <c r="A2158"/>
      <c r="B2158">
        <v>29013</v>
      </c>
      <c r="C2158" t="s">
        <v>4251</v>
      </c>
      <c r="D2158" t="s">
        <v>4219</v>
      </c>
      <c r="E2158" t="s">
        <v>1200</v>
      </c>
      <c r="F2158" t="s">
        <v>126</v>
      </c>
      <c r="G2158">
        <v>5563.3</v>
      </c>
      <c r="H2158" t="s">
        <v>1270</v>
      </c>
      <c r="Q2158">
        <v>6435.2694081999998</v>
      </c>
      <c r="R2158">
        <v>34629.949655299999</v>
      </c>
      <c r="S2158">
        <v>0.37144481610800001</v>
      </c>
      <c r="T2158">
        <v>-92.666715541100004</v>
      </c>
      <c r="U2158">
        <v>0</v>
      </c>
      <c r="V2158">
        <v>0</v>
      </c>
    </row>
    <row r="2159" spans="1:22" x14ac:dyDescent="0.2">
      <c r="A2159"/>
      <c r="B2159">
        <v>29014</v>
      </c>
      <c r="C2159" t="s">
        <v>4269</v>
      </c>
      <c r="D2159" t="s">
        <v>4219</v>
      </c>
      <c r="E2159" t="s">
        <v>1200</v>
      </c>
      <c r="F2159" t="s">
        <v>127</v>
      </c>
      <c r="G2159">
        <v>334.5</v>
      </c>
      <c r="H2159" t="s">
        <v>12</v>
      </c>
      <c r="Q2159">
        <v>6736.4777294699998</v>
      </c>
      <c r="R2159">
        <v>36580.362727300002</v>
      </c>
      <c r="S2159">
        <v>-6.6762973080499997</v>
      </c>
      <c r="T2159">
        <v>63.8768901551</v>
      </c>
      <c r="U2159">
        <v>0</v>
      </c>
      <c r="V2159">
        <v>0</v>
      </c>
    </row>
    <row r="2160" spans="1:22" x14ac:dyDescent="0.2">
      <c r="A2160"/>
      <c r="B2160">
        <v>29015</v>
      </c>
      <c r="C2160" t="s">
        <v>4270</v>
      </c>
      <c r="D2160" t="s">
        <v>4219</v>
      </c>
      <c r="E2160" t="s">
        <v>1200</v>
      </c>
      <c r="F2160" t="s">
        <v>118</v>
      </c>
      <c r="G2160">
        <v>241.3</v>
      </c>
      <c r="H2160" t="s">
        <v>12</v>
      </c>
      <c r="Q2160">
        <v>6745.2419063500001</v>
      </c>
      <c r="R2160">
        <v>36576.899252800002</v>
      </c>
      <c r="S2160">
        <v>-6.7465179552299999</v>
      </c>
      <c r="T2160">
        <v>63.698378033200001</v>
      </c>
      <c r="U2160">
        <v>0</v>
      </c>
      <c r="V2160">
        <v>0</v>
      </c>
    </row>
    <row r="2161" spans="1:22" x14ac:dyDescent="0.2">
      <c r="A2161"/>
      <c r="B2161">
        <v>29020</v>
      </c>
      <c r="C2161" t="s">
        <v>4271</v>
      </c>
      <c r="D2161" t="s">
        <v>4221</v>
      </c>
      <c r="F2161" t="s">
        <v>127</v>
      </c>
      <c r="G2161">
        <v>155</v>
      </c>
      <c r="H2161" t="s">
        <v>248</v>
      </c>
      <c r="Q2161">
        <v>6684.3535324200002</v>
      </c>
      <c r="R2161">
        <v>36408.941476400003</v>
      </c>
      <c r="S2161">
        <v>-4.0067143456099998</v>
      </c>
      <c r="T2161">
        <v>79.308475108799996</v>
      </c>
      <c r="U2161">
        <v>0</v>
      </c>
      <c r="V2161">
        <v>0</v>
      </c>
    </row>
    <row r="2162" spans="1:22" x14ac:dyDescent="0.2">
      <c r="A2162"/>
      <c r="B2162">
        <v>29020</v>
      </c>
      <c r="C2162" t="s">
        <v>4271</v>
      </c>
      <c r="D2162" t="s">
        <v>4221</v>
      </c>
      <c r="F2162" t="s">
        <v>118</v>
      </c>
      <c r="G2162">
        <v>63</v>
      </c>
      <c r="H2162" t="s">
        <v>248</v>
      </c>
      <c r="Q2162">
        <v>6684.3535324200002</v>
      </c>
      <c r="R2162">
        <v>36408.941476400003</v>
      </c>
      <c r="S2162">
        <v>-4.0067143456099998</v>
      </c>
      <c r="T2162">
        <v>79.308475108799996</v>
      </c>
      <c r="U2162">
        <v>0</v>
      </c>
      <c r="V2162">
        <v>0</v>
      </c>
    </row>
    <row r="2163" spans="1:22" x14ac:dyDescent="0.2">
      <c r="A2163"/>
      <c r="B2163">
        <v>29029</v>
      </c>
      <c r="C2163" t="s">
        <v>4288</v>
      </c>
      <c r="D2163" t="s">
        <v>4311</v>
      </c>
      <c r="E2163" t="s">
        <v>1200</v>
      </c>
      <c r="F2163" t="s">
        <v>2310</v>
      </c>
      <c r="G2163">
        <v>6130.18</v>
      </c>
      <c r="H2163" t="s">
        <v>12</v>
      </c>
      <c r="Q2163">
        <v>4097.0487028500002</v>
      </c>
      <c r="R2163">
        <v>34174.133127100002</v>
      </c>
      <c r="S2163">
        <v>-12.586678589</v>
      </c>
      <c r="T2163">
        <v>-93.162149932600002</v>
      </c>
      <c r="U2163">
        <v>0</v>
      </c>
      <c r="V2163">
        <v>0</v>
      </c>
    </row>
    <row r="2164" spans="1:22" x14ac:dyDescent="0.2">
      <c r="A2164"/>
      <c r="B2164">
        <v>29030</v>
      </c>
      <c r="C2164" t="s">
        <v>4289</v>
      </c>
      <c r="D2164" t="s">
        <v>4313</v>
      </c>
      <c r="E2164" t="s">
        <v>1200</v>
      </c>
      <c r="F2164" t="s">
        <v>1915</v>
      </c>
      <c r="G2164">
        <v>6190.85</v>
      </c>
      <c r="H2164" t="s">
        <v>12</v>
      </c>
      <c r="Q2164">
        <v>4106.1914048400004</v>
      </c>
      <c r="R2164">
        <v>34173.680983300001</v>
      </c>
      <c r="S2164">
        <v>-12.5131457968</v>
      </c>
      <c r="T2164">
        <v>-93.093611649600007</v>
      </c>
      <c r="U2164">
        <v>0</v>
      </c>
      <c r="V2164">
        <v>0</v>
      </c>
    </row>
    <row r="2165" spans="1:22" x14ac:dyDescent="0.2">
      <c r="A2165"/>
      <c r="B2165">
        <v>29031</v>
      </c>
      <c r="C2165" t="s">
        <v>4290</v>
      </c>
      <c r="D2165" t="s">
        <v>4312</v>
      </c>
      <c r="E2165" t="s">
        <v>1200</v>
      </c>
      <c r="F2165" t="s">
        <v>2310</v>
      </c>
      <c r="G2165">
        <v>5630.1</v>
      </c>
      <c r="H2165" t="s">
        <v>12</v>
      </c>
      <c r="Q2165">
        <v>4139.1725239500001</v>
      </c>
      <c r="R2165">
        <v>34672.370291500003</v>
      </c>
      <c r="S2165">
        <v>-10.312544283199999</v>
      </c>
      <c r="T2165">
        <v>-94.038078601799995</v>
      </c>
      <c r="U2165">
        <v>0</v>
      </c>
      <c r="V2165">
        <v>0</v>
      </c>
    </row>
    <row r="2166" spans="1:22" x14ac:dyDescent="0.2">
      <c r="A2166"/>
      <c r="B2166">
        <v>29032</v>
      </c>
      <c r="C2166" t="s">
        <v>4291</v>
      </c>
      <c r="D2166" t="s">
        <v>4314</v>
      </c>
      <c r="E2166" t="s">
        <v>1200</v>
      </c>
      <c r="F2166" t="s">
        <v>1915</v>
      </c>
      <c r="G2166">
        <v>5691.5</v>
      </c>
      <c r="H2166" t="s">
        <v>12</v>
      </c>
      <c r="Q2166">
        <v>4148.4428856499999</v>
      </c>
      <c r="R2166">
        <v>34671.106556699997</v>
      </c>
      <c r="S2166">
        <v>-10.286025496500001</v>
      </c>
      <c r="T2166">
        <v>-94.080915374699998</v>
      </c>
      <c r="U2166">
        <v>0</v>
      </c>
      <c r="V2166">
        <v>0</v>
      </c>
    </row>
    <row r="2167" spans="1:22" x14ac:dyDescent="0.2">
      <c r="A2167"/>
      <c r="B2167">
        <v>29033</v>
      </c>
      <c r="C2167" t="s">
        <v>4333</v>
      </c>
      <c r="D2167" t="s">
        <v>4214</v>
      </c>
      <c r="E2167" t="s">
        <v>1057</v>
      </c>
      <c r="F2167" t="s">
        <v>2310</v>
      </c>
      <c r="G2167">
        <v>5301.78</v>
      </c>
      <c r="H2167" t="s">
        <v>12</v>
      </c>
      <c r="Q2167">
        <v>4126.8620945399998</v>
      </c>
      <c r="R2167">
        <v>35000.1137294</v>
      </c>
      <c r="S2167">
        <v>-8.1497699060599995</v>
      </c>
      <c r="T2167">
        <v>-88.945002277</v>
      </c>
      <c r="U2167">
        <v>0</v>
      </c>
      <c r="V2167">
        <v>0</v>
      </c>
    </row>
    <row r="2168" spans="1:22" x14ac:dyDescent="0.2">
      <c r="A2168"/>
      <c r="B2168">
        <v>29034</v>
      </c>
      <c r="C2168" t="s">
        <v>4334</v>
      </c>
      <c r="D2168" t="s">
        <v>1276</v>
      </c>
      <c r="E2168" t="s">
        <v>1057</v>
      </c>
      <c r="F2168" t="s">
        <v>1915</v>
      </c>
      <c r="G2168">
        <v>5362.6750000000002</v>
      </c>
      <c r="H2168" t="s">
        <v>12</v>
      </c>
      <c r="Q2168">
        <v>4136.1449345000001</v>
      </c>
      <c r="R2168">
        <v>34999.742543300003</v>
      </c>
      <c r="S2168">
        <v>-8.0907292100300001</v>
      </c>
      <c r="T2168">
        <v>-88.971428708600001</v>
      </c>
      <c r="U2168">
        <v>0</v>
      </c>
      <c r="V2168">
        <v>0</v>
      </c>
    </row>
    <row r="2169" spans="1:22" x14ac:dyDescent="0.2">
      <c r="A2169"/>
      <c r="B2169">
        <v>29035</v>
      </c>
      <c r="C2169" t="s">
        <v>4335</v>
      </c>
      <c r="D2169" t="s">
        <v>4214</v>
      </c>
      <c r="E2169" t="s">
        <v>1058</v>
      </c>
      <c r="F2169" t="s">
        <v>2310</v>
      </c>
      <c r="G2169">
        <v>5540.25</v>
      </c>
      <c r="H2169" t="s">
        <v>12</v>
      </c>
      <c r="Q2169">
        <v>4137.4237513400003</v>
      </c>
      <c r="R2169">
        <v>34761.760648000003</v>
      </c>
      <c r="S2169">
        <v>-7.4156063576899998</v>
      </c>
      <c r="T2169">
        <v>-85.391876184099999</v>
      </c>
      <c r="U2169">
        <v>0</v>
      </c>
      <c r="V2169">
        <v>0</v>
      </c>
    </row>
    <row r="2170" spans="1:22" x14ac:dyDescent="0.2">
      <c r="A2170"/>
      <c r="B2170">
        <v>29036</v>
      </c>
      <c r="C2170" t="s">
        <v>4336</v>
      </c>
      <c r="D2170" t="s">
        <v>1276</v>
      </c>
      <c r="E2170" t="s">
        <v>1058</v>
      </c>
      <c r="F2170" t="s">
        <v>1915</v>
      </c>
      <c r="G2170">
        <v>5601.8</v>
      </c>
      <c r="H2170" t="s">
        <v>12</v>
      </c>
      <c r="Q2170">
        <v>4146.8430091800001</v>
      </c>
      <c r="R2170">
        <v>34761.016209499998</v>
      </c>
      <c r="S2170">
        <v>-7.3948201466599999</v>
      </c>
      <c r="T2170">
        <v>-85.358486635099993</v>
      </c>
      <c r="U2170">
        <v>0</v>
      </c>
      <c r="V2170">
        <v>0</v>
      </c>
    </row>
    <row r="2171" spans="1:22" x14ac:dyDescent="0.2">
      <c r="A2171"/>
      <c r="B2171">
        <v>29037</v>
      </c>
      <c r="C2171" t="s">
        <v>4272</v>
      </c>
      <c r="D2171" t="s">
        <v>1055</v>
      </c>
      <c r="E2171" t="s">
        <v>1058</v>
      </c>
      <c r="F2171" t="s">
        <v>92</v>
      </c>
      <c r="G2171">
        <v>7093.14</v>
      </c>
      <c r="H2171" t="s">
        <v>12</v>
      </c>
      <c r="Q2171">
        <v>6641.1154457800003</v>
      </c>
      <c r="R2171">
        <v>36141.6178267</v>
      </c>
      <c r="S2171">
        <v>-0.20716269245300001</v>
      </c>
      <c r="T2171">
        <v>79.060346671700003</v>
      </c>
      <c r="U2171">
        <v>0</v>
      </c>
      <c r="V2171">
        <v>0</v>
      </c>
    </row>
    <row r="2172" spans="1:22" x14ac:dyDescent="0.2">
      <c r="A2172"/>
      <c r="B2172">
        <v>29038</v>
      </c>
      <c r="C2172" t="s">
        <v>4263</v>
      </c>
      <c r="D2172" t="s">
        <v>1055</v>
      </c>
      <c r="E2172" t="s">
        <v>1058</v>
      </c>
      <c r="F2172" t="s">
        <v>126</v>
      </c>
      <c r="G2172">
        <v>7094.3</v>
      </c>
      <c r="H2172" t="s">
        <v>12</v>
      </c>
      <c r="Q2172">
        <v>6632.0496841599997</v>
      </c>
      <c r="R2172">
        <v>36143.8539695</v>
      </c>
      <c r="S2172">
        <v>-0.24703203654200001</v>
      </c>
      <c r="T2172">
        <v>79.080316288399999</v>
      </c>
      <c r="U2172">
        <v>0</v>
      </c>
      <c r="V2172">
        <v>0</v>
      </c>
    </row>
    <row r="2173" spans="1:22" x14ac:dyDescent="0.2">
      <c r="A2173"/>
      <c r="B2173">
        <v>29039</v>
      </c>
      <c r="C2173" t="s">
        <v>4273</v>
      </c>
      <c r="D2173" t="s">
        <v>1055</v>
      </c>
      <c r="E2173" t="s">
        <v>1057</v>
      </c>
      <c r="F2173" t="s">
        <v>92</v>
      </c>
      <c r="G2173">
        <v>6886.16</v>
      </c>
      <c r="H2173" t="s">
        <v>12</v>
      </c>
      <c r="Q2173">
        <v>6601.6040043000003</v>
      </c>
      <c r="R2173">
        <v>35938.446427199997</v>
      </c>
      <c r="S2173">
        <v>-0.22357497139800001</v>
      </c>
      <c r="T2173">
        <v>79.099396962</v>
      </c>
      <c r="U2173">
        <v>0</v>
      </c>
      <c r="V2173">
        <v>0</v>
      </c>
    </row>
    <row r="2174" spans="1:22" x14ac:dyDescent="0.2">
      <c r="A2174"/>
      <c r="B2174">
        <v>29040</v>
      </c>
      <c r="C2174" t="s">
        <v>4264</v>
      </c>
      <c r="D2174" t="s">
        <v>1055</v>
      </c>
      <c r="E2174" t="s">
        <v>1057</v>
      </c>
      <c r="F2174" t="s">
        <v>126</v>
      </c>
      <c r="G2174">
        <v>6887.3</v>
      </c>
      <c r="H2174" t="s">
        <v>12</v>
      </c>
      <c r="Q2174">
        <v>6592.5097183600001</v>
      </c>
      <c r="R2174">
        <v>35940.6659335</v>
      </c>
      <c r="S2174">
        <v>-0.252314349971</v>
      </c>
      <c r="T2174">
        <v>79.064211556399997</v>
      </c>
      <c r="U2174">
        <v>0</v>
      </c>
      <c r="V2174">
        <v>0</v>
      </c>
    </row>
    <row r="2175" spans="1:22" x14ac:dyDescent="0.2">
      <c r="A2175"/>
      <c r="B2175">
        <v>29041</v>
      </c>
      <c r="C2175" t="s">
        <v>4274</v>
      </c>
      <c r="D2175" t="s">
        <v>4220</v>
      </c>
      <c r="E2175" t="s">
        <v>1200</v>
      </c>
      <c r="F2175" t="s">
        <v>127</v>
      </c>
      <c r="G2175">
        <v>124.4</v>
      </c>
      <c r="H2175" t="s">
        <v>12</v>
      </c>
      <c r="Q2175">
        <v>6678.6806717500003</v>
      </c>
      <c r="R2175">
        <v>36378.871495699997</v>
      </c>
      <c r="S2175">
        <v>-1.11676520174E-2</v>
      </c>
      <c r="T2175">
        <v>79.324877866199998</v>
      </c>
      <c r="U2175">
        <v>0</v>
      </c>
      <c r="V2175">
        <v>0</v>
      </c>
    </row>
    <row r="2176" spans="1:22" x14ac:dyDescent="0.2">
      <c r="A2176"/>
      <c r="B2176">
        <v>29042</v>
      </c>
      <c r="C2176" t="s">
        <v>4261</v>
      </c>
      <c r="D2176" t="s">
        <v>4219</v>
      </c>
      <c r="E2176" t="s">
        <v>1200</v>
      </c>
      <c r="F2176" t="s">
        <v>92</v>
      </c>
      <c r="G2176">
        <v>5893.2</v>
      </c>
      <c r="H2176" t="s">
        <v>12</v>
      </c>
      <c r="Q2176">
        <v>6457.7627837099999</v>
      </c>
      <c r="R2176">
        <v>34959.103762899998</v>
      </c>
      <c r="S2176">
        <v>-1.2011349149599999</v>
      </c>
      <c r="T2176">
        <v>87.985652091999995</v>
      </c>
      <c r="U2176">
        <v>0</v>
      </c>
      <c r="V2176">
        <v>0</v>
      </c>
    </row>
    <row r="2177" spans="1:22" x14ac:dyDescent="0.2">
      <c r="A2177"/>
      <c r="B2177">
        <v>29043</v>
      </c>
      <c r="C2177" t="s">
        <v>4262</v>
      </c>
      <c r="D2177" t="s">
        <v>4219</v>
      </c>
      <c r="E2177" t="s">
        <v>1200</v>
      </c>
      <c r="F2177" t="s">
        <v>126</v>
      </c>
      <c r="G2177">
        <v>5894.3</v>
      </c>
      <c r="H2177" t="s">
        <v>12</v>
      </c>
      <c r="Q2177">
        <v>6448.4477558400004</v>
      </c>
      <c r="R2177">
        <v>34960.6249838</v>
      </c>
      <c r="S2177">
        <v>-1.2460124769700001</v>
      </c>
      <c r="T2177">
        <v>88.080487325899995</v>
      </c>
      <c r="U2177">
        <v>0</v>
      </c>
      <c r="V2177">
        <v>0</v>
      </c>
    </row>
    <row r="2178" spans="1:22" x14ac:dyDescent="0.2">
      <c r="A2178"/>
      <c r="B2178">
        <v>29044</v>
      </c>
      <c r="C2178" t="s">
        <v>4259</v>
      </c>
      <c r="D2178" t="s">
        <v>4220</v>
      </c>
      <c r="E2178" t="s">
        <v>1200</v>
      </c>
      <c r="F2178" t="s">
        <v>92</v>
      </c>
      <c r="G2178">
        <v>5622.2</v>
      </c>
      <c r="H2178" t="s">
        <v>12</v>
      </c>
      <c r="Q2178">
        <v>6447.3053787400004</v>
      </c>
      <c r="R2178">
        <v>34688.300388600001</v>
      </c>
      <c r="S2178">
        <v>-0.68337541281600001</v>
      </c>
      <c r="T2178">
        <v>87.481857087899996</v>
      </c>
      <c r="U2178">
        <v>0</v>
      </c>
      <c r="V2178">
        <v>0</v>
      </c>
    </row>
    <row r="2179" spans="1:22" x14ac:dyDescent="0.2">
      <c r="A2179"/>
      <c r="B2179">
        <v>29045</v>
      </c>
      <c r="C2179" t="s">
        <v>4260</v>
      </c>
      <c r="D2179" t="s">
        <v>4220</v>
      </c>
      <c r="E2179" t="s">
        <v>1200</v>
      </c>
      <c r="F2179" t="s">
        <v>126</v>
      </c>
      <c r="G2179">
        <v>5623.45</v>
      </c>
      <c r="H2179" t="s">
        <v>12</v>
      </c>
      <c r="Q2179">
        <v>6437.9551884900002</v>
      </c>
      <c r="R2179">
        <v>34690.016896499998</v>
      </c>
      <c r="S2179">
        <v>-0.74655071163700004</v>
      </c>
      <c r="T2179">
        <v>87.458951531899999</v>
      </c>
      <c r="U2179">
        <v>0</v>
      </c>
      <c r="V2179">
        <v>0</v>
      </c>
    </row>
    <row r="2180" spans="1:22" x14ac:dyDescent="0.2">
      <c r="A2180"/>
      <c r="B2180">
        <v>29046</v>
      </c>
      <c r="C2180" t="s">
        <v>4252</v>
      </c>
      <c r="D2180" t="s">
        <v>1055</v>
      </c>
      <c r="E2180" t="s">
        <v>1058</v>
      </c>
      <c r="F2180" t="s">
        <v>92</v>
      </c>
      <c r="G2180">
        <v>5471.2</v>
      </c>
      <c r="H2180" t="s">
        <v>12</v>
      </c>
      <c r="Q2180">
        <v>6440.0312014399997</v>
      </c>
      <c r="R2180">
        <v>34537.565822600001</v>
      </c>
      <c r="S2180">
        <v>5.2645094346299999</v>
      </c>
      <c r="T2180">
        <v>87.249950755200004</v>
      </c>
      <c r="U2180">
        <v>0</v>
      </c>
      <c r="V2180">
        <v>0</v>
      </c>
    </row>
    <row r="2181" spans="1:22" x14ac:dyDescent="0.2">
      <c r="A2181"/>
      <c r="B2181">
        <v>29047</v>
      </c>
      <c r="C2181" t="s">
        <v>4253</v>
      </c>
      <c r="D2181" t="s">
        <v>1055</v>
      </c>
      <c r="E2181" t="s">
        <v>1058</v>
      </c>
      <c r="F2181" t="s">
        <v>126</v>
      </c>
      <c r="G2181">
        <v>5472.5</v>
      </c>
      <c r="H2181" t="s">
        <v>12</v>
      </c>
      <c r="Q2181">
        <v>6430.76961097</v>
      </c>
      <c r="R2181">
        <v>34539.344277299999</v>
      </c>
      <c r="S2181">
        <v>5.1797232614800004</v>
      </c>
      <c r="T2181">
        <v>87.257021374100006</v>
      </c>
      <c r="U2181">
        <v>0</v>
      </c>
      <c r="V2181">
        <v>0</v>
      </c>
    </row>
    <row r="2182" spans="1:22" x14ac:dyDescent="0.2">
      <c r="A2182"/>
      <c r="B2182">
        <v>29048</v>
      </c>
      <c r="C2182" t="s">
        <v>4254</v>
      </c>
      <c r="D2182" t="s">
        <v>1055</v>
      </c>
      <c r="E2182" t="s">
        <v>1057</v>
      </c>
      <c r="F2182" t="s">
        <v>92</v>
      </c>
      <c r="G2182">
        <v>5173.2</v>
      </c>
      <c r="H2182" t="s">
        <v>12</v>
      </c>
      <c r="Q2182">
        <v>6444.2640160399997</v>
      </c>
      <c r="R2182">
        <v>34241.078222999997</v>
      </c>
      <c r="S2182">
        <v>9.6719527059099999</v>
      </c>
      <c r="T2182">
        <v>102.446920891</v>
      </c>
      <c r="U2182">
        <v>0</v>
      </c>
      <c r="V2182">
        <v>0</v>
      </c>
    </row>
    <row r="2183" spans="1:22" x14ac:dyDescent="0.2">
      <c r="A2183"/>
      <c r="B2183">
        <v>29049</v>
      </c>
      <c r="C2183" t="s">
        <v>4255</v>
      </c>
      <c r="D2183" t="s">
        <v>1055</v>
      </c>
      <c r="E2183" t="s">
        <v>1057</v>
      </c>
      <c r="F2183" t="s">
        <v>126</v>
      </c>
      <c r="G2183">
        <v>5174.3999999999996</v>
      </c>
      <c r="H2183" t="s">
        <v>12</v>
      </c>
      <c r="Q2183">
        <v>6434.6669673799997</v>
      </c>
      <c r="R2183">
        <v>34241.567654699997</v>
      </c>
      <c r="S2183">
        <v>9.6497849605900008</v>
      </c>
      <c r="T2183">
        <v>102.090618276</v>
      </c>
      <c r="U2183">
        <v>0</v>
      </c>
      <c r="V2183">
        <v>0</v>
      </c>
    </row>
    <row r="2184" spans="1:22" x14ac:dyDescent="0.2">
      <c r="A2184"/>
      <c r="B2184">
        <v>29050</v>
      </c>
      <c r="C2184" t="s">
        <v>4256</v>
      </c>
      <c r="D2184" t="s">
        <v>4221</v>
      </c>
      <c r="F2184" t="s">
        <v>92</v>
      </c>
      <c r="G2184">
        <v>5711.5</v>
      </c>
      <c r="H2184" t="s">
        <v>248</v>
      </c>
      <c r="Q2184">
        <v>6448.7979669300003</v>
      </c>
      <c r="R2184">
        <v>34777.607519899997</v>
      </c>
      <c r="S2184">
        <v>-2.0622029292700002</v>
      </c>
      <c r="T2184">
        <v>87.649319795099998</v>
      </c>
      <c r="U2184">
        <v>0</v>
      </c>
      <c r="V2184">
        <v>0</v>
      </c>
    </row>
    <row r="2185" spans="1:22" x14ac:dyDescent="0.2">
      <c r="A2185"/>
      <c r="B2185">
        <v>29050</v>
      </c>
      <c r="C2185" t="s">
        <v>4256</v>
      </c>
      <c r="D2185" t="s">
        <v>4221</v>
      </c>
      <c r="F2185" t="s">
        <v>126</v>
      </c>
      <c r="G2185">
        <v>5713</v>
      </c>
      <c r="H2185" t="s">
        <v>248</v>
      </c>
      <c r="Q2185">
        <v>6448.7979669300003</v>
      </c>
      <c r="R2185">
        <v>34777.607519899997</v>
      </c>
      <c r="S2185">
        <v>-2.0622029292700002</v>
      </c>
      <c r="T2185">
        <v>87.649319795099998</v>
      </c>
      <c r="U2185">
        <v>0</v>
      </c>
      <c r="V2185">
        <v>0</v>
      </c>
    </row>
    <row r="2186" spans="1:22" x14ac:dyDescent="0.2">
      <c r="A2186"/>
      <c r="B2186">
        <v>29052</v>
      </c>
      <c r="C2186" t="s">
        <v>4276</v>
      </c>
      <c r="D2186" t="s">
        <v>1055</v>
      </c>
      <c r="E2186" t="s">
        <v>1057</v>
      </c>
      <c r="F2186" t="s">
        <v>1920</v>
      </c>
      <c r="G2186">
        <v>290.3</v>
      </c>
      <c r="H2186" t="s">
        <v>1270</v>
      </c>
      <c r="Q2186">
        <v>7008.1008079000003</v>
      </c>
      <c r="R2186">
        <v>36945.149160300003</v>
      </c>
      <c r="S2186">
        <v>-5.3928487063299997</v>
      </c>
      <c r="T2186">
        <v>-126.83414761100001</v>
      </c>
      <c r="U2186">
        <v>0</v>
      </c>
      <c r="V2186">
        <v>0</v>
      </c>
    </row>
    <row r="2187" spans="1:22" x14ac:dyDescent="0.2">
      <c r="A2187"/>
      <c r="B2187">
        <v>29053</v>
      </c>
      <c r="C2187" t="s">
        <v>4277</v>
      </c>
      <c r="D2187" t="s">
        <v>1055</v>
      </c>
      <c r="E2187" t="s">
        <v>1057</v>
      </c>
      <c r="F2187" t="s">
        <v>2302</v>
      </c>
      <c r="G2187">
        <v>210.7</v>
      </c>
      <c r="H2187" t="s">
        <v>1270</v>
      </c>
      <c r="Q2187">
        <v>6999.5692966300003</v>
      </c>
      <c r="R2187">
        <v>36949.355103000002</v>
      </c>
      <c r="S2187">
        <v>-5.3933766883300001</v>
      </c>
      <c r="T2187">
        <v>-126.839197102</v>
      </c>
      <c r="U2187">
        <v>0</v>
      </c>
      <c r="V2187">
        <v>0</v>
      </c>
    </row>
    <row r="2188" spans="1:22" x14ac:dyDescent="0.2">
      <c r="A2188"/>
      <c r="B2188">
        <v>29054</v>
      </c>
      <c r="C2188" t="s">
        <v>4278</v>
      </c>
      <c r="D2188" t="s">
        <v>1055</v>
      </c>
      <c r="E2188" t="s">
        <v>1058</v>
      </c>
      <c r="F2188" t="s">
        <v>118</v>
      </c>
      <c r="G2188">
        <v>303.89999999999998</v>
      </c>
      <c r="H2188" t="s">
        <v>1270</v>
      </c>
      <c r="Q2188">
        <v>6775.8384526299997</v>
      </c>
      <c r="R2188">
        <v>36631.190943499998</v>
      </c>
      <c r="S2188">
        <v>-5.2278628674899998</v>
      </c>
      <c r="T2188">
        <v>-122.486133455</v>
      </c>
      <c r="U2188">
        <v>0</v>
      </c>
      <c r="V2188">
        <v>0</v>
      </c>
    </row>
    <row r="2189" spans="1:22" x14ac:dyDescent="0.2">
      <c r="A2189"/>
      <c r="B2189">
        <v>29055</v>
      </c>
      <c r="C2189" t="s">
        <v>4279</v>
      </c>
      <c r="D2189" t="s">
        <v>1055</v>
      </c>
      <c r="E2189" t="s">
        <v>1058</v>
      </c>
      <c r="F2189" t="s">
        <v>127</v>
      </c>
      <c r="G2189">
        <v>398.15</v>
      </c>
      <c r="H2189" t="s">
        <v>1270</v>
      </c>
      <c r="Q2189">
        <v>6767.7057437100002</v>
      </c>
      <c r="R2189">
        <v>36636.054573100002</v>
      </c>
      <c r="S2189">
        <v>-5.2139220168799998</v>
      </c>
      <c r="T2189">
        <v>-122.45616928299999</v>
      </c>
      <c r="U2189">
        <v>0</v>
      </c>
      <c r="V2189">
        <v>0</v>
      </c>
    </row>
    <row r="2190" spans="1:22" x14ac:dyDescent="0.2">
      <c r="A2190"/>
      <c r="B2190">
        <v>29056</v>
      </c>
      <c r="C2190" t="s">
        <v>4337</v>
      </c>
      <c r="D2190" t="s">
        <v>1276</v>
      </c>
      <c r="E2190" t="s">
        <v>1058</v>
      </c>
      <c r="F2190" t="s">
        <v>2310</v>
      </c>
      <c r="G2190">
        <v>6261.5</v>
      </c>
      <c r="H2190" t="s">
        <v>1270</v>
      </c>
      <c r="Q2190">
        <v>4092.6984550400002</v>
      </c>
      <c r="R2190">
        <v>34042.858137900002</v>
      </c>
      <c r="S2190">
        <v>-8.4539898219899996</v>
      </c>
      <c r="T2190">
        <v>88.553500441899999</v>
      </c>
      <c r="U2190">
        <v>0</v>
      </c>
      <c r="V2190">
        <v>0</v>
      </c>
    </row>
    <row r="2191" spans="1:22" x14ac:dyDescent="0.2">
      <c r="A2191"/>
      <c r="B2191">
        <v>29057</v>
      </c>
      <c r="C2191" t="s">
        <v>4338</v>
      </c>
      <c r="D2191" t="s">
        <v>4214</v>
      </c>
      <c r="E2191" t="s">
        <v>1058</v>
      </c>
      <c r="F2191" t="s">
        <v>1915</v>
      </c>
      <c r="G2191">
        <v>6321.9</v>
      </c>
      <c r="H2191" t="s">
        <v>1270</v>
      </c>
      <c r="Q2191">
        <v>4101.8506583799999</v>
      </c>
      <c r="R2191">
        <v>34042.807444999999</v>
      </c>
      <c r="S2191">
        <v>-7.1466231984200004</v>
      </c>
      <c r="T2191">
        <v>88.523973015500005</v>
      </c>
      <c r="U2191">
        <v>0</v>
      </c>
      <c r="V2191">
        <v>0</v>
      </c>
    </row>
    <row r="2192" spans="1:22" x14ac:dyDescent="0.2">
      <c r="A2192"/>
      <c r="B2192">
        <v>29060</v>
      </c>
      <c r="C2192" t="s">
        <v>4275</v>
      </c>
      <c r="D2192" t="s">
        <v>4220</v>
      </c>
      <c r="E2192" t="s">
        <v>1200</v>
      </c>
      <c r="F2192" t="s">
        <v>127</v>
      </c>
      <c r="G2192">
        <v>124</v>
      </c>
      <c r="H2192" t="s">
        <v>12</v>
      </c>
      <c r="Q2192">
        <v>6683.1269701900001</v>
      </c>
      <c r="R2192">
        <v>36377.626337499998</v>
      </c>
      <c r="S2192">
        <v>-1.12084584473E-2</v>
      </c>
      <c r="T2192">
        <v>79.325113192299995</v>
      </c>
      <c r="U2192">
        <v>0</v>
      </c>
      <c r="V2192">
        <v>0</v>
      </c>
    </row>
    <row r="2193" spans="1:22" x14ac:dyDescent="0.2">
      <c r="A2193"/>
      <c r="B2193">
        <v>29063</v>
      </c>
      <c r="C2193" t="s">
        <v>4265</v>
      </c>
      <c r="D2193" t="s">
        <v>4219</v>
      </c>
      <c r="E2193" t="s">
        <v>1200</v>
      </c>
      <c r="F2193" t="s">
        <v>1078</v>
      </c>
      <c r="G2193">
        <v>77.05</v>
      </c>
      <c r="H2193" t="s">
        <v>1270</v>
      </c>
      <c r="Q2193">
        <v>6677.9383899799996</v>
      </c>
      <c r="R2193">
        <v>36321.449610099997</v>
      </c>
      <c r="S2193">
        <v>3.0086286711700001E-2</v>
      </c>
      <c r="T2193">
        <v>-100.63939112</v>
      </c>
      <c r="U2193">
        <v>0</v>
      </c>
      <c r="V2193">
        <v>0</v>
      </c>
    </row>
    <row r="2194" spans="1:22" x14ac:dyDescent="0.2">
      <c r="A2194"/>
      <c r="B2194">
        <v>29064</v>
      </c>
      <c r="C2194" t="s">
        <v>4266</v>
      </c>
      <c r="D2194" t="s">
        <v>4219</v>
      </c>
      <c r="E2194" t="s">
        <v>1200</v>
      </c>
      <c r="F2194" t="s">
        <v>127</v>
      </c>
      <c r="G2194">
        <v>67.8</v>
      </c>
      <c r="H2194" t="s">
        <v>1270</v>
      </c>
      <c r="Q2194">
        <v>6668.2141012100001</v>
      </c>
      <c r="R2194">
        <v>36323.2483097</v>
      </c>
      <c r="S2194">
        <v>-1.2476705491999999E-2</v>
      </c>
      <c r="T2194">
        <v>-100.636459293</v>
      </c>
      <c r="U2194">
        <v>0</v>
      </c>
      <c r="V2194">
        <v>0</v>
      </c>
    </row>
    <row r="2195" spans="1:22" x14ac:dyDescent="0.2">
      <c r="A2195"/>
      <c r="B2195">
        <v>29065</v>
      </c>
      <c r="C2195" t="s">
        <v>4293</v>
      </c>
      <c r="D2195" t="s">
        <v>4314</v>
      </c>
      <c r="E2195" t="s">
        <v>1200</v>
      </c>
      <c r="F2195" t="s">
        <v>2320</v>
      </c>
      <c r="G2195">
        <v>2613.65</v>
      </c>
      <c r="H2195" t="s">
        <v>12</v>
      </c>
      <c r="Q2195">
        <v>3374.8930397099998</v>
      </c>
      <c r="R2195">
        <v>29428.275415</v>
      </c>
      <c r="S2195">
        <v>-17.2321293834</v>
      </c>
      <c r="T2195">
        <v>-78.661270638999994</v>
      </c>
      <c r="U2195">
        <v>0</v>
      </c>
      <c r="V2195">
        <v>0</v>
      </c>
    </row>
    <row r="2196" spans="1:22" x14ac:dyDescent="0.2">
      <c r="A2196"/>
      <c r="B2196">
        <v>29066</v>
      </c>
      <c r="C2196" t="s">
        <v>4294</v>
      </c>
      <c r="D2196" t="s">
        <v>4312</v>
      </c>
      <c r="E2196" t="s">
        <v>1200</v>
      </c>
      <c r="F2196" t="s">
        <v>2335</v>
      </c>
      <c r="G2196">
        <v>2277.75</v>
      </c>
      <c r="H2196" t="s">
        <v>12</v>
      </c>
      <c r="Q2196">
        <v>3365.4313863500001</v>
      </c>
      <c r="R2196">
        <v>29428.816364099999</v>
      </c>
      <c r="S2196">
        <v>-17.258827137899999</v>
      </c>
      <c r="T2196">
        <v>-79.063956727600001</v>
      </c>
      <c r="U2196">
        <v>0</v>
      </c>
      <c r="V2196">
        <v>0</v>
      </c>
    </row>
    <row r="2197" spans="1:22" x14ac:dyDescent="0.2">
      <c r="A2197"/>
      <c r="B2197">
        <v>29071</v>
      </c>
      <c r="C2197" t="s">
        <v>4295</v>
      </c>
      <c r="D2197" t="s">
        <v>4313</v>
      </c>
      <c r="E2197" t="s">
        <v>1200</v>
      </c>
      <c r="F2197" t="s">
        <v>2320</v>
      </c>
      <c r="G2197">
        <v>2733.6</v>
      </c>
      <c r="H2197" t="s">
        <v>12</v>
      </c>
      <c r="Q2197">
        <v>3405.22854564</v>
      </c>
      <c r="R2197">
        <v>29312.324960499998</v>
      </c>
      <c r="S2197">
        <v>-16.8947568707</v>
      </c>
      <c r="T2197">
        <v>-76.755101120399999</v>
      </c>
      <c r="U2197">
        <v>0</v>
      </c>
      <c r="V2197">
        <v>0</v>
      </c>
    </row>
    <row r="2198" spans="1:22" x14ac:dyDescent="0.2">
      <c r="A2198"/>
      <c r="B2198">
        <v>29072</v>
      </c>
      <c r="C2198" t="s">
        <v>4296</v>
      </c>
      <c r="D2198" t="s">
        <v>4311</v>
      </c>
      <c r="E2198" t="s">
        <v>1200</v>
      </c>
      <c r="F2198" t="s">
        <v>2335</v>
      </c>
      <c r="G2198">
        <v>2397.6999999999998</v>
      </c>
      <c r="H2198" t="s">
        <v>12</v>
      </c>
      <c r="Q2198">
        <v>3395.6964135500002</v>
      </c>
      <c r="R2198">
        <v>29312.6809063</v>
      </c>
      <c r="S2198">
        <v>-16.9138396948</v>
      </c>
      <c r="T2198">
        <v>-76.369162279400001</v>
      </c>
      <c r="U2198">
        <v>0</v>
      </c>
      <c r="V2198">
        <v>0</v>
      </c>
    </row>
    <row r="2199" spans="1:22" x14ac:dyDescent="0.2">
      <c r="A2199"/>
      <c r="B2199">
        <v>29073</v>
      </c>
      <c r="C2199" t="s">
        <v>4302</v>
      </c>
      <c r="D2199" t="s">
        <v>4314</v>
      </c>
      <c r="E2199" t="s">
        <v>1200</v>
      </c>
      <c r="F2199" t="s">
        <v>2337</v>
      </c>
      <c r="G2199">
        <v>848.5</v>
      </c>
      <c r="H2199" t="s">
        <v>12</v>
      </c>
      <c r="Q2199">
        <v>2705.15177511</v>
      </c>
      <c r="R2199">
        <v>24606.243896399999</v>
      </c>
      <c r="S2199">
        <v>-18.066297108200001</v>
      </c>
      <c r="T2199">
        <v>-88.024332161800004</v>
      </c>
      <c r="U2199">
        <v>0</v>
      </c>
      <c r="V2199">
        <v>0</v>
      </c>
    </row>
    <row r="2200" spans="1:22" x14ac:dyDescent="0.2">
      <c r="A2200"/>
      <c r="B2200">
        <v>29074</v>
      </c>
      <c r="C2200" t="s">
        <v>4303</v>
      </c>
      <c r="D2200" t="s">
        <v>4312</v>
      </c>
      <c r="E2200" t="s">
        <v>1200</v>
      </c>
      <c r="F2200" t="s">
        <v>2343</v>
      </c>
      <c r="G2200">
        <v>848.7</v>
      </c>
      <c r="H2200" t="s">
        <v>12</v>
      </c>
      <c r="Q2200">
        <v>2695.7658627999999</v>
      </c>
      <c r="R2200">
        <v>24605.660233899998</v>
      </c>
      <c r="S2200">
        <v>-18.076374723200001</v>
      </c>
      <c r="T2200">
        <v>-88.0242035996</v>
      </c>
      <c r="U2200">
        <v>0</v>
      </c>
      <c r="V2200">
        <v>0</v>
      </c>
    </row>
    <row r="2201" spans="1:22" x14ac:dyDescent="0.2">
      <c r="A2201"/>
      <c r="B2201">
        <v>29075</v>
      </c>
      <c r="C2201" t="s">
        <v>4309</v>
      </c>
      <c r="D2201" t="s">
        <v>4313</v>
      </c>
      <c r="E2201" t="s">
        <v>1200</v>
      </c>
      <c r="F2201" t="s">
        <v>2337</v>
      </c>
      <c r="G2201">
        <v>1208.48</v>
      </c>
      <c r="H2201" t="s">
        <v>12</v>
      </c>
      <c r="Q2201">
        <v>2663.8629715100001</v>
      </c>
      <c r="R2201">
        <v>24250.644577300001</v>
      </c>
      <c r="S2201">
        <v>-12.013519671299999</v>
      </c>
      <c r="T2201">
        <v>-103.51634304</v>
      </c>
      <c r="U2201">
        <v>0</v>
      </c>
      <c r="V2201">
        <v>0</v>
      </c>
    </row>
    <row r="2202" spans="1:22" x14ac:dyDescent="0.2">
      <c r="A2202"/>
      <c r="B2202">
        <v>29076</v>
      </c>
      <c r="C2202" t="s">
        <v>4310</v>
      </c>
      <c r="D2202" t="s">
        <v>4311</v>
      </c>
      <c r="E2202" t="s">
        <v>1200</v>
      </c>
      <c r="F2202" t="s">
        <v>2343</v>
      </c>
      <c r="G2202">
        <v>1208.5</v>
      </c>
      <c r="H2202" t="s">
        <v>12</v>
      </c>
      <c r="Q2202">
        <v>2654.3540735000001</v>
      </c>
      <c r="R2202">
        <v>24251.4684571</v>
      </c>
      <c r="S2202">
        <v>-12.0060104099</v>
      </c>
      <c r="T2202">
        <v>-103.50597497699999</v>
      </c>
      <c r="U2202">
        <v>0</v>
      </c>
      <c r="V2202">
        <v>0</v>
      </c>
    </row>
    <row r="2203" spans="1:22" x14ac:dyDescent="0.2">
      <c r="A2203"/>
      <c r="B2203">
        <v>29077</v>
      </c>
      <c r="C2203" t="s">
        <v>4304</v>
      </c>
      <c r="D2203" t="s">
        <v>4312</v>
      </c>
      <c r="E2203" t="s">
        <v>1200</v>
      </c>
      <c r="F2203" t="s">
        <v>2337</v>
      </c>
      <c r="G2203">
        <v>1148.7</v>
      </c>
      <c r="H2203" t="s">
        <v>1270</v>
      </c>
      <c r="Q2203">
        <v>2677.8049460299999</v>
      </c>
      <c r="R2203">
        <v>24308.766372300001</v>
      </c>
      <c r="S2203">
        <v>-13.1839039829</v>
      </c>
      <c r="T2203">
        <v>76.537260828000001</v>
      </c>
      <c r="U2203">
        <v>0</v>
      </c>
      <c r="V2203">
        <v>0</v>
      </c>
    </row>
    <row r="2204" spans="1:22" x14ac:dyDescent="0.2">
      <c r="A2204"/>
      <c r="B2204">
        <v>29078</v>
      </c>
      <c r="C2204" t="s">
        <v>4305</v>
      </c>
      <c r="D2204" t="s">
        <v>4314</v>
      </c>
      <c r="E2204" t="s">
        <v>1200</v>
      </c>
      <c r="F2204" t="s">
        <v>2343</v>
      </c>
      <c r="G2204">
        <v>1148.8499999999999</v>
      </c>
      <c r="H2204" t="s">
        <v>1270</v>
      </c>
      <c r="Q2204">
        <v>2668.2636419400001</v>
      </c>
      <c r="R2204">
        <v>24309.460746199999</v>
      </c>
      <c r="S2204">
        <v>-13.171170652900001</v>
      </c>
      <c r="T2204">
        <v>76.533381590199994</v>
      </c>
      <c r="U2204">
        <v>0</v>
      </c>
      <c r="V2204">
        <v>0</v>
      </c>
    </row>
    <row r="2205" spans="1:22" x14ac:dyDescent="0.2">
      <c r="A2205"/>
      <c r="B2205">
        <v>29079</v>
      </c>
      <c r="C2205" t="s">
        <v>4306</v>
      </c>
      <c r="D2205" t="s">
        <v>4311</v>
      </c>
      <c r="E2205" t="s">
        <v>1200</v>
      </c>
      <c r="F2205" t="s">
        <v>2337</v>
      </c>
      <c r="G2205">
        <v>877.6</v>
      </c>
      <c r="H2205" t="s">
        <v>1270</v>
      </c>
      <c r="Q2205">
        <v>2706.20555487</v>
      </c>
      <c r="R2205">
        <v>24577.170081</v>
      </c>
      <c r="S2205">
        <v>-18.0617071739</v>
      </c>
      <c r="T2205">
        <v>91.978999879599996</v>
      </c>
      <c r="U2205">
        <v>0</v>
      </c>
      <c r="V2205">
        <v>0</v>
      </c>
    </row>
    <row r="2206" spans="1:22" x14ac:dyDescent="0.2">
      <c r="A2206"/>
      <c r="B2206">
        <v>29080</v>
      </c>
      <c r="C2206" t="s">
        <v>4307</v>
      </c>
      <c r="D2206" t="s">
        <v>4313</v>
      </c>
      <c r="E2206" t="s">
        <v>1200</v>
      </c>
      <c r="F2206" t="s">
        <v>2343</v>
      </c>
      <c r="G2206">
        <v>877.9</v>
      </c>
      <c r="H2206" t="s">
        <v>1270</v>
      </c>
      <c r="Q2206">
        <v>2696.7730764100002</v>
      </c>
      <c r="R2206">
        <v>24576.484302299999</v>
      </c>
      <c r="S2206">
        <v>-18.063677074000001</v>
      </c>
      <c r="T2206">
        <v>91.978469595000007</v>
      </c>
      <c r="U2206">
        <v>0</v>
      </c>
      <c r="V2206">
        <v>0</v>
      </c>
    </row>
    <row r="2207" spans="1:22" x14ac:dyDescent="0.2">
      <c r="A2207"/>
      <c r="B2207">
        <v>29083</v>
      </c>
      <c r="C2207" t="s">
        <v>4315</v>
      </c>
      <c r="D2207" t="s">
        <v>1276</v>
      </c>
      <c r="E2207" t="s">
        <v>1057</v>
      </c>
      <c r="F2207" t="s">
        <v>2320</v>
      </c>
      <c r="G2207">
        <v>2065.85</v>
      </c>
      <c r="H2207" t="s">
        <v>12</v>
      </c>
      <c r="Q2207">
        <v>3368.7169574300001</v>
      </c>
      <c r="R2207">
        <v>29974.620088200001</v>
      </c>
      <c r="S2207">
        <v>-14.742456006099999</v>
      </c>
      <c r="T2207">
        <v>-91.777899556600005</v>
      </c>
      <c r="U2207">
        <v>0</v>
      </c>
      <c r="V2207">
        <v>0</v>
      </c>
    </row>
    <row r="2208" spans="1:22" x14ac:dyDescent="0.2">
      <c r="A2208"/>
      <c r="B2208">
        <v>29084</v>
      </c>
      <c r="C2208" t="s">
        <v>4316</v>
      </c>
      <c r="D2208" t="s">
        <v>4214</v>
      </c>
      <c r="E2208" t="s">
        <v>1057</v>
      </c>
      <c r="F2208" t="s">
        <v>2335</v>
      </c>
      <c r="G2208">
        <v>1730.85</v>
      </c>
      <c r="H2208" t="s">
        <v>12</v>
      </c>
      <c r="Q2208">
        <v>3359.4246616800001</v>
      </c>
      <c r="R2208">
        <v>29975.259183900002</v>
      </c>
      <c r="S2208">
        <v>-13.926751165900001</v>
      </c>
      <c r="T2208">
        <v>-91.788146295399997</v>
      </c>
      <c r="U2208">
        <v>0</v>
      </c>
      <c r="V2208">
        <v>0</v>
      </c>
    </row>
    <row r="2209" spans="1:22" x14ac:dyDescent="0.2">
      <c r="A2209"/>
      <c r="B2209">
        <v>29085</v>
      </c>
      <c r="C2209" t="s">
        <v>4317</v>
      </c>
      <c r="D2209" t="s">
        <v>1276</v>
      </c>
      <c r="E2209" t="s">
        <v>1058</v>
      </c>
      <c r="F2209" t="s">
        <v>2320</v>
      </c>
      <c r="G2209">
        <v>2282.65</v>
      </c>
      <c r="H2209" t="s">
        <v>12</v>
      </c>
      <c r="Q2209">
        <v>3362.01266261</v>
      </c>
      <c r="R2209">
        <v>29757.925864000001</v>
      </c>
      <c r="S2209">
        <v>-14.7798826632</v>
      </c>
      <c r="T2209">
        <v>-91.7417552159</v>
      </c>
      <c r="U2209">
        <v>0</v>
      </c>
      <c r="V2209">
        <v>0</v>
      </c>
    </row>
    <row r="2210" spans="1:22" x14ac:dyDescent="0.2">
      <c r="A2210"/>
      <c r="B2210">
        <v>29086</v>
      </c>
      <c r="C2210" t="s">
        <v>4318</v>
      </c>
      <c r="D2210" t="s">
        <v>4214</v>
      </c>
      <c r="E2210" t="s">
        <v>1058</v>
      </c>
      <c r="F2210" t="s">
        <v>2335</v>
      </c>
      <c r="G2210">
        <v>1946.7</v>
      </c>
      <c r="H2210" t="s">
        <v>12</v>
      </c>
      <c r="Q2210">
        <v>3352.5925215399998</v>
      </c>
      <c r="R2210">
        <v>29759.478763200001</v>
      </c>
      <c r="S2210">
        <v>-11.0455079629</v>
      </c>
      <c r="T2210">
        <v>-91.7415817734</v>
      </c>
      <c r="U2210">
        <v>0</v>
      </c>
      <c r="V2210">
        <v>0</v>
      </c>
    </row>
    <row r="2211" spans="1:22" x14ac:dyDescent="0.2">
      <c r="A2211"/>
      <c r="B2211">
        <v>29087</v>
      </c>
      <c r="C2211" t="s">
        <v>4297</v>
      </c>
      <c r="D2211" t="s">
        <v>4221</v>
      </c>
      <c r="F2211" t="s">
        <v>2320</v>
      </c>
      <c r="G2211">
        <v>2697</v>
      </c>
      <c r="H2211" t="s">
        <v>248</v>
      </c>
      <c r="Q2211">
        <v>3393.8211466600001</v>
      </c>
      <c r="R2211">
        <v>29347.223347399999</v>
      </c>
      <c r="S2211">
        <v>-17.830240728100001</v>
      </c>
      <c r="T2211">
        <v>-73.995484724400001</v>
      </c>
      <c r="U2211">
        <v>0</v>
      </c>
      <c r="V2211">
        <v>0</v>
      </c>
    </row>
    <row r="2212" spans="1:22" x14ac:dyDescent="0.2">
      <c r="A2212"/>
      <c r="B2212">
        <v>29087</v>
      </c>
      <c r="C2212" t="s">
        <v>4297</v>
      </c>
      <c r="D2212" t="s">
        <v>4221</v>
      </c>
      <c r="F2212" t="s">
        <v>2335</v>
      </c>
      <c r="G2212">
        <v>2365</v>
      </c>
      <c r="H2212" t="s">
        <v>248</v>
      </c>
      <c r="Q2212">
        <v>3393.8211466600001</v>
      </c>
      <c r="R2212">
        <v>29347.223347399999</v>
      </c>
      <c r="S2212">
        <v>-17.830240728100001</v>
      </c>
      <c r="T2212">
        <v>-73.995484724400001</v>
      </c>
      <c r="U2212">
        <v>0</v>
      </c>
      <c r="V2212">
        <v>0</v>
      </c>
    </row>
    <row r="2213" spans="1:22" x14ac:dyDescent="0.2">
      <c r="A2213"/>
      <c r="B2213">
        <v>29089</v>
      </c>
      <c r="C2213" t="s">
        <v>4319</v>
      </c>
      <c r="D2213" t="s">
        <v>4214</v>
      </c>
      <c r="E2213" t="s">
        <v>1057</v>
      </c>
      <c r="F2213" t="s">
        <v>2320</v>
      </c>
      <c r="G2213">
        <v>3213.4</v>
      </c>
      <c r="H2213" t="s">
        <v>1270</v>
      </c>
      <c r="Q2213">
        <v>3456.55835239</v>
      </c>
      <c r="R2213">
        <v>28835.0828812</v>
      </c>
      <c r="S2213">
        <v>-16.935530961600001</v>
      </c>
      <c r="T2213">
        <v>87.491491428800003</v>
      </c>
      <c r="U2213">
        <v>0</v>
      </c>
      <c r="V2213">
        <v>0</v>
      </c>
    </row>
    <row r="2214" spans="1:22" x14ac:dyDescent="0.2">
      <c r="A2214"/>
      <c r="B2214">
        <v>29090</v>
      </c>
      <c r="C2214" t="s">
        <v>4320</v>
      </c>
      <c r="D2214" t="s">
        <v>1276</v>
      </c>
      <c r="E2214" t="s">
        <v>1057</v>
      </c>
      <c r="F2214" t="s">
        <v>2335</v>
      </c>
      <c r="G2214">
        <v>2877.55</v>
      </c>
      <c r="H2214" t="s">
        <v>1270</v>
      </c>
      <c r="Q2214">
        <v>3447.3402620299998</v>
      </c>
      <c r="R2214">
        <v>28836.6250908</v>
      </c>
      <c r="S2214">
        <v>-16.962893682800001</v>
      </c>
      <c r="T2214">
        <v>87.629403551899998</v>
      </c>
      <c r="U2214">
        <v>0</v>
      </c>
      <c r="V2214">
        <v>0</v>
      </c>
    </row>
    <row r="2215" spans="1:22" x14ac:dyDescent="0.2">
      <c r="A2215"/>
      <c r="B2215">
        <v>29091</v>
      </c>
      <c r="C2215" t="s">
        <v>4321</v>
      </c>
      <c r="D2215" t="s">
        <v>4214</v>
      </c>
      <c r="E2215" t="s">
        <v>1058</v>
      </c>
      <c r="F2215" t="s">
        <v>2320</v>
      </c>
      <c r="G2215">
        <v>2942.85</v>
      </c>
      <c r="H2215" t="s">
        <v>1270</v>
      </c>
      <c r="Q2215">
        <v>3432.0999306200001</v>
      </c>
      <c r="R2215">
        <v>29104.669078399998</v>
      </c>
      <c r="S2215">
        <v>-17.033775452899999</v>
      </c>
      <c r="T2215">
        <v>96.295667201900002</v>
      </c>
      <c r="U2215">
        <v>0</v>
      </c>
      <c r="V2215">
        <v>0</v>
      </c>
    </row>
    <row r="2216" spans="1:22" x14ac:dyDescent="0.2">
      <c r="A2216"/>
      <c r="B2216">
        <v>29092</v>
      </c>
      <c r="C2216" t="s">
        <v>4322</v>
      </c>
      <c r="D2216" t="s">
        <v>1276</v>
      </c>
      <c r="E2216" t="s">
        <v>1058</v>
      </c>
      <c r="F2216" t="s">
        <v>2335</v>
      </c>
      <c r="G2216">
        <v>2607</v>
      </c>
      <c r="H2216" t="s">
        <v>1270</v>
      </c>
      <c r="Q2216">
        <v>3422.5754743000002</v>
      </c>
      <c r="R2216">
        <v>29105.531621400001</v>
      </c>
      <c r="S2216">
        <v>-17.065239207000001</v>
      </c>
      <c r="T2216">
        <v>96.282351270999996</v>
      </c>
      <c r="U2216">
        <v>0</v>
      </c>
      <c r="V2216">
        <v>0</v>
      </c>
    </row>
    <row r="2217" spans="1:22" x14ac:dyDescent="0.2">
      <c r="A2217"/>
      <c r="B2217">
        <v>29095</v>
      </c>
      <c r="C2217" t="s">
        <v>4323</v>
      </c>
      <c r="D2217" t="s">
        <v>1276</v>
      </c>
      <c r="E2217" t="s">
        <v>1057</v>
      </c>
      <c r="F2217" t="s">
        <v>2337</v>
      </c>
      <c r="G2217">
        <v>308.45</v>
      </c>
      <c r="H2217" t="s">
        <v>12</v>
      </c>
      <c r="Q2217">
        <v>2686.5335110599999</v>
      </c>
      <c r="R2217">
        <v>25145.937564100001</v>
      </c>
      <c r="S2217">
        <v>-14.1427564719</v>
      </c>
      <c r="T2217">
        <v>-87.996809011300002</v>
      </c>
      <c r="U2217">
        <v>0</v>
      </c>
      <c r="V2217">
        <v>0</v>
      </c>
    </row>
    <row r="2218" spans="1:22" x14ac:dyDescent="0.2">
      <c r="A2218"/>
      <c r="B2218">
        <v>29096</v>
      </c>
      <c r="C2218" t="s">
        <v>4324</v>
      </c>
      <c r="D2218" t="s">
        <v>4214</v>
      </c>
      <c r="E2218" t="s">
        <v>1057</v>
      </c>
      <c r="F2218" t="s">
        <v>2343</v>
      </c>
      <c r="G2218">
        <v>308.55</v>
      </c>
      <c r="H2218" t="s">
        <v>12</v>
      </c>
      <c r="Q2218">
        <v>2677.09112946</v>
      </c>
      <c r="R2218">
        <v>25145.449697</v>
      </c>
      <c r="S2218">
        <v>-13.300054501</v>
      </c>
      <c r="T2218">
        <v>-87.999774208800005</v>
      </c>
      <c r="U2218">
        <v>0</v>
      </c>
      <c r="V2218">
        <v>0</v>
      </c>
    </row>
    <row r="2219" spans="1:22" x14ac:dyDescent="0.2">
      <c r="A2219"/>
      <c r="B2219">
        <v>29097</v>
      </c>
      <c r="C2219" t="s">
        <v>4325</v>
      </c>
      <c r="D2219" t="s">
        <v>1276</v>
      </c>
      <c r="E2219" t="s">
        <v>1058</v>
      </c>
      <c r="F2219" t="s">
        <v>2337</v>
      </c>
      <c r="G2219">
        <v>517.5</v>
      </c>
      <c r="H2219" t="s">
        <v>12</v>
      </c>
      <c r="Q2219">
        <v>2693.79458531</v>
      </c>
      <c r="R2219">
        <v>24937.008314499999</v>
      </c>
      <c r="S2219">
        <v>-13.343976341699999</v>
      </c>
      <c r="T2219">
        <v>-88.024081855099993</v>
      </c>
      <c r="U2219">
        <v>0</v>
      </c>
      <c r="V2219">
        <v>0</v>
      </c>
    </row>
    <row r="2220" spans="1:22" x14ac:dyDescent="0.2">
      <c r="A2220"/>
      <c r="B2220">
        <v>29098</v>
      </c>
      <c r="C2220" t="s">
        <v>4326</v>
      </c>
      <c r="D2220" t="s">
        <v>4214</v>
      </c>
      <c r="E2220" t="s">
        <v>1058</v>
      </c>
      <c r="F2220" t="s">
        <v>2343</v>
      </c>
      <c r="G2220">
        <v>517.71</v>
      </c>
      <c r="H2220" t="s">
        <v>12</v>
      </c>
      <c r="Q2220">
        <v>2684.3548288400002</v>
      </c>
      <c r="R2220">
        <v>24936.398023199999</v>
      </c>
      <c r="S2220">
        <v>-10.4634363741</v>
      </c>
      <c r="T2220">
        <v>-88.023572677399997</v>
      </c>
      <c r="U2220">
        <v>0</v>
      </c>
      <c r="V2220">
        <v>0</v>
      </c>
    </row>
    <row r="2221" spans="1:22" x14ac:dyDescent="0.2">
      <c r="A2221"/>
      <c r="B2221">
        <v>29099</v>
      </c>
      <c r="C2221" t="s">
        <v>4308</v>
      </c>
      <c r="D2221" t="s">
        <v>4221</v>
      </c>
      <c r="F2221" t="s">
        <v>2337</v>
      </c>
      <c r="G2221">
        <v>1016</v>
      </c>
      <c r="H2221" t="s">
        <v>248</v>
      </c>
      <c r="Q2221">
        <v>2703.63404679</v>
      </c>
      <c r="R2221">
        <v>24438.876489999999</v>
      </c>
      <c r="S2221">
        <v>-16.628090902099999</v>
      </c>
      <c r="T2221">
        <v>-96.849089048500005</v>
      </c>
      <c r="U2221">
        <v>0</v>
      </c>
      <c r="V2221">
        <v>0</v>
      </c>
    </row>
    <row r="2222" spans="1:22" x14ac:dyDescent="0.2">
      <c r="A2222"/>
      <c r="B2222">
        <v>29099</v>
      </c>
      <c r="C2222" t="s">
        <v>4308</v>
      </c>
      <c r="D2222" t="s">
        <v>4221</v>
      </c>
      <c r="F2222" t="s">
        <v>2343</v>
      </c>
      <c r="G2222">
        <v>1016</v>
      </c>
      <c r="H2222" t="s">
        <v>248</v>
      </c>
      <c r="Q2222">
        <v>2703.63404679</v>
      </c>
      <c r="R2222">
        <v>24438.876489999999</v>
      </c>
      <c r="S2222">
        <v>-16.628090902099999</v>
      </c>
      <c r="T2222">
        <v>-96.849089048500005</v>
      </c>
      <c r="U2222">
        <v>0</v>
      </c>
      <c r="V2222">
        <v>0</v>
      </c>
    </row>
    <row r="2223" spans="1:22" x14ac:dyDescent="0.2">
      <c r="A2223"/>
      <c r="B2223">
        <v>29101</v>
      </c>
      <c r="C2223" t="s">
        <v>4327</v>
      </c>
      <c r="D2223" t="s">
        <v>4214</v>
      </c>
      <c r="E2223" t="s">
        <v>1057</v>
      </c>
      <c r="F2223" t="s">
        <v>2340</v>
      </c>
      <c r="G2223">
        <v>564</v>
      </c>
      <c r="H2223" t="s">
        <v>1270</v>
      </c>
      <c r="Q2223">
        <v>2567.6960001100001</v>
      </c>
      <c r="R2223">
        <v>23691.352648799999</v>
      </c>
      <c r="S2223">
        <v>-2.8519975503500001</v>
      </c>
      <c r="T2223">
        <v>74.838467642500007</v>
      </c>
      <c r="U2223">
        <v>0</v>
      </c>
      <c r="V2223">
        <v>0</v>
      </c>
    </row>
    <row r="2224" spans="1:22" x14ac:dyDescent="0.2">
      <c r="A2224"/>
      <c r="B2224">
        <v>29102</v>
      </c>
      <c r="C2224" t="s">
        <v>4328</v>
      </c>
      <c r="D2224" t="s">
        <v>1276</v>
      </c>
      <c r="E2224" t="s">
        <v>1057</v>
      </c>
      <c r="F2224" t="s">
        <v>2345</v>
      </c>
      <c r="G2224">
        <v>485.3</v>
      </c>
      <c r="H2224" t="s">
        <v>1270</v>
      </c>
      <c r="Q2224">
        <v>2558.6308581200001</v>
      </c>
      <c r="R2224">
        <v>23693.705445899999</v>
      </c>
      <c r="S2224">
        <v>-5.7547742588400004</v>
      </c>
      <c r="T2224">
        <v>74.784711050300004</v>
      </c>
      <c r="U2224">
        <v>0</v>
      </c>
      <c r="V2224">
        <v>0</v>
      </c>
    </row>
    <row r="2225" spans="1:22" x14ac:dyDescent="0.2">
      <c r="A2225"/>
      <c r="B2225">
        <v>29103</v>
      </c>
      <c r="C2225" t="s">
        <v>4329</v>
      </c>
      <c r="D2225" t="s">
        <v>4214</v>
      </c>
      <c r="E2225" t="s">
        <v>1058</v>
      </c>
      <c r="F2225" t="s">
        <v>2340</v>
      </c>
      <c r="G2225">
        <v>323.8</v>
      </c>
      <c r="H2225" t="s">
        <v>1270</v>
      </c>
      <c r="Q2225">
        <v>2627.3929980100002</v>
      </c>
      <c r="R2225">
        <v>23924.268399100001</v>
      </c>
      <c r="S2225">
        <v>-5.7980930476200001</v>
      </c>
      <c r="T2225">
        <v>87.159290231900002</v>
      </c>
      <c r="U2225">
        <v>0</v>
      </c>
      <c r="V2225">
        <v>0</v>
      </c>
    </row>
    <row r="2226" spans="1:22" x14ac:dyDescent="0.2">
      <c r="A2226"/>
      <c r="B2226">
        <v>29104</v>
      </c>
      <c r="C2226" t="s">
        <v>4330</v>
      </c>
      <c r="D2226" t="s">
        <v>1276</v>
      </c>
      <c r="E2226" t="s">
        <v>1058</v>
      </c>
      <c r="F2226" t="s">
        <v>2345</v>
      </c>
      <c r="G2226">
        <v>245.15</v>
      </c>
      <c r="H2226" t="s">
        <v>1270</v>
      </c>
      <c r="Q2226">
        <v>2617.9338412799998</v>
      </c>
      <c r="R2226">
        <v>23925.645286300001</v>
      </c>
      <c r="S2226">
        <v>-5.8204660368500001</v>
      </c>
      <c r="T2226">
        <v>87.428007484099993</v>
      </c>
      <c r="U2226">
        <v>0</v>
      </c>
      <c r="V2226">
        <v>0</v>
      </c>
    </row>
    <row r="2227" spans="1:22" x14ac:dyDescent="0.2">
      <c r="A2227"/>
      <c r="B2227">
        <v>29107</v>
      </c>
      <c r="C2227" t="s">
        <v>4292</v>
      </c>
      <c r="D2227" t="s">
        <v>4221</v>
      </c>
      <c r="F2227" t="s">
        <v>2310</v>
      </c>
      <c r="G2227">
        <v>5858</v>
      </c>
      <c r="H2227" t="s">
        <v>248</v>
      </c>
      <c r="Q2227">
        <v>4119.2972351600001</v>
      </c>
      <c r="R2227">
        <v>34445.410672700003</v>
      </c>
      <c r="S2227">
        <v>-13.174311721</v>
      </c>
      <c r="T2227">
        <v>-94.712269439899998</v>
      </c>
      <c r="U2227">
        <v>0</v>
      </c>
      <c r="V2227">
        <v>0</v>
      </c>
    </row>
    <row r="2228" spans="1:22" x14ac:dyDescent="0.2">
      <c r="A2228"/>
      <c r="B2228">
        <v>29107</v>
      </c>
      <c r="C2228" t="s">
        <v>4292</v>
      </c>
      <c r="D2228" t="s">
        <v>4221</v>
      </c>
      <c r="F2228" t="s">
        <v>1915</v>
      </c>
      <c r="G2228">
        <v>5918</v>
      </c>
      <c r="H2228" t="s">
        <v>248</v>
      </c>
      <c r="Q2228">
        <v>4119.2972351600001</v>
      </c>
      <c r="R2228">
        <v>34445.410672700003</v>
      </c>
      <c r="S2228">
        <v>-13.174311721</v>
      </c>
      <c r="T2228">
        <v>-94.712269439899998</v>
      </c>
      <c r="U2228">
        <v>0</v>
      </c>
      <c r="V2228">
        <v>0</v>
      </c>
    </row>
    <row r="2229" spans="1:22" x14ac:dyDescent="0.2">
      <c r="A2229"/>
      <c r="B2229">
        <v>29109</v>
      </c>
      <c r="C2229" t="s">
        <v>4298</v>
      </c>
      <c r="D2229" t="s">
        <v>4311</v>
      </c>
      <c r="E2229" t="s">
        <v>1200</v>
      </c>
      <c r="F2229" t="s">
        <v>2320</v>
      </c>
      <c r="G2229">
        <v>2613.85</v>
      </c>
      <c r="H2229" t="s">
        <v>1270</v>
      </c>
      <c r="Q2229">
        <v>3374.9812491500002</v>
      </c>
      <c r="R2229">
        <v>29428.0900353</v>
      </c>
      <c r="S2229">
        <v>-17.231548286599999</v>
      </c>
      <c r="T2229">
        <v>101.362584504</v>
      </c>
      <c r="U2229">
        <v>0</v>
      </c>
      <c r="V2229">
        <v>0</v>
      </c>
    </row>
    <row r="2230" spans="1:22" x14ac:dyDescent="0.2">
      <c r="A2230"/>
      <c r="B2230">
        <v>29110</v>
      </c>
      <c r="C2230" t="s">
        <v>4299</v>
      </c>
      <c r="D2230" t="s">
        <v>4313</v>
      </c>
      <c r="E2230" t="s">
        <v>1200</v>
      </c>
      <c r="F2230" t="s">
        <v>2335</v>
      </c>
      <c r="G2230">
        <v>2278</v>
      </c>
      <c r="H2230" t="s">
        <v>1270</v>
      </c>
      <c r="Q2230">
        <v>3365.4300237100001</v>
      </c>
      <c r="R2230">
        <v>29428.560230800002</v>
      </c>
      <c r="S2230">
        <v>-17.258136573800002</v>
      </c>
      <c r="T2230">
        <v>100.968681816</v>
      </c>
      <c r="U2230">
        <v>0</v>
      </c>
      <c r="V2230">
        <v>0</v>
      </c>
    </row>
    <row r="2231" spans="1:22" x14ac:dyDescent="0.2">
      <c r="A2231"/>
      <c r="B2231">
        <v>29111</v>
      </c>
      <c r="C2231" t="s">
        <v>4300</v>
      </c>
      <c r="D2231" t="s">
        <v>4312</v>
      </c>
      <c r="E2231" t="s">
        <v>1200</v>
      </c>
      <c r="F2231" t="s">
        <v>2320</v>
      </c>
      <c r="G2231">
        <v>2733.75</v>
      </c>
      <c r="H2231" t="s">
        <v>1270</v>
      </c>
      <c r="Q2231">
        <v>3405.2630208400001</v>
      </c>
      <c r="R2231">
        <v>29312.178409299999</v>
      </c>
      <c r="S2231">
        <v>-16.894740816799999</v>
      </c>
      <c r="T2231">
        <v>103.230610601</v>
      </c>
      <c r="U2231">
        <v>0</v>
      </c>
      <c r="V2231">
        <v>0</v>
      </c>
    </row>
    <row r="2232" spans="1:22" x14ac:dyDescent="0.2">
      <c r="A2232"/>
      <c r="B2232">
        <v>29112</v>
      </c>
      <c r="C2232" t="s">
        <v>4301</v>
      </c>
      <c r="D2232" t="s">
        <v>4314</v>
      </c>
      <c r="E2232" t="s">
        <v>1200</v>
      </c>
      <c r="F2232" t="s">
        <v>2335</v>
      </c>
      <c r="G2232">
        <v>2397.9</v>
      </c>
      <c r="H2232" t="s">
        <v>1270</v>
      </c>
      <c r="Q2232">
        <v>3395.7433532300001</v>
      </c>
      <c r="R2232">
        <v>29312.487197900002</v>
      </c>
      <c r="S2232">
        <v>-16.913787055</v>
      </c>
      <c r="T2232">
        <v>103.611958321</v>
      </c>
      <c r="U2232">
        <v>0</v>
      </c>
      <c r="V2232">
        <v>0</v>
      </c>
    </row>
    <row r="2233" spans="1:22" x14ac:dyDescent="0.2">
      <c r="A2233"/>
      <c r="B2233">
        <v>50000</v>
      </c>
      <c r="C2233" t="s">
        <v>1925</v>
      </c>
      <c r="D2233" t="s">
        <v>920</v>
      </c>
      <c r="E2233" t="s">
        <v>1275</v>
      </c>
      <c r="F2233" t="s">
        <v>1923</v>
      </c>
      <c r="G2233">
        <v>375.702</v>
      </c>
      <c r="H2233" t="s">
        <v>248</v>
      </c>
      <c r="Q2233">
        <v>3001.3072731399998</v>
      </c>
      <c r="R2233">
        <v>31272.772498900002</v>
      </c>
      <c r="S2233">
        <v>-16.878678975300001</v>
      </c>
      <c r="T2233">
        <v>-151.62704448100001</v>
      </c>
      <c r="U2233">
        <v>0</v>
      </c>
      <c r="V2233">
        <v>0</v>
      </c>
    </row>
    <row r="2234" spans="1:22" x14ac:dyDescent="0.2">
      <c r="A2234"/>
      <c r="B2234">
        <v>50001</v>
      </c>
      <c r="C2234" t="s">
        <v>1926</v>
      </c>
      <c r="D2234" t="s">
        <v>920</v>
      </c>
      <c r="E2234" t="s">
        <v>1275</v>
      </c>
      <c r="F2234" t="s">
        <v>1923</v>
      </c>
      <c r="G2234">
        <v>428.21199999999999</v>
      </c>
      <c r="H2234" t="s">
        <v>248</v>
      </c>
      <c r="Q2234">
        <v>2955.2949628599999</v>
      </c>
      <c r="R2234">
        <v>31247.488293499999</v>
      </c>
      <c r="S2234">
        <v>-17.793003851400002</v>
      </c>
      <c r="T2234">
        <v>-150.94696416400001</v>
      </c>
      <c r="U2234">
        <v>0</v>
      </c>
      <c r="V2234">
        <v>0</v>
      </c>
    </row>
    <row r="2235" spans="1:22" x14ac:dyDescent="0.2">
      <c r="A2235"/>
      <c r="B2235">
        <v>50002</v>
      </c>
      <c r="C2235" t="s">
        <v>1927</v>
      </c>
      <c r="D2235" t="s">
        <v>1924</v>
      </c>
      <c r="E2235" t="s">
        <v>1275</v>
      </c>
      <c r="F2235" t="s">
        <v>1923</v>
      </c>
      <c r="G2235">
        <v>503.15199999999999</v>
      </c>
      <c r="H2235" t="s">
        <v>248</v>
      </c>
      <c r="Q2235">
        <v>2889.3038923399999</v>
      </c>
      <c r="R2235">
        <v>31212.0047175</v>
      </c>
      <c r="S2235">
        <v>-19.101895612</v>
      </c>
      <c r="T2235">
        <v>-152.61244173099999</v>
      </c>
      <c r="U2235">
        <v>0</v>
      </c>
      <c r="V2235">
        <v>0</v>
      </c>
    </row>
    <row r="2236" spans="1:22" x14ac:dyDescent="0.2">
      <c r="A2236"/>
      <c r="B2236">
        <v>50003</v>
      </c>
      <c r="C2236" t="s">
        <v>1928</v>
      </c>
      <c r="D2236" t="s">
        <v>1924</v>
      </c>
      <c r="E2236" t="s">
        <v>1275</v>
      </c>
      <c r="F2236" t="s">
        <v>1923</v>
      </c>
      <c r="G2236">
        <v>549.09199999999998</v>
      </c>
      <c r="H2236" t="s">
        <v>248</v>
      </c>
      <c r="Q2236">
        <v>2848.0842966999999</v>
      </c>
      <c r="R2236">
        <v>31191.765887000001</v>
      </c>
      <c r="S2236">
        <v>-19.866353590999999</v>
      </c>
      <c r="T2236">
        <v>-158.11081925100001</v>
      </c>
      <c r="U2236">
        <v>0</v>
      </c>
      <c r="V2236">
        <v>0</v>
      </c>
    </row>
    <row r="2237" spans="1:22" x14ac:dyDescent="0.2">
      <c r="A2237"/>
      <c r="B2237">
        <v>50004</v>
      </c>
      <c r="C2237" t="s">
        <v>1929</v>
      </c>
      <c r="D2237" t="s">
        <v>1924</v>
      </c>
      <c r="E2237" t="s">
        <v>1275</v>
      </c>
      <c r="F2237" t="s">
        <v>1923</v>
      </c>
      <c r="G2237">
        <v>584.97199999999998</v>
      </c>
      <c r="H2237" t="s">
        <v>248</v>
      </c>
      <c r="Q2237">
        <v>2813.51491136</v>
      </c>
      <c r="R2237">
        <v>31182.4887041</v>
      </c>
      <c r="S2237">
        <v>-20.1973436273</v>
      </c>
      <c r="T2237">
        <v>-171.847445214</v>
      </c>
      <c r="U2237">
        <v>0</v>
      </c>
      <c r="V2237">
        <v>0</v>
      </c>
    </row>
    <row r="2238" spans="1:22" x14ac:dyDescent="0.2">
      <c r="A2238"/>
      <c r="B2238">
        <v>50005</v>
      </c>
      <c r="C2238" t="s">
        <v>1930</v>
      </c>
      <c r="D2238" t="s">
        <v>1924</v>
      </c>
      <c r="E2238" t="s">
        <v>1275</v>
      </c>
      <c r="F2238" t="s">
        <v>1923</v>
      </c>
      <c r="G2238">
        <v>645.16200000000003</v>
      </c>
      <c r="H2238" t="s">
        <v>248</v>
      </c>
      <c r="Q2238">
        <v>2753.8337391999999</v>
      </c>
      <c r="R2238">
        <v>31186.0055861</v>
      </c>
      <c r="S2238">
        <v>-20.3064529836</v>
      </c>
      <c r="T2238">
        <v>165.10308622100001</v>
      </c>
      <c r="U2238">
        <v>0</v>
      </c>
      <c r="V2238">
        <v>0</v>
      </c>
    </row>
    <row r="2239" spans="1:22" x14ac:dyDescent="0.2">
      <c r="A2239"/>
      <c r="B2239">
        <v>50006</v>
      </c>
      <c r="C2239" t="s">
        <v>1931</v>
      </c>
      <c r="D2239" t="s">
        <v>1924</v>
      </c>
      <c r="E2239" t="s">
        <v>1275</v>
      </c>
      <c r="F2239" t="s">
        <v>1923</v>
      </c>
      <c r="G2239">
        <v>681.04200000000003</v>
      </c>
      <c r="H2239" t="s">
        <v>248</v>
      </c>
      <c r="Q2239">
        <v>2720.59179705</v>
      </c>
      <c r="R2239">
        <v>31199.2792295</v>
      </c>
      <c r="S2239">
        <v>-20.300210464999999</v>
      </c>
      <c r="T2239">
        <v>151.362761769</v>
      </c>
      <c r="U2239">
        <v>0</v>
      </c>
      <c r="V2239">
        <v>0</v>
      </c>
    </row>
    <row r="2240" spans="1:22" x14ac:dyDescent="0.2">
      <c r="A2240"/>
      <c r="B2240">
        <v>50007</v>
      </c>
      <c r="C2240" t="s">
        <v>1932</v>
      </c>
      <c r="D2240" t="s">
        <v>920</v>
      </c>
      <c r="E2240" t="s">
        <v>1275</v>
      </c>
      <c r="F2240" t="s">
        <v>1933</v>
      </c>
      <c r="G2240">
        <v>30.15</v>
      </c>
      <c r="H2240" t="s">
        <v>248</v>
      </c>
      <c r="Q2240">
        <v>2629.35152526</v>
      </c>
      <c r="R2240">
        <v>31264.5564486</v>
      </c>
      <c r="S2240">
        <v>-21.537915606399999</v>
      </c>
      <c r="T2240">
        <v>143.98145699400001</v>
      </c>
      <c r="U2240">
        <v>0</v>
      </c>
      <c r="V2240">
        <v>0</v>
      </c>
    </row>
    <row r="2241" spans="1:22" x14ac:dyDescent="0.2">
      <c r="A2241"/>
      <c r="B2241">
        <v>50008</v>
      </c>
      <c r="C2241" t="s">
        <v>1934</v>
      </c>
      <c r="D2241" t="s">
        <v>920</v>
      </c>
      <c r="E2241" t="s">
        <v>1275</v>
      </c>
      <c r="F2241" t="s">
        <v>1933</v>
      </c>
      <c r="G2241">
        <v>51.15</v>
      </c>
      <c r="H2241" t="s">
        <v>248</v>
      </c>
      <c r="Q2241">
        <v>2612.2261589300001</v>
      </c>
      <c r="R2241">
        <v>31276.697537299999</v>
      </c>
      <c r="S2241">
        <v>-22.062195557100001</v>
      </c>
      <c r="T2241">
        <v>145.87354816000001</v>
      </c>
      <c r="U2241">
        <v>0</v>
      </c>
      <c r="V2241">
        <v>0</v>
      </c>
    </row>
    <row r="2242" spans="1:22" x14ac:dyDescent="0.2">
      <c r="A2242"/>
      <c r="B2242">
        <v>50009</v>
      </c>
      <c r="C2242" t="s">
        <v>1935</v>
      </c>
      <c r="D2242" t="s">
        <v>920</v>
      </c>
      <c r="E2242" t="s">
        <v>1275</v>
      </c>
      <c r="F2242" t="s">
        <v>1933</v>
      </c>
      <c r="G2242">
        <v>72.150000000000006</v>
      </c>
      <c r="H2242" t="s">
        <v>248</v>
      </c>
      <c r="Q2242">
        <v>2594.5289593799998</v>
      </c>
      <c r="R2242">
        <v>31287.9854414</v>
      </c>
      <c r="S2242">
        <v>-22.590686607999999</v>
      </c>
      <c r="T2242">
        <v>149.052355793</v>
      </c>
      <c r="U2242">
        <v>0</v>
      </c>
      <c r="V2242">
        <v>0</v>
      </c>
    </row>
    <row r="2243" spans="1:22" x14ac:dyDescent="0.2">
      <c r="A2243"/>
      <c r="B2243">
        <v>50010</v>
      </c>
      <c r="C2243" t="s">
        <v>1936</v>
      </c>
      <c r="D2243" t="s">
        <v>920</v>
      </c>
      <c r="E2243" t="s">
        <v>1275</v>
      </c>
      <c r="F2243" t="s">
        <v>1937</v>
      </c>
      <c r="G2243">
        <v>51</v>
      </c>
      <c r="H2243" t="s">
        <v>248</v>
      </c>
      <c r="Q2243">
        <v>2427.52347147</v>
      </c>
      <c r="R2243">
        <v>31366.255497599999</v>
      </c>
      <c r="S2243">
        <v>-26.9152410698</v>
      </c>
      <c r="T2243">
        <v>155.853915145</v>
      </c>
      <c r="U2243">
        <v>0</v>
      </c>
      <c r="V2243">
        <v>0</v>
      </c>
    </row>
    <row r="2244" spans="1:22" x14ac:dyDescent="0.2">
      <c r="A2244"/>
      <c r="B2244">
        <v>50011</v>
      </c>
      <c r="C2244" t="s">
        <v>1938</v>
      </c>
      <c r="D2244" t="s">
        <v>1924</v>
      </c>
      <c r="E2244" t="s">
        <v>1275</v>
      </c>
      <c r="F2244" t="s">
        <v>1939</v>
      </c>
      <c r="G2244">
        <v>33</v>
      </c>
      <c r="H2244" t="s">
        <v>248</v>
      </c>
      <c r="Q2244">
        <v>2291.9723519300001</v>
      </c>
      <c r="R2244">
        <v>31424.8087338</v>
      </c>
      <c r="S2244">
        <v>-28.761815680800002</v>
      </c>
      <c r="T2244">
        <v>156.81204752400001</v>
      </c>
      <c r="U2244">
        <v>0</v>
      </c>
      <c r="V2244">
        <v>0</v>
      </c>
    </row>
    <row r="2245" spans="1:22" x14ac:dyDescent="0.2">
      <c r="A2245"/>
      <c r="B2245">
        <v>50012</v>
      </c>
      <c r="C2245" t="s">
        <v>1940</v>
      </c>
      <c r="D2245" t="s">
        <v>1924</v>
      </c>
      <c r="E2245" t="s">
        <v>1275</v>
      </c>
      <c r="F2245" t="s">
        <v>1939</v>
      </c>
      <c r="G2245">
        <v>68.72</v>
      </c>
      <c r="H2245" t="s">
        <v>248</v>
      </c>
      <c r="Q2245">
        <v>2259.1413671800001</v>
      </c>
      <c r="R2245">
        <v>31438.8743774</v>
      </c>
      <c r="S2245">
        <v>-29.211809523300001</v>
      </c>
      <c r="T2245">
        <v>156.820050829</v>
      </c>
      <c r="U2245">
        <v>0</v>
      </c>
      <c r="V2245">
        <v>0</v>
      </c>
    </row>
    <row r="2246" spans="1:22" x14ac:dyDescent="0.2">
      <c r="A2246"/>
      <c r="B2246">
        <v>50013</v>
      </c>
      <c r="C2246" t="s">
        <v>1941</v>
      </c>
      <c r="D2246" t="s">
        <v>1924</v>
      </c>
      <c r="E2246" t="s">
        <v>1275</v>
      </c>
      <c r="F2246" t="s">
        <v>1939</v>
      </c>
      <c r="G2246">
        <v>129.13</v>
      </c>
      <c r="H2246" t="s">
        <v>248</v>
      </c>
      <c r="Q2246">
        <v>2203.60935961</v>
      </c>
      <c r="R2246">
        <v>31462.644158800002</v>
      </c>
      <c r="S2246">
        <v>-29.961277932400002</v>
      </c>
      <c r="T2246">
        <v>156.82213999499999</v>
      </c>
      <c r="U2246">
        <v>0</v>
      </c>
      <c r="V2246">
        <v>0</v>
      </c>
    </row>
    <row r="2247" spans="1:22" x14ac:dyDescent="0.2">
      <c r="A2247"/>
      <c r="B2247">
        <v>50014</v>
      </c>
      <c r="C2247" t="s">
        <v>1942</v>
      </c>
      <c r="D2247" t="s">
        <v>1924</v>
      </c>
      <c r="E2247" t="s">
        <v>1275</v>
      </c>
      <c r="F2247" t="s">
        <v>1939</v>
      </c>
      <c r="G2247">
        <v>165</v>
      </c>
      <c r="H2247" t="s">
        <v>248</v>
      </c>
      <c r="Q2247">
        <v>2170.6381602900001</v>
      </c>
      <c r="R2247">
        <v>31476.7636461</v>
      </c>
      <c r="S2247">
        <v>-30.405116630799998</v>
      </c>
      <c r="T2247">
        <v>156.81448537200001</v>
      </c>
      <c r="U2247">
        <v>0</v>
      </c>
      <c r="V2247">
        <v>0</v>
      </c>
    </row>
    <row r="2248" spans="1:22" x14ac:dyDescent="0.2">
      <c r="A2248"/>
      <c r="B2248">
        <v>50015</v>
      </c>
      <c r="C2248" t="s">
        <v>1943</v>
      </c>
      <c r="D2248" t="s">
        <v>1924</v>
      </c>
      <c r="E2248" t="s">
        <v>1275</v>
      </c>
      <c r="F2248" t="s">
        <v>1939</v>
      </c>
      <c r="G2248">
        <v>210.72</v>
      </c>
      <c r="H2248" t="s">
        <v>248</v>
      </c>
      <c r="Q2248">
        <v>2128.6139362700001</v>
      </c>
      <c r="R2248">
        <v>31494.762534500001</v>
      </c>
      <c r="S2248">
        <v>-30.973455268199999</v>
      </c>
      <c r="T2248">
        <v>156.81712919700001</v>
      </c>
      <c r="U2248">
        <v>0</v>
      </c>
      <c r="V2248">
        <v>0</v>
      </c>
    </row>
    <row r="2249" spans="1:22" x14ac:dyDescent="0.2">
      <c r="A2249"/>
      <c r="B2249">
        <v>50016</v>
      </c>
      <c r="C2249" t="s">
        <v>1944</v>
      </c>
      <c r="D2249" t="s">
        <v>920</v>
      </c>
      <c r="E2249" t="s">
        <v>1275</v>
      </c>
      <c r="F2249" t="s">
        <v>1922</v>
      </c>
      <c r="G2249">
        <v>452</v>
      </c>
      <c r="H2249" t="s">
        <v>248</v>
      </c>
      <c r="Q2249">
        <v>3010.2990733500001</v>
      </c>
      <c r="R2249">
        <v>31271.935204699999</v>
      </c>
      <c r="S2249">
        <v>-16.745208047399998</v>
      </c>
      <c r="T2249">
        <v>-152.11087298000001</v>
      </c>
      <c r="U2249">
        <v>0</v>
      </c>
      <c r="V2249">
        <v>0</v>
      </c>
    </row>
    <row r="2250" spans="1:22" x14ac:dyDescent="0.2">
      <c r="A2250"/>
      <c r="B2250">
        <v>50017</v>
      </c>
      <c r="C2250" t="s">
        <v>1945</v>
      </c>
      <c r="D2250" t="s">
        <v>1924</v>
      </c>
      <c r="E2250" t="s">
        <v>1275</v>
      </c>
      <c r="F2250" t="s">
        <v>1922</v>
      </c>
      <c r="G2250">
        <v>538.11</v>
      </c>
      <c r="H2250" t="s">
        <v>248</v>
      </c>
      <c r="Q2250">
        <v>2934.88616004</v>
      </c>
      <c r="R2250">
        <v>31230.399033199999</v>
      </c>
      <c r="S2250">
        <v>-18.2575141051</v>
      </c>
      <c r="T2250">
        <v>-150.68042247</v>
      </c>
      <c r="U2250">
        <v>0</v>
      </c>
      <c r="V2250">
        <v>0</v>
      </c>
    </row>
    <row r="2251" spans="1:22" x14ac:dyDescent="0.2">
      <c r="A2251"/>
      <c r="B2251">
        <v>50018</v>
      </c>
      <c r="C2251" t="s">
        <v>1946</v>
      </c>
      <c r="D2251" t="s">
        <v>1924</v>
      </c>
      <c r="E2251" t="s">
        <v>1275</v>
      </c>
      <c r="F2251" t="s">
        <v>1922</v>
      </c>
      <c r="G2251">
        <v>584.04999999999995</v>
      </c>
      <c r="H2251" t="s">
        <v>248</v>
      </c>
      <c r="Q2251">
        <v>2894.6875156400001</v>
      </c>
      <c r="R2251">
        <v>31208.175567599999</v>
      </c>
      <c r="S2251">
        <v>-19.037636288600002</v>
      </c>
      <c r="T2251">
        <v>-151.65894775300001</v>
      </c>
      <c r="U2251">
        <v>0</v>
      </c>
      <c r="V2251">
        <v>0</v>
      </c>
    </row>
    <row r="2252" spans="1:22" x14ac:dyDescent="0.2">
      <c r="A2252"/>
      <c r="B2252">
        <v>50019</v>
      </c>
      <c r="C2252" t="s">
        <v>1947</v>
      </c>
      <c r="D2252" t="s">
        <v>1924</v>
      </c>
      <c r="E2252" t="s">
        <v>1275</v>
      </c>
      <c r="F2252" t="s">
        <v>1922</v>
      </c>
      <c r="G2252">
        <v>619.92999999999995</v>
      </c>
      <c r="H2252" t="s">
        <v>248</v>
      </c>
      <c r="Q2252">
        <v>2862.9484001699998</v>
      </c>
      <c r="R2252">
        <v>31191.455904300001</v>
      </c>
      <c r="S2252">
        <v>-19.6804256721</v>
      </c>
      <c r="T2252">
        <v>-152.75398392400001</v>
      </c>
      <c r="U2252">
        <v>0</v>
      </c>
      <c r="V2252">
        <v>0</v>
      </c>
    </row>
    <row r="2253" spans="1:22" x14ac:dyDescent="0.2">
      <c r="A2253"/>
      <c r="B2253">
        <v>50020</v>
      </c>
      <c r="C2253" t="s">
        <v>1948</v>
      </c>
      <c r="D2253" t="s">
        <v>1924</v>
      </c>
      <c r="E2253" t="s">
        <v>1275</v>
      </c>
      <c r="F2253" t="s">
        <v>1922</v>
      </c>
      <c r="G2253">
        <v>680.12</v>
      </c>
      <c r="H2253" t="s">
        <v>248</v>
      </c>
      <c r="Q2253">
        <v>2805.7484481299998</v>
      </c>
      <c r="R2253">
        <v>31174.100810100001</v>
      </c>
      <c r="S2253">
        <v>-20.246324196500002</v>
      </c>
      <c r="T2253">
        <v>-174.87541301600001</v>
      </c>
      <c r="U2253">
        <v>0</v>
      </c>
      <c r="V2253">
        <v>0</v>
      </c>
    </row>
    <row r="2254" spans="1:22" x14ac:dyDescent="0.2">
      <c r="A2254"/>
      <c r="B2254">
        <v>50022</v>
      </c>
      <c r="C2254" t="s">
        <v>1949</v>
      </c>
      <c r="D2254" t="s">
        <v>1924</v>
      </c>
      <c r="E2254" t="s">
        <v>1275</v>
      </c>
      <c r="F2254" t="s">
        <v>1922</v>
      </c>
      <c r="G2254">
        <v>716</v>
      </c>
      <c r="H2254" t="s">
        <v>248</v>
      </c>
      <c r="Q2254">
        <v>2769.9792025900001</v>
      </c>
      <c r="R2254">
        <v>31175.302938600002</v>
      </c>
      <c r="S2254">
        <v>-20.314491131899999</v>
      </c>
      <c r="T2254">
        <v>171.02633424499999</v>
      </c>
      <c r="U2254">
        <v>0</v>
      </c>
      <c r="V2254">
        <v>0</v>
      </c>
    </row>
    <row r="2255" spans="1:22" x14ac:dyDescent="0.2">
      <c r="A2255"/>
      <c r="B2255">
        <v>50023</v>
      </c>
      <c r="C2255" t="s">
        <v>1950</v>
      </c>
      <c r="D2255" t="s">
        <v>920</v>
      </c>
      <c r="E2255" t="s">
        <v>1275</v>
      </c>
      <c r="F2255" t="s">
        <v>1951</v>
      </c>
      <c r="G2255">
        <v>78.37</v>
      </c>
      <c r="H2255" t="s">
        <v>248</v>
      </c>
      <c r="Q2255">
        <v>2585.4981592499998</v>
      </c>
      <c r="R2255">
        <v>31285.959981200001</v>
      </c>
      <c r="S2255">
        <v>-22.764272077200001</v>
      </c>
      <c r="T2255">
        <v>152.61143605500001</v>
      </c>
      <c r="U2255">
        <v>0</v>
      </c>
      <c r="V2255">
        <v>0</v>
      </c>
    </row>
    <row r="2256" spans="1:22" x14ac:dyDescent="0.2">
      <c r="A2256"/>
      <c r="B2256">
        <v>50024</v>
      </c>
      <c r="C2256" t="s">
        <v>1952</v>
      </c>
      <c r="D2256" t="s">
        <v>1924</v>
      </c>
      <c r="E2256" t="s">
        <v>1275</v>
      </c>
      <c r="F2256" t="s">
        <v>1922</v>
      </c>
      <c r="G2256">
        <v>99.37</v>
      </c>
      <c r="H2256" t="s">
        <v>248</v>
      </c>
      <c r="Q2256">
        <v>3241.5156679299998</v>
      </c>
      <c r="R2256">
        <v>31501.970315400002</v>
      </c>
      <c r="S2256">
        <v>-10.915350995400001</v>
      </c>
      <c r="T2256">
        <v>-95.408973780500006</v>
      </c>
      <c r="U2256">
        <v>0</v>
      </c>
      <c r="V2256">
        <v>0</v>
      </c>
    </row>
    <row r="2257" spans="1:22" x14ac:dyDescent="0.2">
      <c r="A2257"/>
      <c r="B2257">
        <v>50025</v>
      </c>
      <c r="C2257" t="s">
        <v>1953</v>
      </c>
      <c r="D2257" t="s">
        <v>1924</v>
      </c>
      <c r="E2257" t="s">
        <v>1275</v>
      </c>
      <c r="F2257" t="s">
        <v>1922</v>
      </c>
      <c r="G2257">
        <v>120.37</v>
      </c>
      <c r="H2257" t="s">
        <v>248</v>
      </c>
      <c r="Q2257">
        <v>3239.4448710800002</v>
      </c>
      <c r="R2257">
        <v>31481.073412400001</v>
      </c>
      <c r="S2257">
        <v>-11.0829315349</v>
      </c>
      <c r="T2257">
        <v>-95.927820543400003</v>
      </c>
      <c r="U2257">
        <v>0</v>
      </c>
      <c r="V2257">
        <v>0</v>
      </c>
    </row>
    <row r="2258" spans="1:22" x14ac:dyDescent="0.2">
      <c r="A2258"/>
      <c r="B2258">
        <v>50026</v>
      </c>
      <c r="C2258" t="s">
        <v>1954</v>
      </c>
      <c r="D2258" t="s">
        <v>1924</v>
      </c>
      <c r="E2258" t="s">
        <v>1275</v>
      </c>
      <c r="F2258" t="s">
        <v>1955</v>
      </c>
      <c r="G2258">
        <v>80.78</v>
      </c>
      <c r="H2258" t="s">
        <v>248</v>
      </c>
      <c r="Q2258">
        <v>2349.2449029300001</v>
      </c>
      <c r="R2258">
        <v>31394.1170012</v>
      </c>
      <c r="S2258">
        <v>-27.9443909443</v>
      </c>
      <c r="T2258">
        <v>155.110831647</v>
      </c>
      <c r="U2258">
        <v>0</v>
      </c>
      <c r="V2258">
        <v>0</v>
      </c>
    </row>
    <row r="2259" spans="1:22" x14ac:dyDescent="0.2">
      <c r="A2259"/>
      <c r="B2259">
        <v>50027</v>
      </c>
      <c r="C2259" t="s">
        <v>1956</v>
      </c>
      <c r="D2259" t="s">
        <v>1924</v>
      </c>
      <c r="E2259" t="s">
        <v>1275</v>
      </c>
      <c r="F2259" t="s">
        <v>1955</v>
      </c>
      <c r="G2259">
        <v>80.78</v>
      </c>
      <c r="H2259" t="s">
        <v>248</v>
      </c>
      <c r="Q2259">
        <v>2349.2449029300001</v>
      </c>
      <c r="R2259">
        <v>31394.1170012</v>
      </c>
      <c r="S2259">
        <v>-27.9443909443</v>
      </c>
      <c r="T2259">
        <v>155.110831647</v>
      </c>
      <c r="U2259">
        <v>0</v>
      </c>
      <c r="V2259">
        <v>0</v>
      </c>
    </row>
    <row r="2260" spans="1:22" x14ac:dyDescent="0.2">
      <c r="A2260"/>
      <c r="B2260">
        <v>50028</v>
      </c>
      <c r="C2260" t="s">
        <v>1957</v>
      </c>
      <c r="D2260" t="s">
        <v>1924</v>
      </c>
      <c r="E2260" t="s">
        <v>1275</v>
      </c>
      <c r="F2260" t="s">
        <v>1958</v>
      </c>
      <c r="G2260">
        <v>38</v>
      </c>
      <c r="H2260" t="s">
        <v>248</v>
      </c>
      <c r="Q2260">
        <v>2226.7409250599999</v>
      </c>
      <c r="R2260">
        <v>31447.822472200001</v>
      </c>
      <c r="S2260">
        <v>-29.616779334099999</v>
      </c>
      <c r="T2260">
        <v>156.869973767</v>
      </c>
      <c r="U2260">
        <v>0</v>
      </c>
      <c r="V2260">
        <v>0</v>
      </c>
    </row>
    <row r="2261" spans="1:22" x14ac:dyDescent="0.2">
      <c r="A2261"/>
      <c r="B2261">
        <v>50029</v>
      </c>
      <c r="C2261" t="s">
        <v>1959</v>
      </c>
      <c r="D2261" t="s">
        <v>1924</v>
      </c>
      <c r="E2261" t="s">
        <v>1275</v>
      </c>
      <c r="F2261" t="s">
        <v>1958</v>
      </c>
      <c r="G2261">
        <v>74.78</v>
      </c>
      <c r="H2261" t="s">
        <v>248</v>
      </c>
      <c r="Q2261">
        <v>2192.9185663200001</v>
      </c>
      <c r="R2261">
        <v>31462.265646200001</v>
      </c>
      <c r="S2261">
        <v>-30.076309132199999</v>
      </c>
      <c r="T2261">
        <v>156.881846271</v>
      </c>
      <c r="U2261">
        <v>0</v>
      </c>
      <c r="V2261">
        <v>0</v>
      </c>
    </row>
    <row r="2262" spans="1:22" x14ac:dyDescent="0.2">
      <c r="A2262"/>
      <c r="B2262">
        <v>50030</v>
      </c>
      <c r="C2262" t="s">
        <v>1960</v>
      </c>
      <c r="D2262" t="s">
        <v>1924</v>
      </c>
      <c r="E2262" t="s">
        <v>1275</v>
      </c>
      <c r="F2262" t="s">
        <v>1958</v>
      </c>
      <c r="G2262">
        <v>135.03</v>
      </c>
      <c r="H2262" t="s">
        <v>248</v>
      </c>
      <c r="Q2262">
        <v>2137.5076941000002</v>
      </c>
      <c r="R2262">
        <v>31485.911683900002</v>
      </c>
      <c r="S2262">
        <v>-30.826387144200002</v>
      </c>
      <c r="T2262">
        <v>156.89690183600001</v>
      </c>
      <c r="U2262">
        <v>0</v>
      </c>
      <c r="V2262">
        <v>0</v>
      </c>
    </row>
    <row r="2263" spans="1:22" x14ac:dyDescent="0.2">
      <c r="A2263"/>
      <c r="B2263">
        <v>50031</v>
      </c>
      <c r="C2263" t="s">
        <v>1961</v>
      </c>
      <c r="D2263" t="s">
        <v>1924</v>
      </c>
      <c r="E2263" t="s">
        <v>1275</v>
      </c>
      <c r="F2263" t="s">
        <v>1958</v>
      </c>
      <c r="G2263">
        <v>170.9</v>
      </c>
      <c r="H2263" t="s">
        <v>248</v>
      </c>
      <c r="Q2263">
        <v>2104.5176408699999</v>
      </c>
      <c r="R2263">
        <v>31499.986824600001</v>
      </c>
      <c r="S2263">
        <v>-31.277712902099999</v>
      </c>
      <c r="T2263">
        <v>156.888734277</v>
      </c>
      <c r="U2263">
        <v>0</v>
      </c>
      <c r="V2263">
        <v>0</v>
      </c>
    </row>
    <row r="2264" spans="1:22" x14ac:dyDescent="0.2">
      <c r="A2264"/>
      <c r="B2264">
        <v>50032</v>
      </c>
      <c r="C2264" t="s">
        <v>1962</v>
      </c>
      <c r="D2264" t="s">
        <v>1924</v>
      </c>
      <c r="E2264" t="s">
        <v>1275</v>
      </c>
      <c r="F2264" t="s">
        <v>1963</v>
      </c>
      <c r="G2264">
        <v>18.8</v>
      </c>
      <c r="H2264" t="s">
        <v>248</v>
      </c>
      <c r="Q2264">
        <v>2316.82412067</v>
      </c>
      <c r="R2264">
        <v>31377.363318799999</v>
      </c>
      <c r="S2264">
        <v>-28.2425287752</v>
      </c>
      <c r="T2264">
        <v>-175.14843089300001</v>
      </c>
      <c r="U2264">
        <v>0</v>
      </c>
      <c r="V2264">
        <v>0</v>
      </c>
    </row>
    <row r="2265" spans="1:22" x14ac:dyDescent="0.2">
      <c r="A2265"/>
      <c r="B2265">
        <v>50033</v>
      </c>
      <c r="C2265" t="s">
        <v>1964</v>
      </c>
      <c r="D2265" t="s">
        <v>1924</v>
      </c>
      <c r="E2265" t="s">
        <v>1275</v>
      </c>
      <c r="F2265" t="s">
        <v>1965</v>
      </c>
      <c r="G2265">
        <v>60</v>
      </c>
      <c r="H2265" t="s">
        <v>248</v>
      </c>
      <c r="Q2265">
        <v>2240.95063351</v>
      </c>
      <c r="R2265">
        <v>31364.3094365</v>
      </c>
      <c r="S2265">
        <v>-29.045563205200001</v>
      </c>
      <c r="T2265">
        <v>-165.41548576899999</v>
      </c>
      <c r="U2265">
        <v>0</v>
      </c>
      <c r="V2265">
        <v>0</v>
      </c>
    </row>
    <row r="2266" spans="1:22" x14ac:dyDescent="0.2">
      <c r="A2266"/>
      <c r="B2266">
        <v>50033</v>
      </c>
      <c r="C2266" t="s">
        <v>1964</v>
      </c>
      <c r="D2266" t="s">
        <v>1924</v>
      </c>
      <c r="E2266" t="s">
        <v>1275</v>
      </c>
      <c r="F2266" t="s">
        <v>1966</v>
      </c>
      <c r="G2266">
        <v>34.950000000000003</v>
      </c>
      <c r="H2266" t="s">
        <v>248</v>
      </c>
      <c r="Q2266">
        <v>2240.95063351</v>
      </c>
      <c r="R2266">
        <v>31364.3094365</v>
      </c>
      <c r="S2266">
        <v>-29.045563205200001</v>
      </c>
      <c r="T2266">
        <v>-165.41548576899999</v>
      </c>
      <c r="U2266">
        <v>0</v>
      </c>
      <c r="V2266">
        <v>0</v>
      </c>
    </row>
    <row r="2267" spans="1:22" x14ac:dyDescent="0.2">
      <c r="A2267"/>
      <c r="B2267">
        <v>50034</v>
      </c>
      <c r="C2267" t="s">
        <v>1967</v>
      </c>
      <c r="D2267" t="s">
        <v>1924</v>
      </c>
      <c r="E2267" t="s">
        <v>1275</v>
      </c>
      <c r="F2267" t="s">
        <v>1965</v>
      </c>
      <c r="G2267">
        <v>95.88</v>
      </c>
      <c r="H2267" t="s">
        <v>248</v>
      </c>
      <c r="Q2267">
        <v>2206.2207470899998</v>
      </c>
      <c r="R2267">
        <v>31355.304798199999</v>
      </c>
      <c r="S2267">
        <v>-29.4001178856</v>
      </c>
      <c r="T2267">
        <v>-165.48064438200001</v>
      </c>
      <c r="U2267">
        <v>0</v>
      </c>
      <c r="V2267">
        <v>0</v>
      </c>
    </row>
    <row r="2268" spans="1:22" x14ac:dyDescent="0.2">
      <c r="A2268"/>
      <c r="B2268">
        <v>50035</v>
      </c>
      <c r="C2268" t="s">
        <v>1968</v>
      </c>
      <c r="D2268" t="s">
        <v>1924</v>
      </c>
      <c r="E2268" t="s">
        <v>1275</v>
      </c>
      <c r="F2268" t="s">
        <v>1965</v>
      </c>
      <c r="G2268">
        <v>156.13</v>
      </c>
      <c r="H2268" t="s">
        <v>248</v>
      </c>
      <c r="Q2268">
        <v>2147.9079755299999</v>
      </c>
      <c r="R2268">
        <v>31340.1609431</v>
      </c>
      <c r="S2268">
        <v>-29.988510406</v>
      </c>
      <c r="T2268">
        <v>-165.398945045</v>
      </c>
      <c r="U2268">
        <v>0</v>
      </c>
      <c r="V2268">
        <v>0</v>
      </c>
    </row>
    <row r="2269" spans="1:22" x14ac:dyDescent="0.2">
      <c r="A2269"/>
      <c r="B2269">
        <v>50036</v>
      </c>
      <c r="C2269" t="s">
        <v>1969</v>
      </c>
      <c r="D2269" t="s">
        <v>1924</v>
      </c>
      <c r="E2269" t="s">
        <v>1275</v>
      </c>
      <c r="F2269" t="s">
        <v>1965</v>
      </c>
      <c r="G2269">
        <v>192</v>
      </c>
      <c r="H2269" t="s">
        <v>248</v>
      </c>
      <c r="Q2269">
        <v>2113.2027309999999</v>
      </c>
      <c r="R2269">
        <v>31331.101243199999</v>
      </c>
      <c r="S2269">
        <v>-30.3415290067</v>
      </c>
      <c r="T2269">
        <v>-165.33885776100001</v>
      </c>
      <c r="U2269">
        <v>0</v>
      </c>
      <c r="V2269">
        <v>0</v>
      </c>
    </row>
    <row r="2270" spans="1:22" x14ac:dyDescent="0.2">
      <c r="A2270"/>
      <c r="B2270">
        <v>50037</v>
      </c>
      <c r="C2270" t="s">
        <v>1970</v>
      </c>
      <c r="D2270" t="s">
        <v>1924</v>
      </c>
      <c r="E2270" t="s">
        <v>1275</v>
      </c>
      <c r="F2270" t="s">
        <v>1965</v>
      </c>
      <c r="G2270">
        <v>237.84</v>
      </c>
      <c r="H2270" t="s">
        <v>248</v>
      </c>
      <c r="Q2270">
        <v>2068.8662819299998</v>
      </c>
      <c r="R2270">
        <v>31319.466027099999</v>
      </c>
      <c r="S2270">
        <v>-30.7956269431</v>
      </c>
      <c r="T2270">
        <v>-165.24972645099999</v>
      </c>
      <c r="U2270">
        <v>0</v>
      </c>
      <c r="V2270">
        <v>0</v>
      </c>
    </row>
    <row r="2271" spans="1:22" x14ac:dyDescent="0.2">
      <c r="A2271"/>
      <c r="B2271">
        <v>50038</v>
      </c>
      <c r="C2271" t="s">
        <v>1971</v>
      </c>
      <c r="D2271" t="s">
        <v>1924</v>
      </c>
      <c r="E2271" t="s">
        <v>1275</v>
      </c>
      <c r="F2271" t="s">
        <v>1972</v>
      </c>
      <c r="G2271">
        <v>41.31</v>
      </c>
      <c r="H2271" t="s">
        <v>248</v>
      </c>
      <c r="Q2271">
        <v>2231.2639495899998</v>
      </c>
      <c r="R2271">
        <v>31369.405089700002</v>
      </c>
      <c r="S2271">
        <v>-29.167646017300001</v>
      </c>
      <c r="T2271">
        <v>-167.398735829</v>
      </c>
      <c r="U2271">
        <v>0</v>
      </c>
      <c r="V2271">
        <v>0</v>
      </c>
    </row>
    <row r="2272" spans="1:22" x14ac:dyDescent="0.2">
      <c r="A2272"/>
      <c r="B2272">
        <v>50039</v>
      </c>
      <c r="C2272" t="s">
        <v>1973</v>
      </c>
      <c r="D2272" t="s">
        <v>1924</v>
      </c>
      <c r="E2272" t="s">
        <v>1275</v>
      </c>
      <c r="F2272" t="s">
        <v>1972</v>
      </c>
      <c r="G2272">
        <v>77.19</v>
      </c>
      <c r="H2272" t="s">
        <v>248</v>
      </c>
      <c r="Q2272">
        <v>2196.5239997100002</v>
      </c>
      <c r="R2272">
        <v>31360.448989199998</v>
      </c>
      <c r="S2272">
        <v>-29.529965480000001</v>
      </c>
      <c r="T2272">
        <v>-165.099586673</v>
      </c>
      <c r="U2272">
        <v>0</v>
      </c>
      <c r="V2272">
        <v>0</v>
      </c>
    </row>
    <row r="2273" spans="1:22" x14ac:dyDescent="0.2">
      <c r="A2273"/>
      <c r="B2273">
        <v>50040</v>
      </c>
      <c r="C2273" t="s">
        <v>1974</v>
      </c>
      <c r="D2273" t="s">
        <v>1924</v>
      </c>
      <c r="E2273" t="s">
        <v>1275</v>
      </c>
      <c r="F2273" t="s">
        <v>1972</v>
      </c>
      <c r="G2273">
        <v>137.44</v>
      </c>
      <c r="H2273" t="s">
        <v>248</v>
      </c>
      <c r="Q2273">
        <v>2138.3284764099999</v>
      </c>
      <c r="R2273">
        <v>31344.860833300001</v>
      </c>
      <c r="S2273">
        <v>-30.122652442100001</v>
      </c>
      <c r="T2273">
        <v>-164.944416217</v>
      </c>
      <c r="U2273">
        <v>0</v>
      </c>
      <c r="V2273">
        <v>0</v>
      </c>
    </row>
    <row r="2274" spans="1:22" x14ac:dyDescent="0.2">
      <c r="A2274"/>
      <c r="B2274">
        <v>50041</v>
      </c>
      <c r="C2274" t="s">
        <v>1975</v>
      </c>
      <c r="D2274" t="s">
        <v>1924</v>
      </c>
      <c r="E2274" t="s">
        <v>1275</v>
      </c>
      <c r="F2274" t="s">
        <v>1972</v>
      </c>
      <c r="G2274">
        <v>173.31</v>
      </c>
      <c r="H2274" t="s">
        <v>248</v>
      </c>
      <c r="Q2274">
        <v>2103.6965128900001</v>
      </c>
      <c r="R2274">
        <v>31335.524894400001</v>
      </c>
      <c r="S2274">
        <v>-30.474963085100001</v>
      </c>
      <c r="T2274">
        <v>-164.88291685600001</v>
      </c>
      <c r="U2274">
        <v>0</v>
      </c>
      <c r="V2274">
        <v>0</v>
      </c>
    </row>
    <row r="2275" spans="1:22" x14ac:dyDescent="0.2">
      <c r="A2275"/>
      <c r="B2275">
        <v>50042</v>
      </c>
      <c r="C2275" t="s">
        <v>1976</v>
      </c>
      <c r="D2275" t="s">
        <v>1924</v>
      </c>
      <c r="E2275" t="s">
        <v>1275</v>
      </c>
      <c r="F2275" t="s">
        <v>1977</v>
      </c>
      <c r="G2275">
        <v>41.31</v>
      </c>
      <c r="H2275" t="s">
        <v>248</v>
      </c>
      <c r="Q2275">
        <v>2230.9240808</v>
      </c>
      <c r="R2275">
        <v>31372.257758600001</v>
      </c>
      <c r="S2275">
        <v>-29.191018803199999</v>
      </c>
      <c r="T2275">
        <v>-173.98726399899999</v>
      </c>
      <c r="U2275">
        <v>0</v>
      </c>
      <c r="V2275">
        <v>0</v>
      </c>
    </row>
    <row r="2276" spans="1:22" x14ac:dyDescent="0.2">
      <c r="A2276"/>
      <c r="B2276">
        <v>50043</v>
      </c>
      <c r="C2276" t="s">
        <v>1978</v>
      </c>
      <c r="D2276" t="s">
        <v>1924</v>
      </c>
      <c r="E2276" t="s">
        <v>1275</v>
      </c>
      <c r="F2276" t="s">
        <v>1977</v>
      </c>
      <c r="G2276">
        <v>77.19</v>
      </c>
      <c r="H2276" t="s">
        <v>248</v>
      </c>
      <c r="Q2276">
        <v>2195.7802169400002</v>
      </c>
      <c r="R2276">
        <v>31365.197690500001</v>
      </c>
      <c r="S2276">
        <v>-29.5628740513</v>
      </c>
      <c r="T2276">
        <v>-166.31944754700001</v>
      </c>
      <c r="U2276">
        <v>0</v>
      </c>
      <c r="V2276">
        <v>0</v>
      </c>
    </row>
    <row r="2277" spans="1:22" x14ac:dyDescent="0.2">
      <c r="A2277"/>
      <c r="B2277">
        <v>50044</v>
      </c>
      <c r="C2277" t="s">
        <v>1979</v>
      </c>
      <c r="D2277" t="s">
        <v>1924</v>
      </c>
      <c r="E2277" t="s">
        <v>1275</v>
      </c>
      <c r="F2277" t="s">
        <v>1977</v>
      </c>
      <c r="G2277">
        <v>137.44</v>
      </c>
      <c r="H2277" t="s">
        <v>248</v>
      </c>
      <c r="Q2277">
        <v>2137.3255709300001</v>
      </c>
      <c r="R2277">
        <v>31350.612509400002</v>
      </c>
      <c r="S2277">
        <v>-30.1576252415</v>
      </c>
      <c r="T2277">
        <v>-165.710172957</v>
      </c>
      <c r="U2277">
        <v>0</v>
      </c>
      <c r="V2277">
        <v>0</v>
      </c>
    </row>
    <row r="2278" spans="1:22" x14ac:dyDescent="0.2">
      <c r="A2278"/>
      <c r="B2278">
        <v>50045</v>
      </c>
      <c r="C2278" t="s">
        <v>1980</v>
      </c>
      <c r="D2278" t="s">
        <v>1924</v>
      </c>
      <c r="E2278" t="s">
        <v>1275</v>
      </c>
      <c r="F2278" t="s">
        <v>1977</v>
      </c>
      <c r="G2278">
        <v>173.31</v>
      </c>
      <c r="H2278" t="s">
        <v>248</v>
      </c>
      <c r="Q2278">
        <v>2102.5822784000002</v>
      </c>
      <c r="R2278">
        <v>31341.700374100001</v>
      </c>
      <c r="S2278">
        <v>-30.522783249300002</v>
      </c>
      <c r="T2278">
        <v>-165.52304330699999</v>
      </c>
      <c r="U2278">
        <v>0</v>
      </c>
      <c r="V2278">
        <v>0</v>
      </c>
    </row>
    <row r="2279" spans="1:22" x14ac:dyDescent="0.2">
      <c r="A2279"/>
      <c r="B2279">
        <v>50046</v>
      </c>
      <c r="C2279" t="s">
        <v>1981</v>
      </c>
      <c r="D2279" t="s">
        <v>1924</v>
      </c>
      <c r="E2279" t="s">
        <v>1275</v>
      </c>
      <c r="F2279" t="s">
        <v>1966</v>
      </c>
      <c r="G2279">
        <v>70.83</v>
      </c>
      <c r="H2279" t="s">
        <v>248</v>
      </c>
      <c r="Q2279">
        <v>2181.1764060199998</v>
      </c>
      <c r="R2279">
        <v>31441.459772499999</v>
      </c>
      <c r="S2279">
        <v>-30.1073023394</v>
      </c>
      <c r="T2279">
        <v>156.813101746</v>
      </c>
      <c r="U2279">
        <v>0</v>
      </c>
      <c r="V2279">
        <v>0</v>
      </c>
    </row>
    <row r="2280" spans="1:22" x14ac:dyDescent="0.2">
      <c r="A2280"/>
      <c r="B2280">
        <v>50047</v>
      </c>
      <c r="C2280" t="s">
        <v>1982</v>
      </c>
      <c r="D2280" t="s">
        <v>1924</v>
      </c>
      <c r="E2280" t="s">
        <v>1275</v>
      </c>
      <c r="F2280" t="s">
        <v>1966</v>
      </c>
      <c r="G2280">
        <v>131.08000000000001</v>
      </c>
      <c r="H2280" t="s">
        <v>248</v>
      </c>
      <c r="Q2280">
        <v>2125.8329220800001</v>
      </c>
      <c r="R2280">
        <v>31465.2629562</v>
      </c>
      <c r="S2280">
        <v>-30.860268614599999</v>
      </c>
      <c r="T2280">
        <v>156.639691188</v>
      </c>
      <c r="U2280">
        <v>0</v>
      </c>
      <c r="V2280">
        <v>0</v>
      </c>
    </row>
    <row r="2281" spans="1:22" x14ac:dyDescent="0.2">
      <c r="A2281"/>
      <c r="B2281">
        <v>50048</v>
      </c>
      <c r="C2281" t="s">
        <v>1983</v>
      </c>
      <c r="D2281" t="s">
        <v>1924</v>
      </c>
      <c r="E2281" t="s">
        <v>1275</v>
      </c>
      <c r="F2281" t="s">
        <v>1966</v>
      </c>
      <c r="G2281">
        <v>166.95</v>
      </c>
      <c r="H2281" t="s">
        <v>248</v>
      </c>
      <c r="Q2281">
        <v>2092.91927657</v>
      </c>
      <c r="R2281">
        <v>31479.5159814</v>
      </c>
      <c r="S2281">
        <v>-31.307168108300001</v>
      </c>
      <c r="T2281">
        <v>156.53014797500001</v>
      </c>
      <c r="U2281">
        <v>0</v>
      </c>
      <c r="V2281">
        <v>0</v>
      </c>
    </row>
    <row r="2282" spans="1:22" x14ac:dyDescent="0.2">
      <c r="A2282"/>
      <c r="B2282">
        <v>50049</v>
      </c>
      <c r="C2282" t="s">
        <v>1984</v>
      </c>
      <c r="D2282" t="s">
        <v>1924</v>
      </c>
      <c r="E2282" t="s">
        <v>1275</v>
      </c>
      <c r="F2282" t="s">
        <v>1985</v>
      </c>
      <c r="G2282">
        <v>56.73</v>
      </c>
      <c r="H2282" t="s">
        <v>248</v>
      </c>
      <c r="Q2282">
        <v>2212.62755952</v>
      </c>
      <c r="R2282">
        <v>31433.869414199999</v>
      </c>
      <c r="S2282">
        <v>-29.7108646611</v>
      </c>
      <c r="T2282">
        <v>162.93101314899999</v>
      </c>
      <c r="U2282">
        <v>0</v>
      </c>
      <c r="V2282">
        <v>0</v>
      </c>
    </row>
    <row r="2283" spans="1:22" x14ac:dyDescent="0.2">
      <c r="A2283"/>
      <c r="B2283">
        <v>50050</v>
      </c>
      <c r="C2283" t="s">
        <v>1986</v>
      </c>
      <c r="D2283" t="s">
        <v>1924</v>
      </c>
      <c r="E2283" t="s">
        <v>1275</v>
      </c>
      <c r="F2283" t="s">
        <v>1985</v>
      </c>
      <c r="G2283">
        <v>92.61</v>
      </c>
      <c r="H2283" t="s">
        <v>248</v>
      </c>
      <c r="Q2283">
        <v>2179.3697720499999</v>
      </c>
      <c r="R2283">
        <v>31447.292741400001</v>
      </c>
      <c r="S2283">
        <v>-30.160770995299998</v>
      </c>
      <c r="T2283">
        <v>157.08528558399999</v>
      </c>
      <c r="U2283">
        <v>0</v>
      </c>
      <c r="V2283">
        <v>0</v>
      </c>
    </row>
    <row r="2284" spans="1:22" x14ac:dyDescent="0.2">
      <c r="A2284"/>
      <c r="B2284">
        <v>50051</v>
      </c>
      <c r="C2284" t="s">
        <v>1987</v>
      </c>
      <c r="D2284" t="s">
        <v>1924</v>
      </c>
      <c r="E2284" t="s">
        <v>1275</v>
      </c>
      <c r="F2284" t="s">
        <v>1985</v>
      </c>
      <c r="G2284">
        <v>152.9</v>
      </c>
      <c r="H2284" t="s">
        <v>248</v>
      </c>
      <c r="Q2284">
        <v>2123.9731194599999</v>
      </c>
      <c r="R2284">
        <v>31471.072961400001</v>
      </c>
      <c r="S2284">
        <v>-30.913360566400002</v>
      </c>
      <c r="T2284">
        <v>156.51982033900001</v>
      </c>
      <c r="U2284">
        <v>0</v>
      </c>
      <c r="V2284">
        <v>0</v>
      </c>
    </row>
    <row r="2285" spans="1:22" x14ac:dyDescent="0.2">
      <c r="A2285"/>
      <c r="B2285">
        <v>50052</v>
      </c>
      <c r="C2285" t="s">
        <v>1988</v>
      </c>
      <c r="D2285" t="s">
        <v>1924</v>
      </c>
      <c r="E2285" t="s">
        <v>1275</v>
      </c>
      <c r="F2285" t="s">
        <v>1985</v>
      </c>
      <c r="G2285">
        <v>188.77</v>
      </c>
      <c r="H2285" t="s">
        <v>248</v>
      </c>
      <c r="Q2285">
        <v>2091.09690869</v>
      </c>
      <c r="R2285">
        <v>31485.4120893</v>
      </c>
      <c r="S2285">
        <v>-31.360983398399998</v>
      </c>
      <c r="T2285">
        <v>156.37345542099999</v>
      </c>
      <c r="U2285">
        <v>0</v>
      </c>
      <c r="V2285">
        <v>0</v>
      </c>
    </row>
    <row r="2286" spans="1:22" x14ac:dyDescent="0.2">
      <c r="A2286"/>
      <c r="B2286">
        <v>50053</v>
      </c>
      <c r="C2286" t="s">
        <v>1989</v>
      </c>
      <c r="D2286" t="s">
        <v>1924</v>
      </c>
      <c r="E2286" t="s">
        <v>1275</v>
      </c>
      <c r="F2286" t="s">
        <v>1990</v>
      </c>
      <c r="G2286">
        <v>56.73</v>
      </c>
      <c r="H2286" t="s">
        <v>248</v>
      </c>
      <c r="Q2286">
        <v>2213.7307993999998</v>
      </c>
      <c r="R2286">
        <v>31438.390474</v>
      </c>
      <c r="S2286">
        <v>-29.719647389399999</v>
      </c>
      <c r="T2286">
        <v>161.52882719499999</v>
      </c>
      <c r="U2286">
        <v>0</v>
      </c>
      <c r="V2286">
        <v>0</v>
      </c>
    </row>
    <row r="2287" spans="1:22" x14ac:dyDescent="0.2">
      <c r="A2287"/>
      <c r="B2287">
        <v>50054</v>
      </c>
      <c r="C2287" t="s">
        <v>1991</v>
      </c>
      <c r="D2287" t="s">
        <v>1924</v>
      </c>
      <c r="E2287" t="s">
        <v>1275</v>
      </c>
      <c r="F2287" t="s">
        <v>1990</v>
      </c>
      <c r="G2287">
        <v>92.51</v>
      </c>
      <c r="H2287" t="s">
        <v>248</v>
      </c>
      <c r="Q2287">
        <v>2180.4920392200002</v>
      </c>
      <c r="R2287">
        <v>31451.590487500001</v>
      </c>
      <c r="S2287">
        <v>-30.1675291888</v>
      </c>
      <c r="T2287">
        <v>156.71882764099999</v>
      </c>
      <c r="U2287">
        <v>0</v>
      </c>
      <c r="V2287">
        <v>0</v>
      </c>
    </row>
    <row r="2288" spans="1:22" x14ac:dyDescent="0.2">
      <c r="A2288"/>
      <c r="B2288">
        <v>50055</v>
      </c>
      <c r="C2288" t="s">
        <v>1992</v>
      </c>
      <c r="D2288" t="s">
        <v>1924</v>
      </c>
      <c r="E2288" t="s">
        <v>1275</v>
      </c>
      <c r="F2288" t="s">
        <v>1990</v>
      </c>
      <c r="G2288">
        <v>152.86000000000001</v>
      </c>
      <c r="H2288" t="s">
        <v>248</v>
      </c>
      <c r="Q2288">
        <v>2125.1341792399999</v>
      </c>
      <c r="R2288">
        <v>31475.612518599999</v>
      </c>
      <c r="S2288">
        <v>-30.920872920400001</v>
      </c>
      <c r="T2288">
        <v>156.53341335499999</v>
      </c>
      <c r="U2288">
        <v>0</v>
      </c>
      <c r="V2288">
        <v>0</v>
      </c>
    </row>
    <row r="2289" spans="1:22" x14ac:dyDescent="0.2">
      <c r="A2289"/>
      <c r="B2289">
        <v>50056</v>
      </c>
      <c r="C2289" t="s">
        <v>1993</v>
      </c>
      <c r="D2289" t="s">
        <v>1924</v>
      </c>
      <c r="E2289" t="s">
        <v>1275</v>
      </c>
      <c r="F2289" t="s">
        <v>1990</v>
      </c>
      <c r="G2289">
        <v>188.73</v>
      </c>
      <c r="H2289" t="s">
        <v>248</v>
      </c>
      <c r="Q2289">
        <v>2092.2260467800002</v>
      </c>
      <c r="R2289">
        <v>31489.878232499999</v>
      </c>
      <c r="S2289">
        <v>-31.369252526499999</v>
      </c>
      <c r="T2289">
        <v>156.58210033399999</v>
      </c>
      <c r="U2289">
        <v>0</v>
      </c>
      <c r="V2289">
        <v>0</v>
      </c>
    </row>
    <row r="2290" spans="1:22" x14ac:dyDescent="0.2">
      <c r="A2290"/>
      <c r="B2290">
        <v>50057</v>
      </c>
      <c r="C2290" t="s">
        <v>1994</v>
      </c>
      <c r="D2290" t="s">
        <v>1924</v>
      </c>
      <c r="E2290" t="s">
        <v>1275</v>
      </c>
      <c r="F2290" t="s">
        <v>1995</v>
      </c>
      <c r="G2290">
        <v>47.03</v>
      </c>
      <c r="H2290" t="s">
        <v>248</v>
      </c>
      <c r="Q2290">
        <v>2245.76697126</v>
      </c>
      <c r="R2290">
        <v>31433.694445000001</v>
      </c>
      <c r="S2290">
        <v>-29.317153346800001</v>
      </c>
      <c r="T2290">
        <v>164.71533224800001</v>
      </c>
      <c r="U2290">
        <v>0</v>
      </c>
      <c r="V2290">
        <v>0</v>
      </c>
    </row>
    <row r="2291" spans="1:22" x14ac:dyDescent="0.2">
      <c r="A2291"/>
      <c r="B2291">
        <v>50058</v>
      </c>
      <c r="C2291" t="s">
        <v>1996</v>
      </c>
      <c r="D2291" t="s">
        <v>1924</v>
      </c>
      <c r="E2291" t="s">
        <v>1275</v>
      </c>
      <c r="F2291" t="s">
        <v>1995</v>
      </c>
      <c r="G2291">
        <v>82.91</v>
      </c>
      <c r="H2291" t="s">
        <v>248</v>
      </c>
      <c r="Q2291">
        <v>2211.52985214</v>
      </c>
      <c r="R2291">
        <v>31444.3891941</v>
      </c>
      <c r="S2291">
        <v>-29.7848980204</v>
      </c>
      <c r="T2291">
        <v>160.447461586</v>
      </c>
      <c r="U2291">
        <v>0</v>
      </c>
      <c r="V2291">
        <v>0</v>
      </c>
    </row>
    <row r="2292" spans="1:22" x14ac:dyDescent="0.2">
      <c r="A2292"/>
      <c r="B2292">
        <v>50059</v>
      </c>
      <c r="C2292" t="s">
        <v>1997</v>
      </c>
      <c r="D2292" t="s">
        <v>1924</v>
      </c>
      <c r="E2292" t="s">
        <v>1275</v>
      </c>
      <c r="F2292" t="s">
        <v>1995</v>
      </c>
      <c r="G2292">
        <v>143.16</v>
      </c>
      <c r="H2292" t="s">
        <v>248</v>
      </c>
      <c r="Q2292">
        <v>2155.8493097400001</v>
      </c>
      <c r="R2292">
        <v>31467.3594008</v>
      </c>
      <c r="S2292">
        <v>-30.533058143000002</v>
      </c>
      <c r="T2292">
        <v>156.55150385799999</v>
      </c>
      <c r="U2292">
        <v>0</v>
      </c>
      <c r="V2292">
        <v>0</v>
      </c>
    </row>
    <row r="2293" spans="1:22" x14ac:dyDescent="0.2">
      <c r="A2293"/>
      <c r="B2293">
        <v>50060</v>
      </c>
      <c r="C2293" t="s">
        <v>1998</v>
      </c>
      <c r="D2293" t="s">
        <v>1924</v>
      </c>
      <c r="E2293" t="s">
        <v>1275</v>
      </c>
      <c r="F2293" t="s">
        <v>1995</v>
      </c>
      <c r="G2293">
        <v>179.03</v>
      </c>
      <c r="H2293" t="s">
        <v>248</v>
      </c>
      <c r="Q2293">
        <v>2122.97499492</v>
      </c>
      <c r="R2293">
        <v>31481.703210299998</v>
      </c>
      <c r="S2293">
        <v>-30.9687793899</v>
      </c>
      <c r="T2293">
        <v>156.34026266699999</v>
      </c>
      <c r="U2293">
        <v>0</v>
      </c>
      <c r="V2293">
        <v>0</v>
      </c>
    </row>
    <row r="2294" spans="1:22" x14ac:dyDescent="0.2">
      <c r="A2294"/>
      <c r="B2294">
        <v>50061</v>
      </c>
      <c r="C2294" t="s">
        <v>1999</v>
      </c>
      <c r="D2294" t="s">
        <v>1924</v>
      </c>
      <c r="E2294" t="s">
        <v>1275</v>
      </c>
      <c r="F2294" t="s">
        <v>2000</v>
      </c>
      <c r="G2294">
        <v>40.15</v>
      </c>
      <c r="H2294" t="s">
        <v>248</v>
      </c>
      <c r="Q2294">
        <v>2223.55713264</v>
      </c>
      <c r="R2294">
        <v>31445.4102881</v>
      </c>
      <c r="S2294">
        <v>-29.643673775100002</v>
      </c>
      <c r="T2294">
        <v>161.86894599999999</v>
      </c>
      <c r="U2294">
        <v>0</v>
      </c>
      <c r="V2294">
        <v>0</v>
      </c>
    </row>
    <row r="2295" spans="1:22" x14ac:dyDescent="0.2">
      <c r="A2295"/>
      <c r="B2295">
        <v>50062</v>
      </c>
      <c r="C2295" t="s">
        <v>2001</v>
      </c>
      <c r="D2295" t="s">
        <v>1924</v>
      </c>
      <c r="E2295" t="s">
        <v>1275</v>
      </c>
      <c r="F2295" t="s">
        <v>2000</v>
      </c>
      <c r="G2295">
        <v>76.03</v>
      </c>
      <c r="H2295" t="s">
        <v>248</v>
      </c>
      <c r="Q2295">
        <v>2190.0343375900002</v>
      </c>
      <c r="R2295">
        <v>31458.154897</v>
      </c>
      <c r="S2295">
        <v>-30.078400154600001</v>
      </c>
      <c r="T2295">
        <v>157.07446511000001</v>
      </c>
      <c r="U2295">
        <v>0</v>
      </c>
      <c r="V2295">
        <v>0</v>
      </c>
    </row>
    <row r="2296" spans="1:22" x14ac:dyDescent="0.2">
      <c r="A2296"/>
      <c r="B2296">
        <v>50063</v>
      </c>
      <c r="C2296" t="s">
        <v>2002</v>
      </c>
      <c r="D2296" t="s">
        <v>1924</v>
      </c>
      <c r="E2296" t="s">
        <v>1275</v>
      </c>
      <c r="F2296" t="s">
        <v>2000</v>
      </c>
      <c r="G2296">
        <v>136.28</v>
      </c>
      <c r="H2296" t="s">
        <v>248</v>
      </c>
      <c r="Q2296">
        <v>2134.5600162800001</v>
      </c>
      <c r="R2296">
        <v>31481.651359200001</v>
      </c>
      <c r="S2296">
        <v>-30.838506020600001</v>
      </c>
      <c r="T2296">
        <v>156.990952486</v>
      </c>
      <c r="U2296">
        <v>0</v>
      </c>
      <c r="V2296">
        <v>0</v>
      </c>
    </row>
    <row r="2297" spans="1:22" x14ac:dyDescent="0.2">
      <c r="A2297"/>
      <c r="B2297">
        <v>50064</v>
      </c>
      <c r="C2297" t="s">
        <v>2003</v>
      </c>
      <c r="D2297" t="s">
        <v>1924</v>
      </c>
      <c r="E2297" t="s">
        <v>1275</v>
      </c>
      <c r="F2297" t="s">
        <v>2000</v>
      </c>
      <c r="G2297">
        <v>171.68</v>
      </c>
      <c r="H2297" t="s">
        <v>248</v>
      </c>
      <c r="Q2297">
        <v>2101.99190585</v>
      </c>
      <c r="R2297">
        <v>31495.517881600001</v>
      </c>
      <c r="S2297">
        <v>-31.282703036200001</v>
      </c>
      <c r="T2297">
        <v>156.87511690700001</v>
      </c>
      <c r="U2297">
        <v>0</v>
      </c>
      <c r="V2297">
        <v>0</v>
      </c>
    </row>
    <row r="2298" spans="1:22" x14ac:dyDescent="0.2">
      <c r="A2298"/>
      <c r="B2298">
        <v>50065</v>
      </c>
      <c r="C2298" t="s">
        <v>2004</v>
      </c>
      <c r="D2298" t="s">
        <v>1924</v>
      </c>
      <c r="E2298" t="s">
        <v>1275</v>
      </c>
      <c r="F2298" t="s">
        <v>2005</v>
      </c>
      <c r="G2298">
        <v>22</v>
      </c>
      <c r="H2298" t="s">
        <v>248</v>
      </c>
      <c r="Q2298">
        <v>2272.0529345599998</v>
      </c>
      <c r="R2298">
        <v>31438.6027851</v>
      </c>
      <c r="S2298">
        <v>-29.048281634399999</v>
      </c>
      <c r="T2298">
        <v>155.26444714499999</v>
      </c>
      <c r="U2298">
        <v>0</v>
      </c>
      <c r="V2298">
        <v>0</v>
      </c>
    </row>
    <row r="2299" spans="1:22" x14ac:dyDescent="0.2">
      <c r="A2299"/>
      <c r="B2299">
        <v>50066</v>
      </c>
      <c r="C2299" t="s">
        <v>2006</v>
      </c>
      <c r="D2299" t="s">
        <v>1924</v>
      </c>
      <c r="E2299" t="s">
        <v>1275</v>
      </c>
      <c r="F2299" t="s">
        <v>2005</v>
      </c>
      <c r="G2299">
        <v>80.95</v>
      </c>
      <c r="H2299" t="s">
        <v>248</v>
      </c>
      <c r="Q2299">
        <v>2217.92086242</v>
      </c>
      <c r="R2299">
        <v>31461.928426300001</v>
      </c>
      <c r="S2299">
        <v>-29.785328166799999</v>
      </c>
      <c r="T2299">
        <v>156.96969848099999</v>
      </c>
      <c r="U2299">
        <v>0</v>
      </c>
      <c r="V2299">
        <v>0</v>
      </c>
    </row>
    <row r="2300" spans="1:22" x14ac:dyDescent="0.2">
      <c r="A2300"/>
      <c r="B2300">
        <v>50067</v>
      </c>
      <c r="C2300" t="s">
        <v>2007</v>
      </c>
      <c r="D2300" t="s">
        <v>1924</v>
      </c>
      <c r="E2300" t="s">
        <v>1275</v>
      </c>
      <c r="F2300" t="s">
        <v>2005</v>
      </c>
      <c r="G2300">
        <v>141.19999999999999</v>
      </c>
      <c r="H2300" t="s">
        <v>248</v>
      </c>
      <c r="Q2300">
        <v>2162.4834735600002</v>
      </c>
      <c r="R2300">
        <v>31485.512116099999</v>
      </c>
      <c r="S2300">
        <v>-30.538937669100001</v>
      </c>
      <c r="T2300">
        <v>156.94500911</v>
      </c>
      <c r="U2300">
        <v>0</v>
      </c>
      <c r="V2300">
        <v>0</v>
      </c>
    </row>
    <row r="2301" spans="1:22" x14ac:dyDescent="0.2">
      <c r="A2301"/>
      <c r="B2301">
        <v>50068</v>
      </c>
      <c r="C2301" t="s">
        <v>2008</v>
      </c>
      <c r="D2301" t="s">
        <v>1924</v>
      </c>
      <c r="E2301" t="s">
        <v>1275</v>
      </c>
      <c r="F2301" t="s">
        <v>2005</v>
      </c>
      <c r="G2301">
        <v>177.07</v>
      </c>
      <c r="H2301" t="s">
        <v>248</v>
      </c>
      <c r="Q2301">
        <v>2129.4806435800001</v>
      </c>
      <c r="R2301">
        <v>31499.5573688</v>
      </c>
      <c r="S2301">
        <v>-30.9872553543</v>
      </c>
      <c r="T2301">
        <v>156.950683637</v>
      </c>
      <c r="U2301">
        <v>0</v>
      </c>
      <c r="V2301">
        <v>0</v>
      </c>
    </row>
    <row r="2302" spans="1:22" x14ac:dyDescent="0.2">
      <c r="A2302"/>
      <c r="B2302">
        <v>50069</v>
      </c>
      <c r="C2302" t="s">
        <v>2009</v>
      </c>
      <c r="D2302" t="s">
        <v>1924</v>
      </c>
      <c r="E2302" t="s">
        <v>1275</v>
      </c>
      <c r="F2302" t="s">
        <v>2005</v>
      </c>
      <c r="G2302">
        <v>21.47</v>
      </c>
      <c r="H2302" t="s">
        <v>248</v>
      </c>
      <c r="Q2302">
        <v>2272.5341155599999</v>
      </c>
      <c r="R2302">
        <v>31438.380698500001</v>
      </c>
      <c r="S2302">
        <v>-29.041773855500001</v>
      </c>
      <c r="T2302">
        <v>155.184006643</v>
      </c>
      <c r="U2302">
        <v>0</v>
      </c>
      <c r="V2302">
        <v>0</v>
      </c>
    </row>
    <row r="2303" spans="1:22" x14ac:dyDescent="0.2">
      <c r="A2303"/>
      <c r="B2303">
        <v>50070</v>
      </c>
      <c r="C2303" t="s">
        <v>2010</v>
      </c>
      <c r="D2303" t="s">
        <v>1924</v>
      </c>
      <c r="E2303" t="s">
        <v>1275</v>
      </c>
      <c r="F2303" t="s">
        <v>2011</v>
      </c>
      <c r="G2303">
        <v>78.680000000000007</v>
      </c>
      <c r="H2303" t="s">
        <v>248</v>
      </c>
      <c r="Q2303">
        <v>2222.1354415199999</v>
      </c>
      <c r="R2303">
        <v>31465.167559900001</v>
      </c>
      <c r="S2303">
        <v>-29.756283798399998</v>
      </c>
      <c r="T2303">
        <v>156.75722649299999</v>
      </c>
      <c r="U2303">
        <v>0</v>
      </c>
      <c r="V2303">
        <v>0</v>
      </c>
    </row>
    <row r="2304" spans="1:22" x14ac:dyDescent="0.2">
      <c r="A2304"/>
      <c r="B2304">
        <v>50071</v>
      </c>
      <c r="C2304" t="s">
        <v>2012</v>
      </c>
      <c r="D2304" t="s">
        <v>1924</v>
      </c>
      <c r="E2304" t="s">
        <v>1275</v>
      </c>
      <c r="F2304" t="s">
        <v>2011</v>
      </c>
      <c r="G2304">
        <v>138.93</v>
      </c>
      <c r="H2304" t="s">
        <v>248</v>
      </c>
      <c r="Q2304">
        <v>2166.73278699</v>
      </c>
      <c r="R2304">
        <v>31488.8328865</v>
      </c>
      <c r="S2304">
        <v>-30.501023559899998</v>
      </c>
      <c r="T2304">
        <v>156.982911358</v>
      </c>
      <c r="U2304">
        <v>0</v>
      </c>
      <c r="V2304">
        <v>0</v>
      </c>
    </row>
    <row r="2305" spans="1:22" x14ac:dyDescent="0.2">
      <c r="A2305"/>
      <c r="B2305">
        <v>50072</v>
      </c>
      <c r="C2305" t="s">
        <v>2013</v>
      </c>
      <c r="D2305" t="s">
        <v>1924</v>
      </c>
      <c r="E2305" t="s">
        <v>1275</v>
      </c>
      <c r="F2305" t="s">
        <v>2011</v>
      </c>
      <c r="G2305">
        <v>174.8</v>
      </c>
      <c r="H2305" t="s">
        <v>248</v>
      </c>
      <c r="Q2305">
        <v>2133.7087706699999</v>
      </c>
      <c r="R2305">
        <v>31502.828360399999</v>
      </c>
      <c r="S2305">
        <v>-30.945595924700001</v>
      </c>
      <c r="T2305">
        <v>157.080142311</v>
      </c>
      <c r="U2305">
        <v>0</v>
      </c>
      <c r="V2305">
        <v>0</v>
      </c>
    </row>
    <row r="2306" spans="1:22" x14ac:dyDescent="0.2">
      <c r="A2306"/>
      <c r="B2306">
        <v>50073</v>
      </c>
      <c r="C2306" t="s">
        <v>2014</v>
      </c>
      <c r="D2306" t="s">
        <v>920</v>
      </c>
      <c r="E2306" t="s">
        <v>1275</v>
      </c>
      <c r="F2306" t="s">
        <v>1911</v>
      </c>
      <c r="G2306">
        <v>26.43</v>
      </c>
      <c r="H2306" t="s">
        <v>248</v>
      </c>
      <c r="Q2306">
        <v>2450.7647828099998</v>
      </c>
      <c r="R2306">
        <v>31357.839063700001</v>
      </c>
      <c r="S2306">
        <v>-26.5382864971</v>
      </c>
      <c r="T2306">
        <v>148.75128515500001</v>
      </c>
      <c r="U2306">
        <v>0</v>
      </c>
      <c r="V2306">
        <v>0</v>
      </c>
    </row>
    <row r="2307" spans="1:22" x14ac:dyDescent="0.2">
      <c r="A2307"/>
      <c r="B2307">
        <v>50074</v>
      </c>
      <c r="C2307" t="s">
        <v>2015</v>
      </c>
      <c r="D2307" t="s">
        <v>1924</v>
      </c>
      <c r="E2307" t="s">
        <v>1275</v>
      </c>
      <c r="F2307" t="s">
        <v>2016</v>
      </c>
      <c r="G2307">
        <v>24</v>
      </c>
      <c r="H2307" t="s">
        <v>248</v>
      </c>
      <c r="Q2307">
        <v>2305.4557472500001</v>
      </c>
      <c r="R2307">
        <v>31432.004800399998</v>
      </c>
      <c r="S2307">
        <v>-28.635211272700001</v>
      </c>
      <c r="T2307">
        <v>153.14078304899999</v>
      </c>
      <c r="U2307">
        <v>0</v>
      </c>
      <c r="V2307">
        <v>0</v>
      </c>
    </row>
    <row r="2308" spans="1:22" x14ac:dyDescent="0.2">
      <c r="A2308"/>
      <c r="B2308">
        <v>50075</v>
      </c>
      <c r="C2308" t="s">
        <v>2017</v>
      </c>
      <c r="D2308" t="s">
        <v>1924</v>
      </c>
      <c r="E2308" t="s">
        <v>1275</v>
      </c>
      <c r="F2308" t="s">
        <v>2016</v>
      </c>
      <c r="G2308">
        <v>59.88</v>
      </c>
      <c r="H2308" t="s">
        <v>248</v>
      </c>
      <c r="Q2308">
        <v>2273.3217731099999</v>
      </c>
      <c r="R2308">
        <v>31447.958182499999</v>
      </c>
      <c r="S2308">
        <v>-29.074438740600002</v>
      </c>
      <c r="T2308">
        <v>154.62701191100001</v>
      </c>
      <c r="U2308">
        <v>0</v>
      </c>
      <c r="V2308">
        <v>0</v>
      </c>
    </row>
    <row r="2309" spans="1:22" x14ac:dyDescent="0.2">
      <c r="A2309"/>
      <c r="B2309">
        <v>50076</v>
      </c>
      <c r="C2309" t="s">
        <v>2018</v>
      </c>
      <c r="D2309" t="s">
        <v>1924</v>
      </c>
      <c r="E2309" t="s">
        <v>1275</v>
      </c>
      <c r="F2309" t="s">
        <v>2016</v>
      </c>
      <c r="G2309">
        <v>120.13</v>
      </c>
      <c r="H2309" t="s">
        <v>248</v>
      </c>
      <c r="Q2309">
        <v>2218.1109959400001</v>
      </c>
      <c r="R2309">
        <v>31472.0567047</v>
      </c>
      <c r="S2309">
        <v>-29.838123808599999</v>
      </c>
      <c r="T2309">
        <v>157.02096423200001</v>
      </c>
      <c r="U2309">
        <v>0</v>
      </c>
      <c r="V2309">
        <v>0</v>
      </c>
    </row>
    <row r="2310" spans="1:22" x14ac:dyDescent="0.2">
      <c r="A2310"/>
      <c r="B2310">
        <v>50077</v>
      </c>
      <c r="C2310" t="s">
        <v>2019</v>
      </c>
      <c r="D2310" t="s">
        <v>1924</v>
      </c>
      <c r="E2310" t="s">
        <v>1275</v>
      </c>
      <c r="F2310" t="s">
        <v>2016</v>
      </c>
      <c r="G2310">
        <v>156</v>
      </c>
      <c r="H2310" t="s">
        <v>248</v>
      </c>
      <c r="Q2310">
        <v>2185.0735989499999</v>
      </c>
      <c r="R2310">
        <v>31486.0206521</v>
      </c>
      <c r="S2310">
        <v>-30.279619850900001</v>
      </c>
      <c r="T2310">
        <v>157.14820337699999</v>
      </c>
      <c r="U2310">
        <v>0</v>
      </c>
      <c r="V2310">
        <v>0</v>
      </c>
    </row>
    <row r="2311" spans="1:22" x14ac:dyDescent="0.2">
      <c r="A2311"/>
      <c r="B2311">
        <v>50078</v>
      </c>
      <c r="C2311" t="s">
        <v>2020</v>
      </c>
      <c r="D2311" t="s">
        <v>1924</v>
      </c>
      <c r="E2311" t="s">
        <v>1275</v>
      </c>
      <c r="F2311" t="s">
        <v>2016</v>
      </c>
      <c r="G2311">
        <v>201.84</v>
      </c>
      <c r="H2311" t="s">
        <v>248</v>
      </c>
      <c r="Q2311">
        <v>2142.83069742</v>
      </c>
      <c r="R2311">
        <v>31503.811534500001</v>
      </c>
      <c r="S2311">
        <v>-30.851714811699999</v>
      </c>
      <c r="T2311">
        <v>157.13064478300001</v>
      </c>
      <c r="U2311">
        <v>0</v>
      </c>
      <c r="V2311">
        <v>0</v>
      </c>
    </row>
    <row r="2312" spans="1:22" x14ac:dyDescent="0.2">
      <c r="A2312"/>
      <c r="B2312">
        <v>50079</v>
      </c>
      <c r="C2312" t="s">
        <v>2021</v>
      </c>
      <c r="D2312" t="s">
        <v>1924</v>
      </c>
      <c r="E2312" t="s">
        <v>1275</v>
      </c>
      <c r="F2312" t="s">
        <v>2022</v>
      </c>
      <c r="G2312">
        <v>24.31</v>
      </c>
      <c r="H2312" t="s">
        <v>248</v>
      </c>
      <c r="Q2312">
        <v>2306.4313199600001</v>
      </c>
      <c r="R2312">
        <v>31434.301157900001</v>
      </c>
      <c r="S2312">
        <v>-28.637612981099998</v>
      </c>
      <c r="T2312">
        <v>145.05643207700001</v>
      </c>
      <c r="U2312">
        <v>0</v>
      </c>
      <c r="V2312">
        <v>0</v>
      </c>
    </row>
    <row r="2313" spans="1:22" x14ac:dyDescent="0.2">
      <c r="A2313"/>
      <c r="B2313">
        <v>50080</v>
      </c>
      <c r="C2313" t="s">
        <v>2023</v>
      </c>
      <c r="D2313" t="s">
        <v>1924</v>
      </c>
      <c r="E2313" t="s">
        <v>1275</v>
      </c>
      <c r="F2313" t="s">
        <v>2022</v>
      </c>
      <c r="G2313">
        <v>60.19</v>
      </c>
      <c r="H2313" t="s">
        <v>248</v>
      </c>
      <c r="Q2313">
        <v>2275.47745975</v>
      </c>
      <c r="R2313">
        <v>31452.338418700001</v>
      </c>
      <c r="S2313">
        <v>-29.0806500435</v>
      </c>
      <c r="T2313">
        <v>155.30696497900001</v>
      </c>
      <c r="U2313">
        <v>0</v>
      </c>
      <c r="V2313">
        <v>0</v>
      </c>
    </row>
    <row r="2314" spans="1:22" x14ac:dyDescent="0.2">
      <c r="A2314"/>
      <c r="B2314">
        <v>50081</v>
      </c>
      <c r="C2314" t="s">
        <v>2024</v>
      </c>
      <c r="D2314" t="s">
        <v>1924</v>
      </c>
      <c r="E2314" t="s">
        <v>1275</v>
      </c>
      <c r="F2314" t="s">
        <v>2022</v>
      </c>
      <c r="G2314">
        <v>120.44</v>
      </c>
      <c r="H2314" t="s">
        <v>248</v>
      </c>
      <c r="Q2314">
        <v>2220.11818881</v>
      </c>
      <c r="R2314">
        <v>31476.104004000001</v>
      </c>
      <c r="S2314">
        <v>-29.819894522199998</v>
      </c>
      <c r="T2314">
        <v>156.834506909</v>
      </c>
      <c r="U2314">
        <v>0</v>
      </c>
      <c r="V2314">
        <v>0</v>
      </c>
    </row>
    <row r="2315" spans="1:22" x14ac:dyDescent="0.2">
      <c r="A2315"/>
      <c r="B2315">
        <v>50082</v>
      </c>
      <c r="C2315" t="s">
        <v>2025</v>
      </c>
      <c r="D2315" t="s">
        <v>1924</v>
      </c>
      <c r="E2315" t="s">
        <v>1275</v>
      </c>
      <c r="F2315" t="s">
        <v>2022</v>
      </c>
      <c r="G2315">
        <v>156.31</v>
      </c>
      <c r="H2315" t="s">
        <v>248</v>
      </c>
      <c r="Q2315">
        <v>2187.1384617899998</v>
      </c>
      <c r="R2315">
        <v>31490.203266600001</v>
      </c>
      <c r="S2315">
        <v>-30.272938467100001</v>
      </c>
      <c r="T2315">
        <v>156.87378126199999</v>
      </c>
      <c r="U2315">
        <v>0</v>
      </c>
      <c r="V2315">
        <v>0</v>
      </c>
    </row>
    <row r="2316" spans="1:22" x14ac:dyDescent="0.2">
      <c r="A2316"/>
      <c r="B2316">
        <v>50083</v>
      </c>
      <c r="C2316" t="s">
        <v>2026</v>
      </c>
      <c r="D2316" t="s">
        <v>1924</v>
      </c>
      <c r="E2316" t="s">
        <v>1275</v>
      </c>
      <c r="F2316" t="s">
        <v>2022</v>
      </c>
      <c r="G2316">
        <v>202.15</v>
      </c>
      <c r="H2316" t="s">
        <v>248</v>
      </c>
      <c r="Q2316">
        <v>2144.9726072200001</v>
      </c>
      <c r="R2316">
        <v>31508.175877500002</v>
      </c>
      <c r="S2316">
        <v>-30.8483329524</v>
      </c>
      <c r="T2316">
        <v>156.969734593</v>
      </c>
      <c r="U2316">
        <v>0</v>
      </c>
      <c r="V2316">
        <v>0</v>
      </c>
    </row>
    <row r="2317" spans="1:22" x14ac:dyDescent="0.2">
      <c r="A2317"/>
      <c r="B2317">
        <v>50084</v>
      </c>
      <c r="C2317" t="s">
        <v>2027</v>
      </c>
      <c r="D2317" t="s">
        <v>1924</v>
      </c>
      <c r="E2317" t="s">
        <v>1275</v>
      </c>
      <c r="F2317" t="s">
        <v>2028</v>
      </c>
      <c r="G2317">
        <v>22</v>
      </c>
      <c r="H2317" t="s">
        <v>248</v>
      </c>
      <c r="Q2317">
        <v>2436.69145553</v>
      </c>
      <c r="R2317">
        <v>31375.822369599999</v>
      </c>
      <c r="S2317">
        <v>-26.855189846999998</v>
      </c>
      <c r="T2317">
        <v>144.402028371</v>
      </c>
      <c r="U2317">
        <v>0</v>
      </c>
      <c r="V2317">
        <v>0</v>
      </c>
    </row>
    <row r="2318" spans="1:22" x14ac:dyDescent="0.2">
      <c r="A2318"/>
      <c r="B2318">
        <v>50085</v>
      </c>
      <c r="C2318" t="s">
        <v>2029</v>
      </c>
      <c r="D2318" t="s">
        <v>1924</v>
      </c>
      <c r="E2318" t="s">
        <v>1275</v>
      </c>
      <c r="F2318" t="s">
        <v>2030</v>
      </c>
      <c r="G2318">
        <v>169.98</v>
      </c>
      <c r="H2318" t="s">
        <v>248</v>
      </c>
      <c r="Q2318">
        <v>2266.5236724699998</v>
      </c>
      <c r="R2318">
        <v>31463.3762546</v>
      </c>
      <c r="S2318">
        <v>-29.236740602400001</v>
      </c>
      <c r="T2318">
        <v>156.306450665</v>
      </c>
      <c r="U2318">
        <v>0</v>
      </c>
      <c r="V2318">
        <v>0</v>
      </c>
    </row>
    <row r="2319" spans="1:22" x14ac:dyDescent="0.2">
      <c r="A2319"/>
      <c r="B2319">
        <v>50086</v>
      </c>
      <c r="C2319" t="s">
        <v>2031</v>
      </c>
      <c r="D2319" t="s">
        <v>1924</v>
      </c>
      <c r="E2319" t="s">
        <v>1275</v>
      </c>
      <c r="F2319" t="s">
        <v>2030</v>
      </c>
      <c r="G2319">
        <v>205.86</v>
      </c>
      <c r="H2319" t="s">
        <v>248</v>
      </c>
      <c r="Q2319">
        <v>2233.64866158</v>
      </c>
      <c r="R2319">
        <v>31477.743129400002</v>
      </c>
      <c r="S2319">
        <v>-29.684046780900001</v>
      </c>
      <c r="T2319">
        <v>156.470556316</v>
      </c>
      <c r="U2319">
        <v>0</v>
      </c>
      <c r="V2319">
        <v>0</v>
      </c>
    </row>
    <row r="2320" spans="1:22" x14ac:dyDescent="0.2">
      <c r="A2320"/>
      <c r="B2320">
        <v>50087</v>
      </c>
      <c r="C2320" t="s">
        <v>2032</v>
      </c>
      <c r="D2320" t="s">
        <v>1924</v>
      </c>
      <c r="E2320" t="s">
        <v>1275</v>
      </c>
      <c r="F2320" t="s">
        <v>2030</v>
      </c>
      <c r="G2320">
        <v>266.11</v>
      </c>
      <c r="H2320" t="s">
        <v>248</v>
      </c>
      <c r="Q2320">
        <v>2178.3781576599999</v>
      </c>
      <c r="R2320">
        <v>31501.715385</v>
      </c>
      <c r="S2320">
        <v>-30.4344550707</v>
      </c>
      <c r="T2320">
        <v>156.60684806500001</v>
      </c>
      <c r="U2320">
        <v>0</v>
      </c>
      <c r="V2320">
        <v>0</v>
      </c>
    </row>
    <row r="2321" spans="1:22" x14ac:dyDescent="0.2">
      <c r="A2321"/>
      <c r="B2321">
        <v>50088</v>
      </c>
      <c r="C2321" t="s">
        <v>2033</v>
      </c>
      <c r="D2321" t="s">
        <v>1924</v>
      </c>
      <c r="E2321" t="s">
        <v>1275</v>
      </c>
      <c r="F2321" t="s">
        <v>2030</v>
      </c>
      <c r="G2321">
        <v>301.98</v>
      </c>
      <c r="H2321" t="s">
        <v>248</v>
      </c>
      <c r="Q2321">
        <v>2145.4575066000002</v>
      </c>
      <c r="R2321">
        <v>31515.9521828</v>
      </c>
      <c r="S2321">
        <v>-30.8830290999</v>
      </c>
      <c r="T2321">
        <v>156.61064348599999</v>
      </c>
      <c r="U2321">
        <v>0</v>
      </c>
      <c r="V2321">
        <v>0</v>
      </c>
    </row>
    <row r="2322" spans="1:22" x14ac:dyDescent="0.2">
      <c r="A2322"/>
      <c r="B2322">
        <v>50089</v>
      </c>
      <c r="C2322" t="s">
        <v>2034</v>
      </c>
      <c r="D2322" t="s">
        <v>1924</v>
      </c>
      <c r="E2322" t="s">
        <v>1275</v>
      </c>
      <c r="F2322" t="s">
        <v>2030</v>
      </c>
      <c r="G2322">
        <v>343</v>
      </c>
      <c r="H2322" t="s">
        <v>248</v>
      </c>
      <c r="Q2322">
        <v>2107.8187883700002</v>
      </c>
      <c r="R2322">
        <v>31532.2525565</v>
      </c>
      <c r="S2322">
        <v>-31.3977279448</v>
      </c>
      <c r="T2322">
        <v>156.54437637300001</v>
      </c>
      <c r="U2322">
        <v>0</v>
      </c>
      <c r="V2322">
        <v>0</v>
      </c>
    </row>
    <row r="2323" spans="1:22" x14ac:dyDescent="0.2">
      <c r="A2323"/>
      <c r="B2323">
        <v>50090</v>
      </c>
      <c r="C2323" t="s">
        <v>2035</v>
      </c>
      <c r="D2323" t="s">
        <v>1924</v>
      </c>
      <c r="E2323" t="s">
        <v>1275</v>
      </c>
      <c r="F2323" t="s">
        <v>2036</v>
      </c>
      <c r="G2323">
        <v>23.51</v>
      </c>
      <c r="H2323" t="s">
        <v>248</v>
      </c>
      <c r="Q2323">
        <v>2436.2298414699999</v>
      </c>
      <c r="R2323">
        <v>31377.682387600002</v>
      </c>
      <c r="S2323">
        <v>-26.854660102899999</v>
      </c>
      <c r="T2323">
        <v>139.760074559</v>
      </c>
      <c r="U2323">
        <v>0</v>
      </c>
      <c r="V2323">
        <v>0</v>
      </c>
    </row>
    <row r="2324" spans="1:22" x14ac:dyDescent="0.2">
      <c r="A2324"/>
      <c r="B2324">
        <v>50091</v>
      </c>
      <c r="C2324" t="s">
        <v>2037</v>
      </c>
      <c r="D2324" t="s">
        <v>1924</v>
      </c>
      <c r="E2324" t="s">
        <v>1275</v>
      </c>
      <c r="F2324" t="s">
        <v>2038</v>
      </c>
      <c r="G2324">
        <v>31.87</v>
      </c>
      <c r="H2324" t="s">
        <v>248</v>
      </c>
      <c r="Q2324">
        <v>2320.0816633200002</v>
      </c>
      <c r="R2324">
        <v>31444.482009399999</v>
      </c>
      <c r="S2324">
        <v>-28.536718269800001</v>
      </c>
      <c r="T2324">
        <v>154.39135426799999</v>
      </c>
      <c r="U2324">
        <v>0</v>
      </c>
      <c r="V2324">
        <v>0</v>
      </c>
    </row>
    <row r="2325" spans="1:22" x14ac:dyDescent="0.2">
      <c r="A2325"/>
      <c r="B2325">
        <v>50092</v>
      </c>
      <c r="C2325" t="s">
        <v>2039</v>
      </c>
      <c r="D2325" t="s">
        <v>1924</v>
      </c>
      <c r="E2325" t="s">
        <v>1275</v>
      </c>
      <c r="F2325" t="s">
        <v>2038</v>
      </c>
      <c r="G2325">
        <v>67.75</v>
      </c>
      <c r="H2325" t="s">
        <v>248</v>
      </c>
      <c r="Q2325">
        <v>2287.4329165200002</v>
      </c>
      <c r="R2325">
        <v>31459.3521765</v>
      </c>
      <c r="S2325">
        <v>-28.973348036400001</v>
      </c>
      <c r="T2325">
        <v>156.29114469999999</v>
      </c>
      <c r="U2325">
        <v>0</v>
      </c>
      <c r="V2325">
        <v>0</v>
      </c>
    </row>
    <row r="2326" spans="1:22" x14ac:dyDescent="0.2">
      <c r="A2326"/>
      <c r="B2326">
        <v>50093</v>
      </c>
      <c r="C2326" t="s">
        <v>2040</v>
      </c>
      <c r="D2326" t="s">
        <v>1924</v>
      </c>
      <c r="E2326" t="s">
        <v>1275</v>
      </c>
      <c r="F2326" t="s">
        <v>2038</v>
      </c>
      <c r="G2326">
        <v>128</v>
      </c>
      <c r="H2326" t="s">
        <v>248</v>
      </c>
      <c r="Q2326">
        <v>2232.2432324000001</v>
      </c>
      <c r="R2326">
        <v>31483.509707099998</v>
      </c>
      <c r="S2326">
        <v>-29.730058960699999</v>
      </c>
      <c r="T2326">
        <v>156.43223805900001</v>
      </c>
      <c r="U2326">
        <v>0</v>
      </c>
      <c r="V2326">
        <v>0</v>
      </c>
    </row>
    <row r="2327" spans="1:22" x14ac:dyDescent="0.2">
      <c r="A2327"/>
      <c r="B2327">
        <v>50094</v>
      </c>
      <c r="C2327" t="s">
        <v>2041</v>
      </c>
      <c r="D2327" t="s">
        <v>1924</v>
      </c>
      <c r="E2327" t="s">
        <v>1275</v>
      </c>
      <c r="F2327" t="s">
        <v>2038</v>
      </c>
      <c r="G2327">
        <v>163.87</v>
      </c>
      <c r="H2327" t="s">
        <v>248</v>
      </c>
      <c r="Q2327">
        <v>2199.3571426899998</v>
      </c>
      <c r="R2327">
        <v>31497.826067400001</v>
      </c>
      <c r="S2327">
        <v>-30.1812712752</v>
      </c>
      <c r="T2327">
        <v>156.51761271399999</v>
      </c>
      <c r="U2327">
        <v>0</v>
      </c>
      <c r="V2327">
        <v>0</v>
      </c>
    </row>
    <row r="2328" spans="1:22" x14ac:dyDescent="0.2">
      <c r="A2328"/>
      <c r="B2328">
        <v>50095</v>
      </c>
      <c r="C2328" t="s">
        <v>2042</v>
      </c>
      <c r="D2328" t="s">
        <v>1924</v>
      </c>
      <c r="E2328" t="s">
        <v>1275</v>
      </c>
      <c r="F2328" t="s">
        <v>2038</v>
      </c>
      <c r="G2328">
        <v>209.71</v>
      </c>
      <c r="H2328" t="s">
        <v>248</v>
      </c>
      <c r="Q2328">
        <v>2157.2995281799999</v>
      </c>
      <c r="R2328">
        <v>31516.050601499999</v>
      </c>
      <c r="S2328">
        <v>-30.7543293349</v>
      </c>
      <c r="T2328">
        <v>156.625826692</v>
      </c>
      <c r="U2328">
        <v>0</v>
      </c>
      <c r="V2328">
        <v>0</v>
      </c>
    </row>
    <row r="2329" spans="1:22" x14ac:dyDescent="0.2">
      <c r="A2329"/>
      <c r="B2329">
        <v>50096</v>
      </c>
      <c r="C2329" t="s">
        <v>2043</v>
      </c>
      <c r="D2329" t="s">
        <v>1924</v>
      </c>
      <c r="E2329" t="s">
        <v>1275</v>
      </c>
      <c r="F2329" t="s">
        <v>2044</v>
      </c>
      <c r="G2329">
        <v>31</v>
      </c>
      <c r="H2329" t="s">
        <v>248</v>
      </c>
      <c r="Q2329">
        <v>2322.0051272999999</v>
      </c>
      <c r="R2329">
        <v>31446.123685999999</v>
      </c>
      <c r="S2329">
        <v>-28.523630064300001</v>
      </c>
      <c r="T2329">
        <v>147.481815536</v>
      </c>
      <c r="U2329">
        <v>0</v>
      </c>
      <c r="V2329">
        <v>0</v>
      </c>
    </row>
    <row r="2330" spans="1:22" x14ac:dyDescent="0.2">
      <c r="A2330"/>
      <c r="B2330">
        <v>50097</v>
      </c>
      <c r="C2330" t="s">
        <v>2045</v>
      </c>
      <c r="D2330" t="s">
        <v>1924</v>
      </c>
      <c r="E2330" t="s">
        <v>1275</v>
      </c>
      <c r="F2330" t="s">
        <v>2044</v>
      </c>
      <c r="G2330">
        <v>66.88</v>
      </c>
      <c r="H2330" t="s">
        <v>248</v>
      </c>
      <c r="Q2330">
        <v>2290.4701491000001</v>
      </c>
      <c r="R2330">
        <v>31463.165560000001</v>
      </c>
      <c r="S2330">
        <v>-28.963889302399998</v>
      </c>
      <c r="T2330">
        <v>155.77038149399999</v>
      </c>
      <c r="U2330">
        <v>0</v>
      </c>
      <c r="V2330">
        <v>0</v>
      </c>
    </row>
    <row r="2331" spans="1:22" x14ac:dyDescent="0.2">
      <c r="A2331"/>
      <c r="B2331">
        <v>50098</v>
      </c>
      <c r="C2331" t="s">
        <v>2046</v>
      </c>
      <c r="D2331" t="s">
        <v>1924</v>
      </c>
      <c r="E2331" t="s">
        <v>1275</v>
      </c>
      <c r="F2331" t="s">
        <v>2044</v>
      </c>
      <c r="G2331">
        <v>127.13</v>
      </c>
      <c r="H2331" t="s">
        <v>248</v>
      </c>
      <c r="Q2331">
        <v>2235.2521726999998</v>
      </c>
      <c r="R2331">
        <v>31487.2583964</v>
      </c>
      <c r="S2331">
        <v>-29.714384757400001</v>
      </c>
      <c r="T2331">
        <v>156.463066873</v>
      </c>
      <c r="U2331">
        <v>0</v>
      </c>
      <c r="V2331">
        <v>0</v>
      </c>
    </row>
    <row r="2332" spans="1:22" x14ac:dyDescent="0.2">
      <c r="A2332"/>
      <c r="B2332">
        <v>50099</v>
      </c>
      <c r="C2332" t="s">
        <v>2047</v>
      </c>
      <c r="D2332" t="s">
        <v>1924</v>
      </c>
      <c r="E2332" t="s">
        <v>1275</v>
      </c>
      <c r="F2332" t="s">
        <v>2044</v>
      </c>
      <c r="G2332">
        <v>163</v>
      </c>
      <c r="H2332" t="s">
        <v>248</v>
      </c>
      <c r="Q2332">
        <v>2202.3630384200001</v>
      </c>
      <c r="R2332">
        <v>31501.567774899999</v>
      </c>
      <c r="S2332">
        <v>-30.165323021199999</v>
      </c>
      <c r="T2332">
        <v>156.513488666</v>
      </c>
      <c r="U2332">
        <v>0</v>
      </c>
      <c r="V2332">
        <v>0</v>
      </c>
    </row>
    <row r="2333" spans="1:22" x14ac:dyDescent="0.2">
      <c r="A2333"/>
      <c r="B2333">
        <v>50100</v>
      </c>
      <c r="C2333" t="s">
        <v>2048</v>
      </c>
      <c r="D2333" t="s">
        <v>1924</v>
      </c>
      <c r="E2333" t="s">
        <v>1275</v>
      </c>
      <c r="F2333" t="s">
        <v>2044</v>
      </c>
      <c r="G2333">
        <v>208.84</v>
      </c>
      <c r="H2333" t="s">
        <v>248</v>
      </c>
      <c r="Q2333">
        <v>2160.3110926999998</v>
      </c>
      <c r="R2333">
        <v>31519.805584199999</v>
      </c>
      <c r="S2333">
        <v>-30.7322330083</v>
      </c>
      <c r="T2333">
        <v>156.597734852</v>
      </c>
      <c r="U2333">
        <v>0</v>
      </c>
      <c r="V2333">
        <v>0</v>
      </c>
    </row>
    <row r="2334" spans="1:22" x14ac:dyDescent="0.2">
      <c r="A2334"/>
      <c r="B2334">
        <v>50101</v>
      </c>
      <c r="C2334" t="s">
        <v>2049</v>
      </c>
      <c r="D2334" t="s">
        <v>1924</v>
      </c>
      <c r="E2334" t="s">
        <v>1275</v>
      </c>
      <c r="F2334" t="s">
        <v>2050</v>
      </c>
      <c r="G2334">
        <v>43</v>
      </c>
      <c r="H2334" t="s">
        <v>248</v>
      </c>
      <c r="Q2334">
        <v>2308.3554595300002</v>
      </c>
      <c r="R2334">
        <v>31459.429049099999</v>
      </c>
      <c r="S2334">
        <v>-28.728917750899999</v>
      </c>
      <c r="T2334">
        <v>152.16830900599999</v>
      </c>
      <c r="U2334">
        <v>0</v>
      </c>
      <c r="V2334">
        <v>0</v>
      </c>
    </row>
    <row r="2335" spans="1:22" x14ac:dyDescent="0.2">
      <c r="A2335"/>
      <c r="B2335">
        <v>50102</v>
      </c>
      <c r="C2335" t="s">
        <v>2051</v>
      </c>
      <c r="D2335" t="s">
        <v>1924</v>
      </c>
      <c r="E2335" t="s">
        <v>1275</v>
      </c>
      <c r="F2335" t="s">
        <v>2050</v>
      </c>
      <c r="G2335">
        <v>78.88</v>
      </c>
      <c r="H2335" t="s">
        <v>248</v>
      </c>
      <c r="Q2335">
        <v>2275.8690571000002</v>
      </c>
      <c r="R2335">
        <v>31474.625048000002</v>
      </c>
      <c r="S2335">
        <v>-29.185138065699999</v>
      </c>
      <c r="T2335">
        <v>156.614263174</v>
      </c>
      <c r="U2335">
        <v>0</v>
      </c>
      <c r="V2335">
        <v>0</v>
      </c>
    </row>
    <row r="2336" spans="1:22" x14ac:dyDescent="0.2">
      <c r="A2336"/>
      <c r="B2336">
        <v>50103</v>
      </c>
      <c r="C2336" t="s">
        <v>2052</v>
      </c>
      <c r="D2336" t="s">
        <v>1924</v>
      </c>
      <c r="E2336" t="s">
        <v>1275</v>
      </c>
      <c r="F2336" t="s">
        <v>2050</v>
      </c>
      <c r="G2336">
        <v>139.13</v>
      </c>
      <c r="H2336" t="s">
        <v>248</v>
      </c>
      <c r="Q2336">
        <v>2220.5684101699999</v>
      </c>
      <c r="R2336">
        <v>31498.527509</v>
      </c>
      <c r="S2336">
        <v>-29.9422436449</v>
      </c>
      <c r="T2336">
        <v>156.645500357</v>
      </c>
      <c r="U2336">
        <v>0</v>
      </c>
      <c r="V2336">
        <v>0</v>
      </c>
    </row>
    <row r="2337" spans="1:22" x14ac:dyDescent="0.2">
      <c r="A2337"/>
      <c r="B2337">
        <v>50104</v>
      </c>
      <c r="C2337" t="s">
        <v>2053</v>
      </c>
      <c r="D2337" t="s">
        <v>1924</v>
      </c>
      <c r="E2337" t="s">
        <v>1275</v>
      </c>
      <c r="F2337" t="s">
        <v>2050</v>
      </c>
      <c r="G2337">
        <v>175</v>
      </c>
      <c r="H2337" t="s">
        <v>248</v>
      </c>
      <c r="Q2337">
        <v>2187.63429288</v>
      </c>
      <c r="R2337">
        <v>31512.733128299998</v>
      </c>
      <c r="S2337">
        <v>-30.3907093678</v>
      </c>
      <c r="T2337">
        <v>156.69379203099999</v>
      </c>
      <c r="U2337">
        <v>0</v>
      </c>
      <c r="V2337">
        <v>0</v>
      </c>
    </row>
    <row r="2338" spans="1:22" x14ac:dyDescent="0.2">
      <c r="A2338"/>
      <c r="B2338">
        <v>50105</v>
      </c>
      <c r="C2338" t="s">
        <v>2054</v>
      </c>
      <c r="D2338" t="s">
        <v>1924</v>
      </c>
      <c r="E2338" t="s">
        <v>1275</v>
      </c>
      <c r="F2338" t="s">
        <v>2050</v>
      </c>
      <c r="G2338">
        <v>220.84</v>
      </c>
      <c r="H2338" t="s">
        <v>248</v>
      </c>
      <c r="Q2338">
        <v>2145.5240375600001</v>
      </c>
      <c r="R2338">
        <v>31530.835777100001</v>
      </c>
      <c r="S2338">
        <v>-30.961349348900001</v>
      </c>
      <c r="T2338">
        <v>156.78776530499999</v>
      </c>
      <c r="U2338">
        <v>0</v>
      </c>
      <c r="V2338">
        <v>0</v>
      </c>
    </row>
    <row r="2339" spans="1:22" x14ac:dyDescent="0.2">
      <c r="A2339"/>
      <c r="B2339">
        <v>50106</v>
      </c>
      <c r="C2339" t="s">
        <v>2055</v>
      </c>
      <c r="D2339" t="s">
        <v>1924</v>
      </c>
      <c r="E2339" t="s">
        <v>1275</v>
      </c>
      <c r="F2339" t="s">
        <v>2056</v>
      </c>
      <c r="G2339">
        <v>43.73</v>
      </c>
      <c r="H2339" t="s">
        <v>248</v>
      </c>
      <c r="Q2339">
        <v>2309.6927071</v>
      </c>
      <c r="R2339">
        <v>31462.8993997</v>
      </c>
      <c r="S2339">
        <v>-28.7406733332</v>
      </c>
      <c r="T2339">
        <v>147.99761291799999</v>
      </c>
      <c r="U2339">
        <v>0</v>
      </c>
      <c r="V2339">
        <v>0</v>
      </c>
    </row>
    <row r="2340" spans="1:22" x14ac:dyDescent="0.2">
      <c r="A2340"/>
      <c r="B2340">
        <v>50107</v>
      </c>
      <c r="C2340" t="s">
        <v>2057</v>
      </c>
      <c r="D2340" t="s">
        <v>1924</v>
      </c>
      <c r="E2340" t="s">
        <v>1275</v>
      </c>
      <c r="F2340" t="s">
        <v>2056</v>
      </c>
      <c r="G2340">
        <v>79.61</v>
      </c>
      <c r="H2340" t="s">
        <v>248</v>
      </c>
      <c r="Q2340">
        <v>2277.5251881200002</v>
      </c>
      <c r="R2340">
        <v>31478.674370000001</v>
      </c>
      <c r="S2340">
        <v>-29.183637338400001</v>
      </c>
      <c r="T2340">
        <v>156.73493263</v>
      </c>
      <c r="U2340">
        <v>0</v>
      </c>
      <c r="V2340">
        <v>0</v>
      </c>
    </row>
    <row r="2341" spans="1:22" x14ac:dyDescent="0.2">
      <c r="A2341"/>
      <c r="B2341">
        <v>50108</v>
      </c>
      <c r="C2341" t="s">
        <v>2058</v>
      </c>
      <c r="D2341" t="s">
        <v>1924</v>
      </c>
      <c r="E2341" t="s">
        <v>1275</v>
      </c>
      <c r="F2341" t="s">
        <v>2056</v>
      </c>
      <c r="G2341">
        <v>139.86000000000001</v>
      </c>
      <c r="H2341" t="s">
        <v>248</v>
      </c>
      <c r="Q2341">
        <v>2222.1793805500001</v>
      </c>
      <c r="R2341">
        <v>31502.472344199999</v>
      </c>
      <c r="S2341">
        <v>-29.9322982377</v>
      </c>
      <c r="T2341">
        <v>156.742514441</v>
      </c>
      <c r="U2341">
        <v>0</v>
      </c>
      <c r="V2341">
        <v>0</v>
      </c>
    </row>
    <row r="2342" spans="1:22" x14ac:dyDescent="0.2">
      <c r="A2342"/>
      <c r="B2342">
        <v>50109</v>
      </c>
      <c r="C2342" t="s">
        <v>2059</v>
      </c>
      <c r="D2342" t="s">
        <v>1924</v>
      </c>
      <c r="E2342" t="s">
        <v>1275</v>
      </c>
      <c r="F2342" t="s">
        <v>2056</v>
      </c>
      <c r="G2342">
        <v>175.73</v>
      </c>
      <c r="H2342" t="s">
        <v>248</v>
      </c>
      <c r="Q2342">
        <v>2189.22234536</v>
      </c>
      <c r="R2342">
        <v>31516.624741299998</v>
      </c>
      <c r="S2342">
        <v>-30.379883306</v>
      </c>
      <c r="T2342">
        <v>156.78275967299999</v>
      </c>
      <c r="U2342">
        <v>0</v>
      </c>
      <c r="V2342">
        <v>0</v>
      </c>
    </row>
    <row r="2343" spans="1:22" x14ac:dyDescent="0.2">
      <c r="A2343"/>
      <c r="B2343">
        <v>50110</v>
      </c>
      <c r="C2343" t="s">
        <v>2060</v>
      </c>
      <c r="D2343" t="s">
        <v>1924</v>
      </c>
      <c r="E2343" t="s">
        <v>1275</v>
      </c>
      <c r="F2343" t="s">
        <v>2056</v>
      </c>
      <c r="G2343">
        <v>221.57</v>
      </c>
      <c r="H2343" t="s">
        <v>248</v>
      </c>
      <c r="Q2343">
        <v>2147.0847425799998</v>
      </c>
      <c r="R2343">
        <v>31534.6635288</v>
      </c>
      <c r="S2343">
        <v>-30.954107332900001</v>
      </c>
      <c r="T2343">
        <v>156.87386046500001</v>
      </c>
      <c r="U2343">
        <v>0</v>
      </c>
      <c r="V2343">
        <v>0</v>
      </c>
    </row>
    <row r="2344" spans="1:22" x14ac:dyDescent="0.2">
      <c r="A2344"/>
      <c r="B2344">
        <v>50111</v>
      </c>
      <c r="C2344" t="s">
        <v>2061</v>
      </c>
      <c r="D2344" t="s">
        <v>1924</v>
      </c>
      <c r="E2344" t="s">
        <v>1275</v>
      </c>
      <c r="F2344" t="s">
        <v>2062</v>
      </c>
      <c r="G2344">
        <v>167.83</v>
      </c>
      <c r="H2344" t="s">
        <v>248</v>
      </c>
      <c r="Q2344">
        <v>2289.719826</v>
      </c>
      <c r="R2344">
        <v>31478.525490299999</v>
      </c>
      <c r="S2344">
        <v>-29.048219256199999</v>
      </c>
      <c r="T2344">
        <v>155.368076371</v>
      </c>
      <c r="U2344">
        <v>0</v>
      </c>
      <c r="V2344">
        <v>0</v>
      </c>
    </row>
    <row r="2345" spans="1:22" x14ac:dyDescent="0.2">
      <c r="A2345"/>
      <c r="B2345">
        <v>50112</v>
      </c>
      <c r="C2345" t="s">
        <v>2063</v>
      </c>
      <c r="D2345" t="s">
        <v>1924</v>
      </c>
      <c r="E2345" t="s">
        <v>1275</v>
      </c>
      <c r="F2345" t="s">
        <v>2062</v>
      </c>
      <c r="G2345">
        <v>202.85</v>
      </c>
      <c r="H2345" t="s">
        <v>248</v>
      </c>
      <c r="Q2345">
        <v>2257.6082498999999</v>
      </c>
      <c r="R2345">
        <v>31492.4894814</v>
      </c>
      <c r="S2345">
        <v>-29.4931473396</v>
      </c>
      <c r="T2345">
        <v>156.713660296</v>
      </c>
      <c r="U2345">
        <v>0</v>
      </c>
      <c r="V2345">
        <v>0</v>
      </c>
    </row>
    <row r="2346" spans="1:22" x14ac:dyDescent="0.2">
      <c r="A2346"/>
      <c r="B2346">
        <v>50113</v>
      </c>
      <c r="C2346" t="s">
        <v>2064</v>
      </c>
      <c r="D2346" t="s">
        <v>1924</v>
      </c>
      <c r="E2346" t="s">
        <v>1275</v>
      </c>
      <c r="F2346" t="s">
        <v>2062</v>
      </c>
      <c r="G2346">
        <v>263.10000000000002</v>
      </c>
      <c r="H2346" t="s">
        <v>248</v>
      </c>
      <c r="Q2346">
        <v>2202.2373847200001</v>
      </c>
      <c r="R2346">
        <v>31516.229337500001</v>
      </c>
      <c r="S2346">
        <v>-30.2326349173</v>
      </c>
      <c r="T2346">
        <v>156.86698263299999</v>
      </c>
      <c r="U2346">
        <v>0</v>
      </c>
      <c r="V2346">
        <v>0</v>
      </c>
    </row>
    <row r="2347" spans="1:22" x14ac:dyDescent="0.2">
      <c r="A2347"/>
      <c r="B2347">
        <v>50114</v>
      </c>
      <c r="C2347" t="s">
        <v>2065</v>
      </c>
      <c r="D2347" t="s">
        <v>1924</v>
      </c>
      <c r="E2347" t="s">
        <v>1275</v>
      </c>
      <c r="F2347" t="s">
        <v>2062</v>
      </c>
      <c r="G2347">
        <v>298.97000000000003</v>
      </c>
      <c r="H2347" t="s">
        <v>248</v>
      </c>
      <c r="Q2347">
        <v>2169.24454509</v>
      </c>
      <c r="R2347">
        <v>31530.298133699998</v>
      </c>
      <c r="S2347">
        <v>-30.677853998900002</v>
      </c>
      <c r="T2347">
        <v>156.942326896</v>
      </c>
      <c r="U2347">
        <v>0</v>
      </c>
      <c r="V2347">
        <v>0</v>
      </c>
    </row>
    <row r="2348" spans="1:22" x14ac:dyDescent="0.2">
      <c r="A2348"/>
      <c r="B2348">
        <v>50115</v>
      </c>
      <c r="C2348" t="s">
        <v>2066</v>
      </c>
      <c r="D2348" t="s">
        <v>1924</v>
      </c>
      <c r="E2348" t="s">
        <v>1275</v>
      </c>
      <c r="F2348" t="s">
        <v>2062</v>
      </c>
      <c r="G2348">
        <v>344.81</v>
      </c>
      <c r="H2348" t="s">
        <v>248</v>
      </c>
      <c r="Q2348">
        <v>2127.0570988899999</v>
      </c>
      <c r="R2348">
        <v>31548.220041</v>
      </c>
      <c r="S2348">
        <v>-31.252212677399999</v>
      </c>
      <c r="T2348">
        <v>157.02130003299999</v>
      </c>
      <c r="U2348">
        <v>0</v>
      </c>
      <c r="V2348">
        <v>0</v>
      </c>
    </row>
    <row r="2349" spans="1:22" x14ac:dyDescent="0.2">
      <c r="A2349"/>
      <c r="B2349">
        <v>50116</v>
      </c>
      <c r="C2349" t="s">
        <v>2067</v>
      </c>
      <c r="D2349" t="s">
        <v>920</v>
      </c>
      <c r="E2349" t="s">
        <v>1275</v>
      </c>
      <c r="F2349" t="s">
        <v>2068</v>
      </c>
      <c r="G2349">
        <v>43</v>
      </c>
      <c r="H2349" t="s">
        <v>248</v>
      </c>
      <c r="Q2349">
        <v>2498.9101227400001</v>
      </c>
      <c r="R2349">
        <v>31338.258249300001</v>
      </c>
      <c r="S2349">
        <v>-25.284611247699999</v>
      </c>
      <c r="T2349">
        <v>145.128239076</v>
      </c>
      <c r="U2349">
        <v>0</v>
      </c>
      <c r="V2349">
        <v>0</v>
      </c>
    </row>
    <row r="2350" spans="1:22" x14ac:dyDescent="0.2">
      <c r="A2350"/>
      <c r="B2350">
        <v>50117</v>
      </c>
      <c r="C2350" t="s">
        <v>2069</v>
      </c>
      <c r="D2350" t="s">
        <v>920</v>
      </c>
      <c r="E2350" t="s">
        <v>1275</v>
      </c>
      <c r="F2350" t="s">
        <v>2070</v>
      </c>
      <c r="G2350">
        <v>103</v>
      </c>
      <c r="H2350" t="s">
        <v>248</v>
      </c>
      <c r="Q2350">
        <v>2410.8844471500001</v>
      </c>
      <c r="R2350">
        <v>31405.564022899998</v>
      </c>
      <c r="S2350">
        <v>-27.297940924399999</v>
      </c>
      <c r="T2350">
        <v>141.72101072300001</v>
      </c>
      <c r="U2350">
        <v>0</v>
      </c>
      <c r="V2350">
        <v>0</v>
      </c>
    </row>
    <row r="2351" spans="1:22" x14ac:dyDescent="0.2">
      <c r="A2351"/>
      <c r="B2351">
        <v>50118</v>
      </c>
      <c r="C2351" t="s">
        <v>2071</v>
      </c>
      <c r="D2351" t="s">
        <v>1924</v>
      </c>
      <c r="E2351" t="s">
        <v>1275</v>
      </c>
      <c r="F2351" t="s">
        <v>2072</v>
      </c>
      <c r="G2351">
        <v>92</v>
      </c>
      <c r="H2351" t="s">
        <v>248</v>
      </c>
      <c r="Q2351">
        <v>2374.8441306499999</v>
      </c>
      <c r="R2351">
        <v>31439.647706200001</v>
      </c>
      <c r="S2351">
        <v>-27.870286851700001</v>
      </c>
      <c r="T2351">
        <v>141.68406935499999</v>
      </c>
      <c r="U2351">
        <v>0</v>
      </c>
      <c r="V2351">
        <v>0</v>
      </c>
    </row>
    <row r="2352" spans="1:22" x14ac:dyDescent="0.2">
      <c r="A2352"/>
      <c r="B2352">
        <v>50119</v>
      </c>
      <c r="C2352" t="s">
        <v>2073</v>
      </c>
      <c r="D2352" t="s">
        <v>1924</v>
      </c>
      <c r="E2352" t="s">
        <v>1275</v>
      </c>
      <c r="F2352" t="s">
        <v>2074</v>
      </c>
      <c r="G2352">
        <v>110</v>
      </c>
      <c r="H2352" t="s">
        <v>248</v>
      </c>
      <c r="Q2352">
        <v>2364.3166575599998</v>
      </c>
      <c r="R2352">
        <v>31454.887050699999</v>
      </c>
      <c r="S2352">
        <v>-28.056680934500001</v>
      </c>
      <c r="T2352">
        <v>140.52403639299999</v>
      </c>
      <c r="U2352">
        <v>0</v>
      </c>
      <c r="V2352">
        <v>0</v>
      </c>
    </row>
    <row r="2353" spans="1:22" x14ac:dyDescent="0.2">
      <c r="A2353"/>
      <c r="B2353">
        <v>50120</v>
      </c>
      <c r="C2353" t="s">
        <v>2075</v>
      </c>
      <c r="D2353" t="s">
        <v>1924</v>
      </c>
      <c r="E2353" t="s">
        <v>1275</v>
      </c>
      <c r="F2353" t="s">
        <v>2076</v>
      </c>
      <c r="G2353">
        <v>110</v>
      </c>
      <c r="H2353" t="s">
        <v>248</v>
      </c>
      <c r="Q2353">
        <v>2244.19531723</v>
      </c>
      <c r="R2353">
        <v>31553.186300199999</v>
      </c>
      <c r="S2353">
        <v>-29.939415981900002</v>
      </c>
      <c r="T2353">
        <v>140.93698860200001</v>
      </c>
      <c r="U2353">
        <v>0</v>
      </c>
      <c r="V2353">
        <v>0</v>
      </c>
    </row>
    <row r="2354" spans="1:22" x14ac:dyDescent="0.2">
      <c r="A2354"/>
      <c r="B2354">
        <v>50121</v>
      </c>
      <c r="C2354" t="s">
        <v>2077</v>
      </c>
      <c r="D2354" t="s">
        <v>1924</v>
      </c>
      <c r="E2354" t="s">
        <v>1275</v>
      </c>
      <c r="F2354" t="s">
        <v>2076</v>
      </c>
      <c r="G2354">
        <v>74.83</v>
      </c>
      <c r="H2354" t="s">
        <v>248</v>
      </c>
      <c r="Q2354">
        <v>2271.4924752799998</v>
      </c>
      <c r="R2354">
        <v>31531.014013799999</v>
      </c>
      <c r="S2354">
        <v>-29.510823330600001</v>
      </c>
      <c r="T2354">
        <v>140.88432921</v>
      </c>
      <c r="U2354">
        <v>0</v>
      </c>
      <c r="V2354">
        <v>0</v>
      </c>
    </row>
    <row r="2355" spans="1:22" x14ac:dyDescent="0.2">
      <c r="A2355"/>
      <c r="B2355">
        <v>50122</v>
      </c>
      <c r="C2355" t="s">
        <v>2078</v>
      </c>
      <c r="D2355" t="s">
        <v>1924</v>
      </c>
      <c r="E2355" t="s">
        <v>1275</v>
      </c>
      <c r="F2355" t="s">
        <v>2076</v>
      </c>
      <c r="G2355">
        <v>135.08000000000001</v>
      </c>
      <c r="H2355" t="s">
        <v>248</v>
      </c>
      <c r="Q2355">
        <v>2224.7213577699999</v>
      </c>
      <c r="R2355">
        <v>31568.9875268</v>
      </c>
      <c r="S2355">
        <v>-30.243619573299998</v>
      </c>
      <c r="T2355">
        <v>140.94734682999999</v>
      </c>
      <c r="U2355">
        <v>0</v>
      </c>
      <c r="V2355">
        <v>0</v>
      </c>
    </row>
    <row r="2356" spans="1:22" x14ac:dyDescent="0.2">
      <c r="A2356"/>
      <c r="B2356">
        <v>50123</v>
      </c>
      <c r="C2356" t="s">
        <v>2079</v>
      </c>
      <c r="D2356" t="s">
        <v>1924</v>
      </c>
      <c r="E2356" t="s">
        <v>1275</v>
      </c>
      <c r="F2356" t="s">
        <v>2076</v>
      </c>
      <c r="G2356">
        <v>170.95</v>
      </c>
      <c r="H2356" t="s">
        <v>248</v>
      </c>
      <c r="Q2356">
        <v>2196.8711379000001</v>
      </c>
      <c r="R2356">
        <v>31591.589182700001</v>
      </c>
      <c r="S2356">
        <v>-30.676380529500001</v>
      </c>
      <c r="T2356">
        <v>140.92340831499999</v>
      </c>
      <c r="U2356">
        <v>0</v>
      </c>
      <c r="V2356">
        <v>0</v>
      </c>
    </row>
    <row r="2357" spans="1:22" x14ac:dyDescent="0.2">
      <c r="A2357"/>
      <c r="B2357">
        <v>50124</v>
      </c>
      <c r="C2357" t="s">
        <v>2080</v>
      </c>
      <c r="D2357" t="s">
        <v>1924</v>
      </c>
      <c r="E2357" t="s">
        <v>1275</v>
      </c>
      <c r="F2357" t="s">
        <v>2076</v>
      </c>
      <c r="G2357">
        <v>216.79</v>
      </c>
      <c r="H2357" t="s">
        <v>248</v>
      </c>
      <c r="Q2357">
        <v>2161.9308146899998</v>
      </c>
      <c r="R2357">
        <v>31621.231470700001</v>
      </c>
      <c r="S2357">
        <v>-31.212295339000001</v>
      </c>
      <c r="T2357">
        <v>135.999249228</v>
      </c>
      <c r="U2357">
        <v>0</v>
      </c>
      <c r="V2357">
        <v>0</v>
      </c>
    </row>
    <row r="2358" spans="1:22" x14ac:dyDescent="0.2">
      <c r="A2358"/>
      <c r="B2358">
        <v>50125</v>
      </c>
      <c r="C2358" t="s">
        <v>2081</v>
      </c>
      <c r="D2358" t="s">
        <v>1924</v>
      </c>
      <c r="E2358" t="s">
        <v>1275</v>
      </c>
      <c r="F2358" t="s">
        <v>2082</v>
      </c>
      <c r="G2358">
        <v>29</v>
      </c>
      <c r="H2358" t="s">
        <v>248</v>
      </c>
      <c r="Q2358">
        <v>2452.8730482000001</v>
      </c>
      <c r="R2358">
        <v>31390.7286527</v>
      </c>
      <c r="S2358">
        <v>-26.741624073800001</v>
      </c>
      <c r="T2358">
        <v>140.976485457</v>
      </c>
      <c r="U2358">
        <v>0</v>
      </c>
      <c r="V2358">
        <v>0</v>
      </c>
    </row>
    <row r="2359" spans="1:22" x14ac:dyDescent="0.2">
      <c r="A2359"/>
      <c r="B2359">
        <v>50126</v>
      </c>
      <c r="C2359" t="s">
        <v>2083</v>
      </c>
      <c r="D2359" t="s">
        <v>1924</v>
      </c>
      <c r="E2359" t="s">
        <v>1275</v>
      </c>
      <c r="F2359" t="s">
        <v>2082</v>
      </c>
      <c r="G2359">
        <v>63.17</v>
      </c>
      <c r="H2359" t="s">
        <v>248</v>
      </c>
      <c r="Q2359">
        <v>2426.35721749</v>
      </c>
      <c r="R2359">
        <v>31412.276816199999</v>
      </c>
      <c r="S2359">
        <v>-27.160141129900001</v>
      </c>
      <c r="T2359">
        <v>140.82292484999999</v>
      </c>
      <c r="U2359">
        <v>0</v>
      </c>
      <c r="V2359">
        <v>0</v>
      </c>
    </row>
    <row r="2360" spans="1:22" x14ac:dyDescent="0.2">
      <c r="A2360"/>
      <c r="B2360">
        <v>50127</v>
      </c>
      <c r="C2360" t="s">
        <v>2084</v>
      </c>
      <c r="D2360" t="s">
        <v>1924</v>
      </c>
      <c r="E2360" t="s">
        <v>1275</v>
      </c>
      <c r="F2360" t="s">
        <v>2082</v>
      </c>
      <c r="G2360">
        <v>125.12</v>
      </c>
      <c r="H2360" t="s">
        <v>248</v>
      </c>
      <c r="Q2360">
        <v>2378.4363902</v>
      </c>
      <c r="R2360">
        <v>31451.530481000002</v>
      </c>
      <c r="S2360">
        <v>-27.893949753800001</v>
      </c>
      <c r="T2360">
        <v>140.53390978900001</v>
      </c>
      <c r="U2360">
        <v>0</v>
      </c>
      <c r="V2360">
        <v>0</v>
      </c>
    </row>
    <row r="2361" spans="1:22" x14ac:dyDescent="0.2">
      <c r="A2361"/>
      <c r="B2361">
        <v>50128</v>
      </c>
      <c r="C2361" t="s">
        <v>2085</v>
      </c>
      <c r="D2361" t="s">
        <v>1924</v>
      </c>
      <c r="E2361" t="s">
        <v>1275</v>
      </c>
      <c r="F2361" t="s">
        <v>2082</v>
      </c>
      <c r="G2361">
        <v>161</v>
      </c>
      <c r="H2361" t="s">
        <v>248</v>
      </c>
      <c r="Q2361">
        <v>2350.77178129</v>
      </c>
      <c r="R2361">
        <v>31474.3747511</v>
      </c>
      <c r="S2361">
        <v>-28.320864327399999</v>
      </c>
      <c r="T2361">
        <v>140.36953765999999</v>
      </c>
      <c r="U2361">
        <v>0</v>
      </c>
      <c r="V2361">
        <v>0</v>
      </c>
    </row>
    <row r="2362" spans="1:22" x14ac:dyDescent="0.2">
      <c r="A2362"/>
      <c r="B2362">
        <v>50129</v>
      </c>
      <c r="C2362" t="s">
        <v>2086</v>
      </c>
      <c r="D2362" t="s">
        <v>1924</v>
      </c>
      <c r="E2362" t="s">
        <v>1275</v>
      </c>
      <c r="F2362" t="s">
        <v>2087</v>
      </c>
      <c r="G2362">
        <v>7</v>
      </c>
      <c r="H2362" t="s">
        <v>248</v>
      </c>
      <c r="Q2362">
        <v>2268.51491932</v>
      </c>
      <c r="R2362">
        <v>31543.0815253</v>
      </c>
      <c r="S2362">
        <v>-29.604532134100001</v>
      </c>
      <c r="T2362">
        <v>139.89169589299999</v>
      </c>
      <c r="U2362">
        <v>0</v>
      </c>
      <c r="V2362">
        <v>0</v>
      </c>
    </row>
    <row r="2363" spans="1:22" x14ac:dyDescent="0.2">
      <c r="A2363"/>
      <c r="B2363">
        <v>50130</v>
      </c>
      <c r="C2363" t="s">
        <v>2088</v>
      </c>
      <c r="D2363" t="s">
        <v>1924</v>
      </c>
      <c r="E2363" t="s">
        <v>1275</v>
      </c>
      <c r="F2363" t="s">
        <v>2087</v>
      </c>
      <c r="G2363">
        <v>20</v>
      </c>
      <c r="H2363" t="s">
        <v>248</v>
      </c>
      <c r="Q2363">
        <v>2258.5791813400001</v>
      </c>
      <c r="R2363">
        <v>31551.463467099999</v>
      </c>
      <c r="S2363">
        <v>-29.7598284597</v>
      </c>
      <c r="T2363">
        <v>139.79007462800001</v>
      </c>
      <c r="U2363">
        <v>0</v>
      </c>
      <c r="V2363">
        <v>0</v>
      </c>
    </row>
    <row r="2364" spans="1:22" x14ac:dyDescent="0.2">
      <c r="A2364"/>
      <c r="B2364">
        <v>50131</v>
      </c>
      <c r="C2364" t="s">
        <v>2089</v>
      </c>
      <c r="D2364" t="s">
        <v>1924</v>
      </c>
      <c r="E2364" t="s">
        <v>1275</v>
      </c>
      <c r="F2364" t="s">
        <v>2087</v>
      </c>
      <c r="G2364">
        <v>41</v>
      </c>
      <c r="H2364" t="s">
        <v>248</v>
      </c>
      <c r="Q2364">
        <v>2242.5805701700001</v>
      </c>
      <c r="R2364">
        <v>31565.064295600001</v>
      </c>
      <c r="S2364">
        <v>-30.005719813199999</v>
      </c>
      <c r="T2364">
        <v>139.43272230700001</v>
      </c>
      <c r="U2364">
        <v>0</v>
      </c>
      <c r="V2364">
        <v>0</v>
      </c>
    </row>
    <row r="2365" spans="1:22" x14ac:dyDescent="0.2">
      <c r="A2365"/>
      <c r="B2365">
        <v>50132</v>
      </c>
      <c r="C2365" t="s">
        <v>2090</v>
      </c>
      <c r="D2365" t="s">
        <v>1924</v>
      </c>
      <c r="E2365" t="s">
        <v>1275</v>
      </c>
      <c r="F2365" t="s">
        <v>2087</v>
      </c>
      <c r="G2365">
        <v>54.03</v>
      </c>
      <c r="H2365" t="s">
        <v>248</v>
      </c>
      <c r="Q2365">
        <v>2232.71627094</v>
      </c>
      <c r="R2365">
        <v>31573.576145999999</v>
      </c>
      <c r="S2365">
        <v>-30.157376432300001</v>
      </c>
      <c r="T2365">
        <v>138.69777849799999</v>
      </c>
      <c r="U2365">
        <v>0</v>
      </c>
      <c r="V2365">
        <v>0</v>
      </c>
    </row>
    <row r="2366" spans="1:22" x14ac:dyDescent="0.2">
      <c r="A2366"/>
      <c r="B2366">
        <v>50133</v>
      </c>
      <c r="C2366" t="s">
        <v>2091</v>
      </c>
      <c r="D2366" t="s">
        <v>1924</v>
      </c>
      <c r="E2366" t="s">
        <v>1275</v>
      </c>
      <c r="F2366" t="s">
        <v>2087</v>
      </c>
      <c r="G2366">
        <v>68.91</v>
      </c>
      <c r="H2366" t="s">
        <v>248</v>
      </c>
      <c r="Q2366">
        <v>2221.73404441</v>
      </c>
      <c r="R2366">
        <v>31583.613335400001</v>
      </c>
      <c r="S2366">
        <v>-30.335100135800001</v>
      </c>
      <c r="T2366">
        <v>136.45201152199999</v>
      </c>
      <c r="U2366">
        <v>0</v>
      </c>
      <c r="V2366">
        <v>0</v>
      </c>
    </row>
    <row r="2367" spans="1:22" x14ac:dyDescent="0.2">
      <c r="A2367"/>
      <c r="B2367">
        <v>50134</v>
      </c>
      <c r="C2367" t="s">
        <v>2092</v>
      </c>
      <c r="D2367" t="s">
        <v>1924</v>
      </c>
      <c r="E2367" t="s">
        <v>1275</v>
      </c>
      <c r="F2367" t="s">
        <v>2087</v>
      </c>
      <c r="G2367">
        <v>91.78</v>
      </c>
      <c r="H2367" t="s">
        <v>248</v>
      </c>
      <c r="Q2367">
        <v>2205.6419055699998</v>
      </c>
      <c r="R2367">
        <v>31599.8568553</v>
      </c>
      <c r="S2367">
        <v>-30.601863486199999</v>
      </c>
      <c r="T2367">
        <v>133.01435680700001</v>
      </c>
      <c r="U2367">
        <v>0</v>
      </c>
      <c r="V2367">
        <v>0</v>
      </c>
    </row>
    <row r="2368" spans="1:22" x14ac:dyDescent="0.2">
      <c r="A2368"/>
      <c r="B2368">
        <v>50135</v>
      </c>
      <c r="C2368" t="s">
        <v>2093</v>
      </c>
      <c r="D2368" t="s">
        <v>1924</v>
      </c>
      <c r="E2368" t="s">
        <v>1275</v>
      </c>
      <c r="F2368" t="s">
        <v>2087</v>
      </c>
      <c r="G2368">
        <v>163.51</v>
      </c>
      <c r="H2368" t="s">
        <v>248</v>
      </c>
      <c r="Q2368">
        <v>2161.8715596000002</v>
      </c>
      <c r="R2368">
        <v>31656.548768699999</v>
      </c>
      <c r="S2368">
        <v>-31.388996179300001</v>
      </c>
      <c r="T2368">
        <v>122.57005820000001</v>
      </c>
      <c r="U2368">
        <v>0</v>
      </c>
      <c r="V2368">
        <v>0</v>
      </c>
    </row>
    <row r="2369" spans="1:22" x14ac:dyDescent="0.2">
      <c r="A2369"/>
      <c r="B2369">
        <v>50136</v>
      </c>
      <c r="C2369" t="s">
        <v>2094</v>
      </c>
      <c r="D2369" t="s">
        <v>1924</v>
      </c>
      <c r="E2369" t="s">
        <v>1275</v>
      </c>
      <c r="F2369" t="s">
        <v>2087</v>
      </c>
      <c r="G2369">
        <v>187.9</v>
      </c>
      <c r="H2369" t="s">
        <v>248</v>
      </c>
      <c r="Q2369">
        <v>2148.9974575199999</v>
      </c>
      <c r="R2369">
        <v>31677.262093099998</v>
      </c>
      <c r="S2369">
        <v>-31.636195714599999</v>
      </c>
      <c r="T2369">
        <v>120.983996363</v>
      </c>
      <c r="U2369">
        <v>0</v>
      </c>
      <c r="V2369">
        <v>0</v>
      </c>
    </row>
    <row r="2370" spans="1:22" x14ac:dyDescent="0.2">
      <c r="A2370"/>
      <c r="B2370">
        <v>50137</v>
      </c>
      <c r="C2370" t="s">
        <v>2095</v>
      </c>
      <c r="D2370" t="s">
        <v>1924</v>
      </c>
      <c r="E2370" t="s">
        <v>1275</v>
      </c>
      <c r="F2370" t="s">
        <v>2087</v>
      </c>
      <c r="G2370">
        <v>210.87</v>
      </c>
      <c r="H2370" t="s">
        <v>248</v>
      </c>
      <c r="Q2370">
        <v>2137.7685293200002</v>
      </c>
      <c r="R2370">
        <v>31697.295412899999</v>
      </c>
      <c r="S2370">
        <v>-31.838820130399998</v>
      </c>
      <c r="T2370">
        <v>117.585057611</v>
      </c>
      <c r="U2370">
        <v>0</v>
      </c>
      <c r="V2370">
        <v>0</v>
      </c>
    </row>
    <row r="2371" spans="1:22" x14ac:dyDescent="0.2">
      <c r="A2371"/>
      <c r="B2371">
        <v>51000</v>
      </c>
      <c r="C2371" t="s">
        <v>2096</v>
      </c>
      <c r="D2371" t="s">
        <v>2097</v>
      </c>
      <c r="E2371" t="s">
        <v>2098</v>
      </c>
      <c r="F2371" t="s">
        <v>1923</v>
      </c>
      <c r="G2371">
        <v>691</v>
      </c>
      <c r="H2371" t="s">
        <v>12</v>
      </c>
      <c r="Q2371">
        <v>2710.7830399999998</v>
      </c>
      <c r="R2371">
        <v>31202.3980887</v>
      </c>
      <c r="S2371">
        <v>-20.2949872053</v>
      </c>
      <c r="T2371">
        <v>147.549222332</v>
      </c>
      <c r="U2371">
        <v>0</v>
      </c>
      <c r="V2371">
        <v>0</v>
      </c>
    </row>
    <row r="2372" spans="1:22" x14ac:dyDescent="0.2">
      <c r="A2372"/>
      <c r="B2372">
        <v>51001</v>
      </c>
      <c r="C2372" t="s">
        <v>2099</v>
      </c>
      <c r="D2372" t="s">
        <v>2097</v>
      </c>
      <c r="E2372" t="s">
        <v>2098</v>
      </c>
      <c r="F2372" t="s">
        <v>1922</v>
      </c>
      <c r="G2372">
        <v>783</v>
      </c>
      <c r="H2372" t="s">
        <v>12</v>
      </c>
      <c r="Q2372">
        <v>2707.1237981499999</v>
      </c>
      <c r="R2372">
        <v>31198.3840963</v>
      </c>
      <c r="S2372">
        <v>-20.288591802199999</v>
      </c>
      <c r="T2372">
        <v>145.35214120099999</v>
      </c>
      <c r="U2372">
        <v>0</v>
      </c>
      <c r="V2372">
        <v>0</v>
      </c>
    </row>
    <row r="2373" spans="1:22" x14ac:dyDescent="0.2">
      <c r="A2373"/>
      <c r="B2373">
        <v>51002</v>
      </c>
      <c r="C2373" t="s">
        <v>2100</v>
      </c>
      <c r="D2373" t="s">
        <v>2097</v>
      </c>
      <c r="E2373" t="s">
        <v>2098</v>
      </c>
      <c r="F2373" t="s">
        <v>1933</v>
      </c>
      <c r="G2373">
        <v>11</v>
      </c>
      <c r="H2373" t="s">
        <v>1270</v>
      </c>
      <c r="Q2373">
        <v>2646.1418072199999</v>
      </c>
      <c r="R2373">
        <v>31255.0657077</v>
      </c>
      <c r="S2373">
        <v>-21.0875655358</v>
      </c>
      <c r="T2373">
        <v>-36.444214370799997</v>
      </c>
      <c r="U2373">
        <v>0</v>
      </c>
      <c r="V2373">
        <v>0</v>
      </c>
    </row>
    <row r="2374" spans="1:22" x14ac:dyDescent="0.2">
      <c r="A2374"/>
      <c r="B2374">
        <v>51003</v>
      </c>
      <c r="C2374" t="s">
        <v>2101</v>
      </c>
      <c r="D2374" t="s">
        <v>2097</v>
      </c>
      <c r="E2374" t="s">
        <v>2098</v>
      </c>
      <c r="F2374" t="s">
        <v>1951</v>
      </c>
      <c r="G2374">
        <v>11</v>
      </c>
      <c r="H2374" t="s">
        <v>1270</v>
      </c>
      <c r="Q2374">
        <v>2643.1958031999998</v>
      </c>
      <c r="R2374">
        <v>31251.053487000001</v>
      </c>
      <c r="S2374">
        <v>-21.069520402399998</v>
      </c>
      <c r="T2374">
        <v>-36.478307517300003</v>
      </c>
      <c r="U2374">
        <v>0</v>
      </c>
      <c r="V2374">
        <v>0</v>
      </c>
    </row>
    <row r="2375" spans="1:22" x14ac:dyDescent="0.2">
      <c r="A2375"/>
      <c r="B2375">
        <v>51004</v>
      </c>
      <c r="C2375" t="s">
        <v>2102</v>
      </c>
      <c r="D2375" t="s">
        <v>2097</v>
      </c>
      <c r="E2375" t="s">
        <v>2098</v>
      </c>
      <c r="F2375" t="s">
        <v>1951</v>
      </c>
      <c r="G2375">
        <v>243</v>
      </c>
      <c r="H2375" t="s">
        <v>12</v>
      </c>
      <c r="Q2375">
        <v>2434.7690077100001</v>
      </c>
      <c r="R2375">
        <v>31352.0793046</v>
      </c>
      <c r="S2375">
        <v>-26.760401098199999</v>
      </c>
      <c r="T2375">
        <v>155.42582436500001</v>
      </c>
      <c r="U2375">
        <v>0</v>
      </c>
      <c r="V2375">
        <v>0</v>
      </c>
    </row>
    <row r="2376" spans="1:22" x14ac:dyDescent="0.2">
      <c r="A2376"/>
      <c r="B2376">
        <v>51005</v>
      </c>
      <c r="C2376" t="s">
        <v>2103</v>
      </c>
      <c r="D2376" t="s">
        <v>1052</v>
      </c>
      <c r="E2376" t="s">
        <v>1269</v>
      </c>
      <c r="F2376" t="s">
        <v>2087</v>
      </c>
      <c r="G2376">
        <v>24</v>
      </c>
      <c r="H2376" t="s">
        <v>1270</v>
      </c>
      <c r="Q2376">
        <v>2257.01212424</v>
      </c>
      <c r="R2376">
        <v>31555.802117499999</v>
      </c>
      <c r="S2376">
        <v>-29.8071384442</v>
      </c>
      <c r="T2376">
        <v>-40.259592333299999</v>
      </c>
      <c r="U2376">
        <v>0</v>
      </c>
      <c r="V2376">
        <v>0</v>
      </c>
    </row>
    <row r="2377" spans="1:22" x14ac:dyDescent="0.2">
      <c r="A2377"/>
      <c r="B2377">
        <v>51006</v>
      </c>
      <c r="C2377" t="s">
        <v>2104</v>
      </c>
      <c r="D2377" t="s">
        <v>919</v>
      </c>
      <c r="E2377" t="s">
        <v>1200</v>
      </c>
      <c r="F2377" t="s">
        <v>2082</v>
      </c>
      <c r="G2377">
        <v>5</v>
      </c>
      <c r="H2377" t="s">
        <v>1270</v>
      </c>
      <c r="Q2377">
        <v>2471.5288536600001</v>
      </c>
      <c r="R2377">
        <v>31375.6373379</v>
      </c>
      <c r="S2377">
        <v>-26.284434427299999</v>
      </c>
      <c r="T2377">
        <v>-38.917102109600002</v>
      </c>
      <c r="U2377">
        <v>0</v>
      </c>
      <c r="V2377">
        <v>0</v>
      </c>
    </row>
    <row r="2378" spans="1:22" x14ac:dyDescent="0.2">
      <c r="A2378"/>
      <c r="B2378">
        <v>51007</v>
      </c>
      <c r="C2378" t="s">
        <v>2105</v>
      </c>
      <c r="D2378" t="s">
        <v>2097</v>
      </c>
      <c r="E2378" t="s">
        <v>2098</v>
      </c>
      <c r="F2378" t="s">
        <v>2076</v>
      </c>
      <c r="G2378">
        <v>96</v>
      </c>
      <c r="H2378" t="s">
        <v>1270</v>
      </c>
      <c r="Q2378">
        <v>2256.5136411100002</v>
      </c>
      <c r="R2378">
        <v>31546.1486009</v>
      </c>
      <c r="S2378">
        <v>-29.769025255100001</v>
      </c>
      <c r="T2378">
        <v>-39.0784915419</v>
      </c>
      <c r="U2378">
        <v>0</v>
      </c>
      <c r="V2378">
        <v>0</v>
      </c>
    </row>
    <row r="2379" spans="1:22" x14ac:dyDescent="0.2">
      <c r="A2379"/>
      <c r="B2379">
        <v>51008</v>
      </c>
      <c r="C2379" t="s">
        <v>2106</v>
      </c>
      <c r="D2379" t="s">
        <v>2097</v>
      </c>
      <c r="E2379" t="s">
        <v>2098</v>
      </c>
      <c r="F2379" t="s">
        <v>2072</v>
      </c>
      <c r="G2379">
        <v>259</v>
      </c>
      <c r="H2379" t="s">
        <v>1270</v>
      </c>
      <c r="Q2379">
        <v>2244.9698115900001</v>
      </c>
      <c r="R2379">
        <v>31544.635740000002</v>
      </c>
      <c r="S2379">
        <v>-29.889451757500002</v>
      </c>
      <c r="T2379">
        <v>-38.189167618200003</v>
      </c>
      <c r="U2379">
        <v>0</v>
      </c>
      <c r="V2379">
        <v>0</v>
      </c>
    </row>
    <row r="2380" spans="1:22" x14ac:dyDescent="0.2">
      <c r="A2380"/>
      <c r="B2380">
        <v>51009</v>
      </c>
      <c r="C2380" t="s">
        <v>2107</v>
      </c>
      <c r="D2380" t="s">
        <v>1052</v>
      </c>
      <c r="E2380" t="s">
        <v>1269</v>
      </c>
      <c r="F2380" t="s">
        <v>2082</v>
      </c>
      <c r="G2380">
        <v>162</v>
      </c>
      <c r="H2380" t="s">
        <v>1270</v>
      </c>
      <c r="Q2380">
        <v>2351.4688449099999</v>
      </c>
      <c r="R2380">
        <v>31476.783854099998</v>
      </c>
      <c r="S2380">
        <v>-28.3327827932</v>
      </c>
      <c r="T2380">
        <v>-39.6350117844</v>
      </c>
      <c r="U2380">
        <v>0</v>
      </c>
      <c r="V2380">
        <v>0</v>
      </c>
    </row>
    <row r="2381" spans="1:22" x14ac:dyDescent="0.2">
      <c r="A2381"/>
      <c r="B2381">
        <v>51010</v>
      </c>
      <c r="C2381" t="s">
        <v>2108</v>
      </c>
      <c r="D2381" t="s">
        <v>2109</v>
      </c>
      <c r="E2381" t="s">
        <v>2098</v>
      </c>
      <c r="F2381" t="s">
        <v>2087</v>
      </c>
      <c r="G2381">
        <v>17</v>
      </c>
      <c r="H2381" t="s">
        <v>1270</v>
      </c>
      <c r="Q2381">
        <v>2262.3545084799998</v>
      </c>
      <c r="R2381">
        <v>31551.284772700001</v>
      </c>
      <c r="S2381">
        <v>-29.724199732300001</v>
      </c>
      <c r="T2381">
        <v>-40.178357550000001</v>
      </c>
      <c r="U2381">
        <v>0</v>
      </c>
      <c r="V2381">
        <v>0</v>
      </c>
    </row>
    <row r="2382" spans="1:22" x14ac:dyDescent="0.2">
      <c r="A2382"/>
      <c r="B2382">
        <v>51011</v>
      </c>
      <c r="C2382" t="s">
        <v>2110</v>
      </c>
      <c r="D2382" t="s">
        <v>919</v>
      </c>
      <c r="E2382" t="s">
        <v>1200</v>
      </c>
      <c r="F2382" t="s">
        <v>2087</v>
      </c>
      <c r="G2382">
        <v>255</v>
      </c>
      <c r="H2382" t="s">
        <v>12</v>
      </c>
      <c r="Q2382">
        <v>2119.37307276</v>
      </c>
      <c r="R2382">
        <v>31737.389140399999</v>
      </c>
      <c r="S2382">
        <v>-31.8797870784</v>
      </c>
      <c r="T2382">
        <v>112.008978868</v>
      </c>
      <c r="U2382">
        <v>0</v>
      </c>
      <c r="V2382">
        <v>0</v>
      </c>
    </row>
    <row r="2383" spans="1:22" x14ac:dyDescent="0.2">
      <c r="A2383"/>
      <c r="B2383">
        <v>51012</v>
      </c>
      <c r="C2383" t="s">
        <v>2111</v>
      </c>
      <c r="D2383" t="s">
        <v>2097</v>
      </c>
      <c r="E2383" t="s">
        <v>2098</v>
      </c>
      <c r="F2383" t="s">
        <v>2076</v>
      </c>
      <c r="G2383">
        <v>315</v>
      </c>
      <c r="H2383" t="s">
        <v>1270</v>
      </c>
      <c r="Q2383">
        <v>2114.3965746200001</v>
      </c>
      <c r="R2383">
        <v>31705.2302819</v>
      </c>
      <c r="S2383">
        <v>-31.873324307400001</v>
      </c>
      <c r="T2383">
        <v>-73.237356249599998</v>
      </c>
      <c r="U2383">
        <v>0</v>
      </c>
      <c r="V2383">
        <v>0</v>
      </c>
    </row>
    <row r="2384" spans="1:22" x14ac:dyDescent="0.2">
      <c r="A2384"/>
      <c r="B2384">
        <v>51013</v>
      </c>
      <c r="C2384" t="s">
        <v>2112</v>
      </c>
      <c r="D2384" t="s">
        <v>919</v>
      </c>
      <c r="E2384" t="s">
        <v>1200</v>
      </c>
      <c r="F2384" t="s">
        <v>2070</v>
      </c>
      <c r="G2384">
        <v>472</v>
      </c>
      <c r="H2384" t="s">
        <v>12</v>
      </c>
      <c r="Q2384">
        <v>2118.3887871100001</v>
      </c>
      <c r="R2384">
        <v>31629.451572400001</v>
      </c>
      <c r="S2384">
        <v>-31.759106701299999</v>
      </c>
      <c r="T2384">
        <v>140.549738416</v>
      </c>
      <c r="U2384">
        <v>0</v>
      </c>
      <c r="V2384">
        <v>0</v>
      </c>
    </row>
    <row r="2385" spans="1:22" x14ac:dyDescent="0.2">
      <c r="A2385"/>
      <c r="B2385">
        <v>51015</v>
      </c>
      <c r="C2385" t="s">
        <v>2113</v>
      </c>
      <c r="D2385" t="s">
        <v>2097</v>
      </c>
      <c r="E2385" t="s">
        <v>2098</v>
      </c>
      <c r="F2385" t="s">
        <v>2070</v>
      </c>
      <c r="G2385">
        <v>278</v>
      </c>
      <c r="H2385" t="s">
        <v>1270</v>
      </c>
      <c r="Q2385">
        <v>2269.8589394700002</v>
      </c>
      <c r="R2385">
        <v>31508.2500201</v>
      </c>
      <c r="S2385">
        <v>-29.427879409599999</v>
      </c>
      <c r="T2385">
        <v>-39.167707015300003</v>
      </c>
      <c r="U2385">
        <v>0</v>
      </c>
      <c r="V2385">
        <v>0</v>
      </c>
    </row>
    <row r="2386" spans="1:22" x14ac:dyDescent="0.2">
      <c r="A2386"/>
      <c r="B2386">
        <v>51016</v>
      </c>
      <c r="C2386" t="s">
        <v>2114</v>
      </c>
      <c r="D2386" t="s">
        <v>2097</v>
      </c>
      <c r="E2386" t="s">
        <v>2098</v>
      </c>
      <c r="F2386" t="s">
        <v>2062</v>
      </c>
      <c r="G2386">
        <v>173</v>
      </c>
      <c r="H2386" t="s">
        <v>1270</v>
      </c>
      <c r="Q2386">
        <v>2285.9454387000001</v>
      </c>
      <c r="R2386">
        <v>31482.755801399999</v>
      </c>
      <c r="S2386">
        <v>-29.112691612799999</v>
      </c>
      <c r="T2386">
        <v>-24.019752093099999</v>
      </c>
      <c r="U2386">
        <v>0</v>
      </c>
      <c r="V2386">
        <v>0</v>
      </c>
    </row>
    <row r="2387" spans="1:22" x14ac:dyDescent="0.2">
      <c r="A2387"/>
      <c r="B2387">
        <v>51017</v>
      </c>
      <c r="C2387" t="s">
        <v>2115</v>
      </c>
      <c r="D2387" t="s">
        <v>2097</v>
      </c>
      <c r="E2387" t="s">
        <v>2098</v>
      </c>
      <c r="F2387" t="s">
        <v>2056</v>
      </c>
      <c r="G2387">
        <v>78</v>
      </c>
      <c r="H2387" t="s">
        <v>1270</v>
      </c>
      <c r="Q2387">
        <v>2279.9126209699998</v>
      </c>
      <c r="R2387">
        <v>31480.151478799999</v>
      </c>
      <c r="S2387">
        <v>-29.1635253488</v>
      </c>
      <c r="T2387">
        <v>-23.2649058294</v>
      </c>
      <c r="U2387">
        <v>0</v>
      </c>
      <c r="V2387">
        <v>0</v>
      </c>
    </row>
    <row r="2388" spans="1:22" x14ac:dyDescent="0.2">
      <c r="A2388"/>
      <c r="B2388">
        <v>51018</v>
      </c>
      <c r="C2388" t="s">
        <v>2116</v>
      </c>
      <c r="D2388" t="s">
        <v>2097</v>
      </c>
      <c r="E2388" t="s">
        <v>2098</v>
      </c>
      <c r="F2388" t="s">
        <v>2050</v>
      </c>
      <c r="G2388">
        <v>78</v>
      </c>
      <c r="H2388" t="s">
        <v>1270</v>
      </c>
      <c r="Q2388">
        <v>2277.5896183700002</v>
      </c>
      <c r="R2388">
        <v>31476.3868497</v>
      </c>
      <c r="S2388">
        <v>-29.174044366299999</v>
      </c>
      <c r="T2388">
        <v>-23.385729763400001</v>
      </c>
      <c r="U2388">
        <v>0</v>
      </c>
      <c r="V2388">
        <v>0</v>
      </c>
    </row>
    <row r="2389" spans="1:22" x14ac:dyDescent="0.2">
      <c r="A2389"/>
      <c r="B2389">
        <v>51019</v>
      </c>
      <c r="C2389" t="s">
        <v>2117</v>
      </c>
      <c r="D2389" t="s">
        <v>2097</v>
      </c>
      <c r="E2389" t="s">
        <v>2098</v>
      </c>
      <c r="F2389" t="s">
        <v>2044</v>
      </c>
      <c r="G2389">
        <v>70</v>
      </c>
      <c r="H2389" t="s">
        <v>1270</v>
      </c>
      <c r="Q2389">
        <v>2288.5413637199999</v>
      </c>
      <c r="R2389">
        <v>31466.537192799999</v>
      </c>
      <c r="S2389">
        <v>-29.0048757046</v>
      </c>
      <c r="T2389">
        <v>-23.6590719973</v>
      </c>
      <c r="U2389">
        <v>0</v>
      </c>
      <c r="V2389">
        <v>0</v>
      </c>
    </row>
    <row r="2390" spans="1:22" x14ac:dyDescent="0.2">
      <c r="A2390"/>
      <c r="B2390">
        <v>51020</v>
      </c>
      <c r="C2390" t="s">
        <v>2118</v>
      </c>
      <c r="D2390" t="s">
        <v>2097</v>
      </c>
      <c r="E2390" t="s">
        <v>2098</v>
      </c>
      <c r="F2390" t="s">
        <v>2038</v>
      </c>
      <c r="G2390">
        <v>64</v>
      </c>
      <c r="H2390" t="s">
        <v>1270</v>
      </c>
      <c r="Q2390">
        <v>2291.7928759500001</v>
      </c>
      <c r="R2390">
        <v>31459.947869600001</v>
      </c>
      <c r="S2390">
        <v>-28.9326923719</v>
      </c>
      <c r="T2390">
        <v>-23.775616544799998</v>
      </c>
      <c r="U2390">
        <v>0</v>
      </c>
      <c r="V2390">
        <v>0</v>
      </c>
    </row>
    <row r="2391" spans="1:22" x14ac:dyDescent="0.2">
      <c r="A2391"/>
      <c r="B2391">
        <v>51021</v>
      </c>
      <c r="C2391" t="s">
        <v>2119</v>
      </c>
      <c r="D2391" t="s">
        <v>2097</v>
      </c>
      <c r="E2391" t="s">
        <v>2098</v>
      </c>
      <c r="F2391" t="s">
        <v>2030</v>
      </c>
      <c r="G2391">
        <v>155</v>
      </c>
      <c r="H2391" t="s">
        <v>1270</v>
      </c>
      <c r="Q2391">
        <v>2281.14917203</v>
      </c>
      <c r="R2391">
        <v>31459.240935000002</v>
      </c>
      <c r="S2391">
        <v>-29.0465573036</v>
      </c>
      <c r="T2391">
        <v>-25.635857201099999</v>
      </c>
      <c r="U2391">
        <v>0</v>
      </c>
      <c r="V2391">
        <v>0</v>
      </c>
    </row>
    <row r="2392" spans="1:22" x14ac:dyDescent="0.2">
      <c r="A2392"/>
      <c r="B2392">
        <v>51022</v>
      </c>
      <c r="C2392" t="s">
        <v>2120</v>
      </c>
      <c r="D2392" t="s">
        <v>2097</v>
      </c>
      <c r="E2392" t="s">
        <v>2098</v>
      </c>
      <c r="F2392" t="s">
        <v>2022</v>
      </c>
      <c r="G2392">
        <v>49</v>
      </c>
      <c r="H2392" t="s">
        <v>1270</v>
      </c>
      <c r="Q2392">
        <v>2286.5787036299998</v>
      </c>
      <c r="R2392">
        <v>31449.371411600001</v>
      </c>
      <c r="S2392">
        <v>-28.945563975399999</v>
      </c>
      <c r="T2392">
        <v>-28.278967921</v>
      </c>
      <c r="U2392">
        <v>0</v>
      </c>
      <c r="V2392">
        <v>0</v>
      </c>
    </row>
    <row r="2393" spans="1:22" x14ac:dyDescent="0.2">
      <c r="A2393"/>
      <c r="B2393">
        <v>51023</v>
      </c>
      <c r="C2393" t="s">
        <v>2121</v>
      </c>
      <c r="D2393" t="s">
        <v>2097</v>
      </c>
      <c r="E2393" t="s">
        <v>2098</v>
      </c>
      <c r="F2393" t="s">
        <v>2016</v>
      </c>
      <c r="G2393">
        <v>56</v>
      </c>
      <c r="H2393" t="s">
        <v>1270</v>
      </c>
      <c r="Q2393">
        <v>2277.8196516200001</v>
      </c>
      <c r="R2393">
        <v>31448.358298700001</v>
      </c>
      <c r="S2393">
        <v>-29.0240346583</v>
      </c>
      <c r="T2393">
        <v>-25.694251790700001</v>
      </c>
      <c r="U2393">
        <v>0</v>
      </c>
      <c r="V2393">
        <v>0</v>
      </c>
    </row>
    <row r="2394" spans="1:22" x14ac:dyDescent="0.2">
      <c r="A2394"/>
      <c r="B2394">
        <v>51024</v>
      </c>
      <c r="C2394" t="s">
        <v>2122</v>
      </c>
      <c r="D2394" t="s">
        <v>2097</v>
      </c>
      <c r="E2394" t="s">
        <v>2098</v>
      </c>
      <c r="F2394" t="s">
        <v>2011</v>
      </c>
      <c r="G2394">
        <v>63</v>
      </c>
      <c r="H2394" t="s">
        <v>1270</v>
      </c>
      <c r="Q2394">
        <v>2237.44958129</v>
      </c>
      <c r="R2394">
        <v>31461.1020751</v>
      </c>
      <c r="S2394">
        <v>-29.559883191800001</v>
      </c>
      <c r="T2394">
        <v>-23.164220437800001</v>
      </c>
      <c r="U2394">
        <v>0</v>
      </c>
      <c r="V2394">
        <v>0</v>
      </c>
    </row>
    <row r="2395" spans="1:22" x14ac:dyDescent="0.2">
      <c r="A2395"/>
      <c r="B2395">
        <v>51025</v>
      </c>
      <c r="C2395" t="s">
        <v>2123</v>
      </c>
      <c r="D2395" t="s">
        <v>2097</v>
      </c>
      <c r="E2395" t="s">
        <v>2098</v>
      </c>
      <c r="F2395" t="s">
        <v>2005</v>
      </c>
      <c r="G2395">
        <v>56</v>
      </c>
      <c r="H2395" t="s">
        <v>1270</v>
      </c>
      <c r="Q2395">
        <v>2241.7793355899998</v>
      </c>
      <c r="R2395">
        <v>31454.2782343</v>
      </c>
      <c r="S2395">
        <v>-29.467441016900001</v>
      </c>
      <c r="T2395">
        <v>-23.075788556100001</v>
      </c>
      <c r="U2395">
        <v>0</v>
      </c>
      <c r="V2395">
        <v>0</v>
      </c>
    </row>
    <row r="2396" spans="1:22" x14ac:dyDescent="0.2">
      <c r="A2396"/>
      <c r="B2396">
        <v>51026</v>
      </c>
      <c r="C2396" t="s">
        <v>2124</v>
      </c>
      <c r="D2396" t="s">
        <v>2097</v>
      </c>
      <c r="E2396" t="s">
        <v>2098</v>
      </c>
      <c r="F2396" t="s">
        <v>1939</v>
      </c>
      <c r="G2396">
        <v>55</v>
      </c>
      <c r="H2396" t="s">
        <v>1270</v>
      </c>
      <c r="Q2396">
        <v>2272.6580405099999</v>
      </c>
      <c r="R2396">
        <v>31435.587227200002</v>
      </c>
      <c r="S2396">
        <v>-29.039663450599999</v>
      </c>
      <c r="T2396">
        <v>-23.191999104299999</v>
      </c>
      <c r="U2396">
        <v>0</v>
      </c>
      <c r="V2396">
        <v>0</v>
      </c>
    </row>
    <row r="2397" spans="1:22" x14ac:dyDescent="0.2">
      <c r="A2397"/>
      <c r="B2397">
        <v>51027</v>
      </c>
      <c r="C2397" t="s">
        <v>2125</v>
      </c>
      <c r="D2397" t="s">
        <v>2097</v>
      </c>
      <c r="E2397" t="s">
        <v>2098</v>
      </c>
      <c r="F2397" t="s">
        <v>1958</v>
      </c>
      <c r="G2397">
        <v>48</v>
      </c>
      <c r="H2397" t="s">
        <v>1270</v>
      </c>
      <c r="Q2397">
        <v>2218.4487287100001</v>
      </c>
      <c r="R2397">
        <v>31453.865251899999</v>
      </c>
      <c r="S2397">
        <v>-29.741859576500001</v>
      </c>
      <c r="T2397">
        <v>-23.126636078200001</v>
      </c>
      <c r="U2397">
        <v>0</v>
      </c>
      <c r="V2397">
        <v>0</v>
      </c>
    </row>
    <row r="2398" spans="1:22" x14ac:dyDescent="0.2">
      <c r="A2398"/>
      <c r="B2398">
        <v>51028</v>
      </c>
      <c r="C2398" t="s">
        <v>2126</v>
      </c>
      <c r="D2398" t="s">
        <v>2097</v>
      </c>
      <c r="E2398" t="s">
        <v>2098</v>
      </c>
      <c r="F2398" t="s">
        <v>2000</v>
      </c>
      <c r="G2398">
        <v>59</v>
      </c>
      <c r="H2398" t="s">
        <v>1270</v>
      </c>
      <c r="Q2398">
        <v>2206.6185427800001</v>
      </c>
      <c r="R2398">
        <v>31453.845270000002</v>
      </c>
      <c r="S2398">
        <v>-29.878774378300001</v>
      </c>
      <c r="T2398">
        <v>-21.085430691799999</v>
      </c>
      <c r="U2398">
        <v>0</v>
      </c>
      <c r="V2398">
        <v>0</v>
      </c>
    </row>
    <row r="2399" spans="1:22" x14ac:dyDescent="0.2">
      <c r="A2399"/>
      <c r="B2399">
        <v>51029</v>
      </c>
      <c r="C2399" t="s">
        <v>2127</v>
      </c>
      <c r="D2399" t="s">
        <v>2097</v>
      </c>
      <c r="E2399" t="s">
        <v>2098</v>
      </c>
      <c r="F2399" t="s">
        <v>1995</v>
      </c>
      <c r="G2399">
        <v>87</v>
      </c>
      <c r="H2399" t="s">
        <v>1270</v>
      </c>
      <c r="Q2399">
        <v>2208.4726002500001</v>
      </c>
      <c r="R2399">
        <v>31447.9359845</v>
      </c>
      <c r="S2399">
        <v>-29.83568884</v>
      </c>
      <c r="T2399">
        <v>-20.092142193299999</v>
      </c>
      <c r="U2399">
        <v>0</v>
      </c>
      <c r="V2399">
        <v>0</v>
      </c>
    </row>
    <row r="2400" spans="1:22" x14ac:dyDescent="0.2">
      <c r="A2400"/>
      <c r="B2400">
        <v>51030</v>
      </c>
      <c r="C2400" t="s">
        <v>2128</v>
      </c>
      <c r="D2400" t="s">
        <v>2097</v>
      </c>
      <c r="E2400" t="s">
        <v>2098</v>
      </c>
      <c r="F2400" t="s">
        <v>1990</v>
      </c>
      <c r="G2400">
        <v>76</v>
      </c>
      <c r="H2400" t="s">
        <v>1270</v>
      </c>
      <c r="Q2400">
        <v>2196.5572026999998</v>
      </c>
      <c r="R2400">
        <v>31447.246431799998</v>
      </c>
      <c r="S2400">
        <v>-29.963572409000001</v>
      </c>
      <c r="T2400">
        <v>-22.422389657</v>
      </c>
      <c r="U2400">
        <v>0</v>
      </c>
      <c r="V2400">
        <v>0</v>
      </c>
    </row>
    <row r="2401" spans="1:22" x14ac:dyDescent="0.2">
      <c r="A2401"/>
      <c r="B2401">
        <v>51031</v>
      </c>
      <c r="C2401" t="s">
        <v>2129</v>
      </c>
      <c r="D2401" t="s">
        <v>2097</v>
      </c>
      <c r="E2401" t="s">
        <v>2098</v>
      </c>
      <c r="F2401" t="s">
        <v>1985</v>
      </c>
      <c r="G2401">
        <v>78</v>
      </c>
      <c r="H2401" t="s">
        <v>1270</v>
      </c>
      <c r="Q2401">
        <v>2193.7236231299999</v>
      </c>
      <c r="R2401">
        <v>31443.749329800001</v>
      </c>
      <c r="S2401">
        <v>-29.979188199799999</v>
      </c>
      <c r="T2401">
        <v>-22.714060377100001</v>
      </c>
      <c r="U2401">
        <v>0</v>
      </c>
      <c r="V2401">
        <v>0</v>
      </c>
    </row>
    <row r="2402" spans="1:22" x14ac:dyDescent="0.2">
      <c r="A2402"/>
      <c r="B2402">
        <v>51032</v>
      </c>
      <c r="C2402" t="s">
        <v>2130</v>
      </c>
      <c r="D2402" t="s">
        <v>2097</v>
      </c>
      <c r="E2402" t="s">
        <v>2098</v>
      </c>
      <c r="F2402" t="s">
        <v>1966</v>
      </c>
      <c r="G2402">
        <v>55</v>
      </c>
      <c r="H2402" t="s">
        <v>1270</v>
      </c>
      <c r="Q2402">
        <v>2196.6230475399998</v>
      </c>
      <c r="R2402">
        <v>31437.4494223</v>
      </c>
      <c r="S2402">
        <v>-29.908488028499999</v>
      </c>
      <c r="T2402">
        <v>-21.937591383600001</v>
      </c>
      <c r="U2402">
        <v>0</v>
      </c>
      <c r="V2402">
        <v>0</v>
      </c>
    </row>
    <row r="2403" spans="1:22" x14ac:dyDescent="0.2">
      <c r="A2403"/>
      <c r="B2403">
        <v>51033</v>
      </c>
      <c r="C2403" t="s">
        <v>2131</v>
      </c>
      <c r="D2403" t="s">
        <v>2097</v>
      </c>
      <c r="E2403" t="s">
        <v>2098</v>
      </c>
      <c r="F2403" t="s">
        <v>2132</v>
      </c>
      <c r="G2403">
        <v>57</v>
      </c>
      <c r="H2403" t="s">
        <v>1270</v>
      </c>
      <c r="Q2403">
        <v>2174.2985205300001</v>
      </c>
      <c r="R2403">
        <v>31437.304719200001</v>
      </c>
      <c r="S2403">
        <v>-30.1600508392</v>
      </c>
      <c r="T2403">
        <v>-22.451171293600002</v>
      </c>
      <c r="U2403">
        <v>0</v>
      </c>
      <c r="V2403">
        <v>0</v>
      </c>
    </row>
    <row r="2404" spans="1:22" x14ac:dyDescent="0.2">
      <c r="A2404"/>
      <c r="B2404">
        <v>51034</v>
      </c>
      <c r="C2404" t="s">
        <v>2133</v>
      </c>
      <c r="D2404" t="s">
        <v>2097</v>
      </c>
      <c r="E2404" t="s">
        <v>2098</v>
      </c>
      <c r="F2404" t="s">
        <v>2134</v>
      </c>
      <c r="G2404">
        <v>75</v>
      </c>
      <c r="H2404" t="s">
        <v>1270</v>
      </c>
      <c r="Q2404">
        <v>2154.8983812199999</v>
      </c>
      <c r="R2404">
        <v>31431.192335299998</v>
      </c>
      <c r="S2404">
        <v>-30.357033058399999</v>
      </c>
      <c r="T2404">
        <v>-17.102912206900001</v>
      </c>
      <c r="U2404">
        <v>0</v>
      </c>
      <c r="V2404">
        <v>0</v>
      </c>
    </row>
    <row r="2405" spans="1:22" x14ac:dyDescent="0.2">
      <c r="A2405"/>
      <c r="B2405">
        <v>51035</v>
      </c>
      <c r="C2405" t="s">
        <v>2135</v>
      </c>
      <c r="D2405" t="s">
        <v>2097</v>
      </c>
      <c r="E2405" t="s">
        <v>2098</v>
      </c>
      <c r="F2405" t="s">
        <v>1977</v>
      </c>
      <c r="G2405">
        <v>100</v>
      </c>
      <c r="H2405" t="s">
        <v>1270</v>
      </c>
      <c r="Q2405">
        <v>2173.1491870599998</v>
      </c>
      <c r="R2405">
        <v>31361.692860499999</v>
      </c>
      <c r="S2405">
        <v>-29.793199807200001</v>
      </c>
      <c r="T2405">
        <v>13.942431626599999</v>
      </c>
      <c r="U2405">
        <v>0</v>
      </c>
      <c r="V2405">
        <v>0</v>
      </c>
    </row>
    <row r="2406" spans="1:22" x14ac:dyDescent="0.2">
      <c r="A2406"/>
      <c r="B2406">
        <v>51036</v>
      </c>
      <c r="C2406" t="s">
        <v>2136</v>
      </c>
      <c r="D2406" t="s">
        <v>2097</v>
      </c>
      <c r="E2406" t="s">
        <v>2098</v>
      </c>
      <c r="F2406" t="s">
        <v>1972</v>
      </c>
      <c r="G2406">
        <v>85</v>
      </c>
      <c r="H2406" t="s">
        <v>1270</v>
      </c>
      <c r="Q2406">
        <v>2189.6487929999998</v>
      </c>
      <c r="R2406">
        <v>31355.9256661</v>
      </c>
      <c r="S2406">
        <v>-29.606965737700001</v>
      </c>
      <c r="T2406">
        <v>14.954858144699999</v>
      </c>
      <c r="U2406">
        <v>0</v>
      </c>
      <c r="V2406">
        <v>0</v>
      </c>
    </row>
    <row r="2407" spans="1:22" x14ac:dyDescent="0.2">
      <c r="A2407"/>
      <c r="B2407">
        <v>51037</v>
      </c>
      <c r="C2407" t="s">
        <v>2137</v>
      </c>
      <c r="D2407" t="s">
        <v>2097</v>
      </c>
      <c r="E2407" t="s">
        <v>2098</v>
      </c>
      <c r="F2407" t="s">
        <v>1965</v>
      </c>
      <c r="G2407">
        <v>69</v>
      </c>
      <c r="H2407" t="s">
        <v>1270</v>
      </c>
      <c r="Q2407">
        <v>2232.8935022700002</v>
      </c>
      <c r="R2407">
        <v>31359.529479000001</v>
      </c>
      <c r="S2407">
        <v>-29.135507838199999</v>
      </c>
      <c r="T2407">
        <v>14.5494962434</v>
      </c>
      <c r="U2407">
        <v>0</v>
      </c>
      <c r="V2407">
        <v>0</v>
      </c>
    </row>
    <row r="2408" spans="1:22" x14ac:dyDescent="0.2">
      <c r="A2408"/>
      <c r="B2408">
        <v>51038</v>
      </c>
      <c r="C2408" t="s">
        <v>2138</v>
      </c>
      <c r="D2408" t="s">
        <v>2097</v>
      </c>
      <c r="E2408" t="s">
        <v>2098</v>
      </c>
      <c r="F2408" t="s">
        <v>2139</v>
      </c>
      <c r="G2408">
        <v>59</v>
      </c>
      <c r="H2408" t="s">
        <v>1270</v>
      </c>
      <c r="Q2408">
        <v>2238.9503715800001</v>
      </c>
      <c r="R2408">
        <v>31353.2933782</v>
      </c>
      <c r="S2408">
        <v>-29.0359506235</v>
      </c>
      <c r="T2408">
        <v>14.5816673709</v>
      </c>
      <c r="U2408">
        <v>0</v>
      </c>
      <c r="V2408">
        <v>0</v>
      </c>
    </row>
    <row r="2409" spans="1:22" x14ac:dyDescent="0.2">
      <c r="A2409"/>
      <c r="B2409">
        <v>51039</v>
      </c>
      <c r="C2409" t="s">
        <v>2140</v>
      </c>
      <c r="D2409" t="s">
        <v>2097</v>
      </c>
      <c r="E2409" t="s">
        <v>2098</v>
      </c>
      <c r="F2409" t="s">
        <v>2141</v>
      </c>
      <c r="G2409">
        <v>58</v>
      </c>
      <c r="H2409" t="s">
        <v>1270</v>
      </c>
      <c r="Q2409">
        <v>2242.25136539</v>
      </c>
      <c r="R2409">
        <v>31347.2848003</v>
      </c>
      <c r="S2409">
        <v>-28.969662987900001</v>
      </c>
      <c r="T2409">
        <v>20.1307209832</v>
      </c>
      <c r="U2409">
        <v>0</v>
      </c>
      <c r="V2409">
        <v>0</v>
      </c>
    </row>
    <row r="2410" spans="1:22" x14ac:dyDescent="0.2">
      <c r="A2410"/>
      <c r="B2410">
        <v>51040</v>
      </c>
      <c r="C2410" t="s">
        <v>2142</v>
      </c>
      <c r="D2410" t="s">
        <v>919</v>
      </c>
      <c r="E2410" t="s">
        <v>1200</v>
      </c>
      <c r="F2410" t="s">
        <v>1977</v>
      </c>
      <c r="G2410">
        <v>232</v>
      </c>
      <c r="H2410" t="s">
        <v>12</v>
      </c>
      <c r="Q2410">
        <v>2045.8181468400001</v>
      </c>
      <c r="R2410">
        <v>31326.800587199999</v>
      </c>
      <c r="S2410">
        <v>-31.094738946500001</v>
      </c>
      <c r="T2410">
        <v>-165.06905092299999</v>
      </c>
      <c r="U2410">
        <v>0</v>
      </c>
      <c r="V2410">
        <v>0</v>
      </c>
    </row>
    <row r="2411" spans="1:22" x14ac:dyDescent="0.2">
      <c r="A2411"/>
      <c r="B2411">
        <v>51041</v>
      </c>
      <c r="C2411" t="s">
        <v>2143</v>
      </c>
      <c r="D2411" t="s">
        <v>919</v>
      </c>
      <c r="E2411" t="s">
        <v>1200</v>
      </c>
      <c r="F2411" t="s">
        <v>1972</v>
      </c>
      <c r="G2411">
        <v>231</v>
      </c>
      <c r="H2411" t="s">
        <v>12</v>
      </c>
      <c r="Q2411">
        <v>2048.0170299400002</v>
      </c>
      <c r="R2411">
        <v>31320.4381311</v>
      </c>
      <c r="S2411">
        <v>-31.040870897800001</v>
      </c>
      <c r="T2411">
        <v>-164.79873875499999</v>
      </c>
      <c r="U2411">
        <v>0</v>
      </c>
      <c r="V2411">
        <v>0</v>
      </c>
    </row>
    <row r="2412" spans="1:22" x14ac:dyDescent="0.2">
      <c r="A2412"/>
      <c r="B2412">
        <v>51042</v>
      </c>
      <c r="C2412" t="s">
        <v>2144</v>
      </c>
      <c r="D2412" t="s">
        <v>919</v>
      </c>
      <c r="E2412" t="s">
        <v>1200</v>
      </c>
      <c r="F2412" t="s">
        <v>1965</v>
      </c>
      <c r="G2412">
        <v>258</v>
      </c>
      <c r="H2412" t="s">
        <v>12</v>
      </c>
      <c r="Q2412">
        <v>2049.37356099</v>
      </c>
      <c r="R2412">
        <v>31314.326075199999</v>
      </c>
      <c r="S2412">
        <v>-30.9963858849</v>
      </c>
      <c r="T2412">
        <v>-165.20614273000001</v>
      </c>
      <c r="U2412">
        <v>0</v>
      </c>
      <c r="V2412">
        <v>0</v>
      </c>
    </row>
    <row r="2413" spans="1:22" x14ac:dyDescent="0.2">
      <c r="A2413"/>
      <c r="B2413">
        <v>51043</v>
      </c>
      <c r="C2413" t="s">
        <v>2145</v>
      </c>
      <c r="D2413" t="s">
        <v>919</v>
      </c>
      <c r="E2413" t="s">
        <v>1200</v>
      </c>
      <c r="F2413" t="s">
        <v>2139</v>
      </c>
      <c r="G2413">
        <v>245</v>
      </c>
      <c r="H2413" t="s">
        <v>12</v>
      </c>
      <c r="Q2413">
        <v>2058.2691335899999</v>
      </c>
      <c r="R2413">
        <v>31309.086971199999</v>
      </c>
      <c r="S2413">
        <v>-30.871622358300002</v>
      </c>
      <c r="T2413">
        <v>-165.32598273799999</v>
      </c>
      <c r="U2413">
        <v>0</v>
      </c>
      <c r="V2413">
        <v>0</v>
      </c>
    </row>
    <row r="2414" spans="1:22" x14ac:dyDescent="0.2">
      <c r="A2414"/>
      <c r="B2414">
        <v>51044</v>
      </c>
      <c r="C2414" t="s">
        <v>2146</v>
      </c>
      <c r="D2414" t="s">
        <v>919</v>
      </c>
      <c r="E2414" t="s">
        <v>1200</v>
      </c>
      <c r="F2414" t="s">
        <v>2141</v>
      </c>
      <c r="G2414">
        <v>253</v>
      </c>
      <c r="H2414" t="s">
        <v>12</v>
      </c>
      <c r="Q2414">
        <v>2053.2439669599999</v>
      </c>
      <c r="R2414">
        <v>31298.496653099999</v>
      </c>
      <c r="S2414">
        <v>-30.873969052500001</v>
      </c>
      <c r="T2414">
        <v>-165.22678970000001</v>
      </c>
      <c r="U2414">
        <v>0</v>
      </c>
      <c r="V2414">
        <v>0</v>
      </c>
    </row>
    <row r="2415" spans="1:22" x14ac:dyDescent="0.2">
      <c r="A2415"/>
      <c r="B2415">
        <v>51045</v>
      </c>
      <c r="C2415" t="s">
        <v>2147</v>
      </c>
      <c r="D2415" t="s">
        <v>919</v>
      </c>
      <c r="E2415" t="s">
        <v>1200</v>
      </c>
      <c r="F2415" t="s">
        <v>2062</v>
      </c>
      <c r="G2415">
        <v>357</v>
      </c>
      <c r="H2415" t="s">
        <v>12</v>
      </c>
      <c r="Q2415">
        <v>2115.83452197</v>
      </c>
      <c r="R2415">
        <v>31552.976744200001</v>
      </c>
      <c r="S2415">
        <v>-31.405967265699999</v>
      </c>
      <c r="T2415">
        <v>157.03903126899999</v>
      </c>
      <c r="U2415">
        <v>0</v>
      </c>
      <c r="V2415">
        <v>0</v>
      </c>
    </row>
    <row r="2416" spans="1:22" x14ac:dyDescent="0.2">
      <c r="A2416"/>
      <c r="B2416">
        <v>51046</v>
      </c>
      <c r="C2416" t="s">
        <v>2148</v>
      </c>
      <c r="D2416" t="s">
        <v>919</v>
      </c>
      <c r="E2416" t="s">
        <v>1200</v>
      </c>
      <c r="F2416" t="s">
        <v>2056</v>
      </c>
      <c r="G2416">
        <v>258</v>
      </c>
      <c r="H2416" t="s">
        <v>12</v>
      </c>
      <c r="Q2416">
        <v>2113.5724188099998</v>
      </c>
      <c r="R2416">
        <v>31548.941441899999</v>
      </c>
      <c r="S2416">
        <v>-31.412242280299999</v>
      </c>
      <c r="T2416">
        <v>156.97800237499999</v>
      </c>
      <c r="U2416">
        <v>0</v>
      </c>
      <c r="V2416">
        <v>0</v>
      </c>
    </row>
    <row r="2417" spans="1:22" x14ac:dyDescent="0.2">
      <c r="A2417"/>
      <c r="B2417">
        <v>51047</v>
      </c>
      <c r="C2417" t="s">
        <v>2149</v>
      </c>
      <c r="D2417" t="s">
        <v>919</v>
      </c>
      <c r="E2417" t="s">
        <v>1200</v>
      </c>
      <c r="F2417" t="s">
        <v>2050</v>
      </c>
      <c r="G2417">
        <v>257</v>
      </c>
      <c r="H2417" t="s">
        <v>12</v>
      </c>
      <c r="Q2417">
        <v>2112.2817868299999</v>
      </c>
      <c r="R2417">
        <v>31545.058898200001</v>
      </c>
      <c r="S2417">
        <v>-31.409527648299999</v>
      </c>
      <c r="T2417">
        <v>156.88743152999999</v>
      </c>
      <c r="U2417">
        <v>0</v>
      </c>
      <c r="V2417">
        <v>0</v>
      </c>
    </row>
    <row r="2418" spans="1:22" x14ac:dyDescent="0.2">
      <c r="A2418"/>
      <c r="B2418">
        <v>51048</v>
      </c>
      <c r="C2418" t="s">
        <v>2150</v>
      </c>
      <c r="D2418" t="s">
        <v>919</v>
      </c>
      <c r="E2418" t="s">
        <v>1200</v>
      </c>
      <c r="F2418" t="s">
        <v>2044</v>
      </c>
      <c r="G2418">
        <v>265</v>
      </c>
      <c r="H2418" t="s">
        <v>12</v>
      </c>
      <c r="Q2418">
        <v>2108.7473769799999</v>
      </c>
      <c r="R2418">
        <v>31542.0459892</v>
      </c>
      <c r="S2418">
        <v>-31.433103803200002</v>
      </c>
      <c r="T2418">
        <v>156.752337977</v>
      </c>
      <c r="U2418">
        <v>0</v>
      </c>
      <c r="V2418">
        <v>0</v>
      </c>
    </row>
    <row r="2419" spans="1:22" x14ac:dyDescent="0.2">
      <c r="A2419"/>
      <c r="B2419">
        <v>51049</v>
      </c>
      <c r="C2419" t="s">
        <v>2151</v>
      </c>
      <c r="D2419" t="s">
        <v>919</v>
      </c>
      <c r="E2419" t="s">
        <v>1200</v>
      </c>
      <c r="F2419" t="s">
        <v>2038</v>
      </c>
      <c r="G2419">
        <v>265</v>
      </c>
      <c r="H2419" t="s">
        <v>12</v>
      </c>
      <c r="Q2419">
        <v>2106.5261554099998</v>
      </c>
      <c r="R2419">
        <v>31537.9270044</v>
      </c>
      <c r="S2419">
        <v>-31.4401981617</v>
      </c>
      <c r="T2419">
        <v>156.75501996899999</v>
      </c>
      <c r="U2419">
        <v>0</v>
      </c>
      <c r="V2419">
        <v>0</v>
      </c>
    </row>
    <row r="2420" spans="1:22" x14ac:dyDescent="0.2">
      <c r="A2420"/>
      <c r="B2420">
        <v>51050</v>
      </c>
      <c r="C2420" t="s">
        <v>2152</v>
      </c>
      <c r="D2420" t="s">
        <v>919</v>
      </c>
      <c r="E2420" t="s">
        <v>1200</v>
      </c>
      <c r="F2420" t="s">
        <v>2030</v>
      </c>
      <c r="G2420">
        <v>346</v>
      </c>
      <c r="H2420" t="s">
        <v>12</v>
      </c>
      <c r="Q2420">
        <v>2105.06698056</v>
      </c>
      <c r="R2420">
        <v>31533.446763899999</v>
      </c>
      <c r="S2420">
        <v>-31.435442542400001</v>
      </c>
      <c r="T2420">
        <v>156.53657357099999</v>
      </c>
      <c r="U2420">
        <v>0</v>
      </c>
      <c r="V2420">
        <v>0</v>
      </c>
    </row>
    <row r="2421" spans="1:22" x14ac:dyDescent="0.2">
      <c r="A2421"/>
      <c r="B2421">
        <v>51051</v>
      </c>
      <c r="C2421" t="s">
        <v>2153</v>
      </c>
      <c r="D2421" t="s">
        <v>919</v>
      </c>
      <c r="E2421" t="s">
        <v>1200</v>
      </c>
      <c r="F2421" t="s">
        <v>2022</v>
      </c>
      <c r="G2421">
        <v>254</v>
      </c>
      <c r="H2421" t="s">
        <v>12</v>
      </c>
      <c r="Q2421">
        <v>2097.22298348</v>
      </c>
      <c r="R2421">
        <v>31528.374067500001</v>
      </c>
      <c r="S2421">
        <v>-31.500561186999999</v>
      </c>
      <c r="T2421">
        <v>157.22787754300001</v>
      </c>
      <c r="U2421">
        <v>0</v>
      </c>
      <c r="V2421">
        <v>0</v>
      </c>
    </row>
    <row r="2422" spans="1:22" x14ac:dyDescent="0.2">
      <c r="A2422"/>
      <c r="B2422">
        <v>51052</v>
      </c>
      <c r="C2422" t="s">
        <v>2154</v>
      </c>
      <c r="D2422" t="s">
        <v>919</v>
      </c>
      <c r="E2422" t="s">
        <v>1200</v>
      </c>
      <c r="F2422" t="s">
        <v>2016</v>
      </c>
      <c r="G2422">
        <v>253</v>
      </c>
      <c r="H2422" t="s">
        <v>12</v>
      </c>
      <c r="Q2422">
        <v>2095.7481001699998</v>
      </c>
      <c r="R2422">
        <v>31523.815318299999</v>
      </c>
      <c r="S2422">
        <v>-31.494478225000002</v>
      </c>
      <c r="T2422">
        <v>156.73450662100001</v>
      </c>
      <c r="U2422">
        <v>0</v>
      </c>
      <c r="V2422">
        <v>0</v>
      </c>
    </row>
    <row r="2423" spans="1:22" x14ac:dyDescent="0.2">
      <c r="A2423"/>
      <c r="B2423">
        <v>51053</v>
      </c>
      <c r="C2423" t="s">
        <v>2155</v>
      </c>
      <c r="D2423" t="s">
        <v>919</v>
      </c>
      <c r="E2423" t="s">
        <v>1200</v>
      </c>
      <c r="F2423" t="s">
        <v>2011</v>
      </c>
      <c r="G2423">
        <v>237</v>
      </c>
      <c r="H2423" t="s">
        <v>12</v>
      </c>
      <c r="Q2423">
        <v>2076.3950227400001</v>
      </c>
      <c r="R2423">
        <v>31526.981142000001</v>
      </c>
      <c r="S2423">
        <v>-31.7303110145</v>
      </c>
      <c r="T2423">
        <v>157.20904498100001</v>
      </c>
      <c r="U2423">
        <v>0</v>
      </c>
      <c r="V2423">
        <v>0</v>
      </c>
    </row>
    <row r="2424" spans="1:22" x14ac:dyDescent="0.2">
      <c r="A2424"/>
      <c r="B2424">
        <v>51054</v>
      </c>
      <c r="C2424" t="s">
        <v>2156</v>
      </c>
      <c r="D2424" t="s">
        <v>919</v>
      </c>
      <c r="E2424" t="s">
        <v>1200</v>
      </c>
      <c r="F2424" t="s">
        <v>2005</v>
      </c>
      <c r="G2424">
        <v>237</v>
      </c>
      <c r="H2424" t="s">
        <v>12</v>
      </c>
      <c r="Q2424">
        <v>2074.3314933000001</v>
      </c>
      <c r="R2424">
        <v>31523.0012484</v>
      </c>
      <c r="S2424">
        <v>-31.735880141900001</v>
      </c>
      <c r="T2424">
        <v>156.996179181</v>
      </c>
      <c r="U2424">
        <v>0</v>
      </c>
      <c r="V2424">
        <v>0</v>
      </c>
    </row>
    <row r="2425" spans="1:22" x14ac:dyDescent="0.2">
      <c r="A2425"/>
      <c r="B2425">
        <v>51055</v>
      </c>
      <c r="C2425" t="s">
        <v>2157</v>
      </c>
      <c r="D2425" t="s">
        <v>919</v>
      </c>
      <c r="E2425" t="s">
        <v>1200</v>
      </c>
      <c r="F2425" t="s">
        <v>1939</v>
      </c>
      <c r="G2425">
        <v>272</v>
      </c>
      <c r="H2425" t="s">
        <v>12</v>
      </c>
      <c r="Q2425">
        <v>2072.28205647</v>
      </c>
      <c r="R2425">
        <v>31518.874156900001</v>
      </c>
      <c r="S2425">
        <v>-31.739824406499999</v>
      </c>
      <c r="T2425">
        <v>156.842469771</v>
      </c>
      <c r="U2425">
        <v>0</v>
      </c>
      <c r="V2425">
        <v>0</v>
      </c>
    </row>
    <row r="2426" spans="1:22" x14ac:dyDescent="0.2">
      <c r="A2426"/>
      <c r="B2426">
        <v>51056</v>
      </c>
      <c r="C2426" t="s">
        <v>2158</v>
      </c>
      <c r="D2426" t="s">
        <v>919</v>
      </c>
      <c r="E2426" t="s">
        <v>1200</v>
      </c>
      <c r="F2426" t="s">
        <v>1958</v>
      </c>
      <c r="G2426">
        <v>212</v>
      </c>
      <c r="H2426" t="s">
        <v>12</v>
      </c>
      <c r="Q2426">
        <v>2066.7233968999999</v>
      </c>
      <c r="R2426">
        <v>31516.127965799998</v>
      </c>
      <c r="S2426">
        <v>-31.795796982599999</v>
      </c>
      <c r="T2426">
        <v>156.85691487400001</v>
      </c>
      <c r="U2426">
        <v>0</v>
      </c>
      <c r="V2426">
        <v>0</v>
      </c>
    </row>
    <row r="2427" spans="1:22" x14ac:dyDescent="0.2">
      <c r="A2427"/>
      <c r="B2427">
        <v>51057</v>
      </c>
      <c r="C2427" t="s">
        <v>2159</v>
      </c>
      <c r="D2427" t="s">
        <v>919</v>
      </c>
      <c r="E2427" t="s">
        <v>1200</v>
      </c>
      <c r="F2427" t="s">
        <v>2000</v>
      </c>
      <c r="G2427">
        <v>214</v>
      </c>
      <c r="H2427" t="s">
        <v>12</v>
      </c>
      <c r="Q2427">
        <v>2063.1031604899999</v>
      </c>
      <c r="R2427">
        <v>31512.202202100001</v>
      </c>
      <c r="S2427">
        <v>-31.811336708900001</v>
      </c>
      <c r="T2427">
        <v>156.67387500500001</v>
      </c>
      <c r="U2427">
        <v>0</v>
      </c>
      <c r="V2427">
        <v>0</v>
      </c>
    </row>
    <row r="2428" spans="1:22" x14ac:dyDescent="0.2">
      <c r="A2428"/>
      <c r="B2428">
        <v>51058</v>
      </c>
      <c r="C2428" t="s">
        <v>2160</v>
      </c>
      <c r="D2428" t="s">
        <v>919</v>
      </c>
      <c r="E2428" t="s">
        <v>1200</v>
      </c>
      <c r="F2428" t="s">
        <v>1995</v>
      </c>
      <c r="G2428">
        <v>245</v>
      </c>
      <c r="H2428" t="s">
        <v>12</v>
      </c>
      <c r="Q2428">
        <v>2062.4986051999999</v>
      </c>
      <c r="R2428">
        <v>31508.045951600001</v>
      </c>
      <c r="S2428">
        <v>-31.797029224199999</v>
      </c>
      <c r="T2428">
        <v>156.75528493100001</v>
      </c>
      <c r="U2428">
        <v>0</v>
      </c>
      <c r="V2428">
        <v>0</v>
      </c>
    </row>
    <row r="2429" spans="1:22" x14ac:dyDescent="0.2">
      <c r="A2429"/>
      <c r="B2429">
        <v>51059</v>
      </c>
      <c r="C2429" t="s">
        <v>2161</v>
      </c>
      <c r="D2429" t="s">
        <v>919</v>
      </c>
      <c r="E2429" t="s">
        <v>1200</v>
      </c>
      <c r="F2429" t="s">
        <v>1990</v>
      </c>
      <c r="G2429">
        <v>221</v>
      </c>
      <c r="H2429" t="s">
        <v>12</v>
      </c>
      <c r="Q2429">
        <v>2062.61678097</v>
      </c>
      <c r="R2429">
        <v>31502.703303900002</v>
      </c>
      <c r="S2429">
        <v>-31.7715151214</v>
      </c>
      <c r="T2429">
        <v>156.56979277799999</v>
      </c>
      <c r="U2429">
        <v>0</v>
      </c>
      <c r="V2429">
        <v>0</v>
      </c>
    </row>
    <row r="2430" spans="1:22" x14ac:dyDescent="0.2">
      <c r="A2430"/>
      <c r="B2430">
        <v>51060</v>
      </c>
      <c r="C2430" t="s">
        <v>2162</v>
      </c>
      <c r="D2430" t="s">
        <v>919</v>
      </c>
      <c r="E2430" t="s">
        <v>1200</v>
      </c>
      <c r="F2430" t="s">
        <v>1985</v>
      </c>
      <c r="G2430">
        <v>221</v>
      </c>
      <c r="H2430" t="s">
        <v>12</v>
      </c>
      <c r="Q2430">
        <v>2061.5746400399998</v>
      </c>
      <c r="R2430">
        <v>31498.3367903</v>
      </c>
      <c r="S2430">
        <v>-31.7617900929</v>
      </c>
      <c r="T2430">
        <v>156.35767880700001</v>
      </c>
      <c r="U2430">
        <v>0</v>
      </c>
      <c r="V2430">
        <v>0</v>
      </c>
    </row>
    <row r="2431" spans="1:22" x14ac:dyDescent="0.2">
      <c r="A2431"/>
      <c r="B2431">
        <v>51061</v>
      </c>
      <c r="C2431" t="s">
        <v>2163</v>
      </c>
      <c r="D2431" t="s">
        <v>919</v>
      </c>
      <c r="E2431" t="s">
        <v>1200</v>
      </c>
      <c r="F2431" t="s">
        <v>1966</v>
      </c>
      <c r="G2431">
        <v>203</v>
      </c>
      <c r="H2431" t="s">
        <v>12</v>
      </c>
      <c r="Q2431">
        <v>2059.8686081999999</v>
      </c>
      <c r="R2431">
        <v>31493.905348699998</v>
      </c>
      <c r="S2431">
        <v>-31.756034419900001</v>
      </c>
      <c r="T2431">
        <v>156.411279898</v>
      </c>
      <c r="U2431">
        <v>0</v>
      </c>
      <c r="V2431">
        <v>0</v>
      </c>
    </row>
    <row r="2432" spans="1:22" x14ac:dyDescent="0.2">
      <c r="A2432"/>
      <c r="B2432">
        <v>51062</v>
      </c>
      <c r="C2432" t="s">
        <v>2164</v>
      </c>
      <c r="D2432" t="s">
        <v>919</v>
      </c>
      <c r="E2432" t="s">
        <v>1200</v>
      </c>
      <c r="F2432" t="s">
        <v>2132</v>
      </c>
      <c r="G2432">
        <v>156</v>
      </c>
      <c r="H2432" t="s">
        <v>12</v>
      </c>
      <c r="Q2432">
        <v>2082.0672723799998</v>
      </c>
      <c r="R2432">
        <v>31473.3106506</v>
      </c>
      <c r="S2432">
        <v>-31.402722172400001</v>
      </c>
      <c r="T2432">
        <v>157.015951511</v>
      </c>
      <c r="U2432">
        <v>0</v>
      </c>
      <c r="V2432">
        <v>0</v>
      </c>
    </row>
    <row r="2433" spans="1:22" x14ac:dyDescent="0.2">
      <c r="A2433"/>
      <c r="B2433">
        <v>51063</v>
      </c>
      <c r="C2433" t="s">
        <v>2165</v>
      </c>
      <c r="D2433" t="s">
        <v>919</v>
      </c>
      <c r="E2433" t="s">
        <v>1200</v>
      </c>
      <c r="F2433" t="s">
        <v>2134</v>
      </c>
      <c r="G2433">
        <v>171</v>
      </c>
      <c r="H2433" t="s">
        <v>12</v>
      </c>
      <c r="Q2433">
        <v>2065.17087141</v>
      </c>
      <c r="R2433">
        <v>31464.778400399999</v>
      </c>
      <c r="S2433">
        <v>-31.5539843906</v>
      </c>
      <c r="T2433">
        <v>157.167960749</v>
      </c>
      <c r="U2433">
        <v>0</v>
      </c>
      <c r="V2433">
        <v>0</v>
      </c>
    </row>
    <row r="2434" spans="1:22" x14ac:dyDescent="0.2">
      <c r="A2434"/>
      <c r="B2434">
        <v>51067</v>
      </c>
      <c r="C2434" t="s">
        <v>4346</v>
      </c>
      <c r="D2434" t="s">
        <v>1195</v>
      </c>
      <c r="E2434" t="s">
        <v>1274</v>
      </c>
      <c r="F2434" t="s">
        <v>2087</v>
      </c>
      <c r="G2434">
        <v>250</v>
      </c>
      <c r="H2434" t="s">
        <v>12</v>
      </c>
      <c r="Q2434">
        <v>2119.4210751400001</v>
      </c>
      <c r="R2434">
        <v>31731.9954621</v>
      </c>
      <c r="S2434">
        <v>-31.8805076284</v>
      </c>
      <c r="T2434">
        <v>112.544000025</v>
      </c>
      <c r="U2434">
        <v>0</v>
      </c>
      <c r="V2434">
        <v>0</v>
      </c>
    </row>
    <row r="2435" spans="1:22" x14ac:dyDescent="0.2">
      <c r="A2435"/>
      <c r="B2435">
        <v>51068</v>
      </c>
      <c r="C2435" t="s">
        <v>4347</v>
      </c>
      <c r="D2435" t="s">
        <v>1195</v>
      </c>
      <c r="E2435" t="s">
        <v>1274</v>
      </c>
      <c r="F2435" t="s">
        <v>2070</v>
      </c>
      <c r="G2435">
        <v>467</v>
      </c>
      <c r="H2435" t="s">
        <v>12</v>
      </c>
      <c r="Q2435">
        <v>2120.9787098400002</v>
      </c>
      <c r="R2435">
        <v>31624.730422199998</v>
      </c>
      <c r="S2435">
        <v>-31.698539087499999</v>
      </c>
      <c r="T2435">
        <v>140.55264804999999</v>
      </c>
      <c r="U2435">
        <v>0</v>
      </c>
      <c r="V2435">
        <v>0</v>
      </c>
    </row>
    <row r="2436" spans="1:22" x14ac:dyDescent="0.2">
      <c r="A2436"/>
      <c r="B2436">
        <v>51069</v>
      </c>
      <c r="C2436" t="s">
        <v>4348</v>
      </c>
      <c r="D2436" t="s">
        <v>1195</v>
      </c>
      <c r="E2436" t="s">
        <v>1274</v>
      </c>
      <c r="F2436" t="s">
        <v>1977</v>
      </c>
      <c r="G2436">
        <v>227</v>
      </c>
      <c r="H2436" t="s">
        <v>12</v>
      </c>
      <c r="Q2436">
        <v>2051.1635955500001</v>
      </c>
      <c r="R2436">
        <v>31326.154424100001</v>
      </c>
      <c r="S2436">
        <v>-31.044909084299999</v>
      </c>
      <c r="T2436">
        <v>-165.10536951899999</v>
      </c>
      <c r="U2436">
        <v>0</v>
      </c>
      <c r="V2436">
        <v>0</v>
      </c>
    </row>
    <row r="2437" spans="1:22" x14ac:dyDescent="0.2">
      <c r="A2437"/>
      <c r="B2437">
        <v>51070</v>
      </c>
      <c r="C2437" t="s">
        <v>4349</v>
      </c>
      <c r="D2437" t="s">
        <v>1195</v>
      </c>
      <c r="E2437" t="s">
        <v>1274</v>
      </c>
      <c r="F2437" t="s">
        <v>1972</v>
      </c>
      <c r="G2437">
        <v>226</v>
      </c>
      <c r="H2437" t="s">
        <v>12</v>
      </c>
      <c r="Q2437">
        <v>2053.3661260099998</v>
      </c>
      <c r="R2437">
        <v>31319.8187626</v>
      </c>
      <c r="S2437">
        <v>-30.991858547</v>
      </c>
      <c r="T2437">
        <v>-164.80531542599999</v>
      </c>
      <c r="U2437">
        <v>0</v>
      </c>
      <c r="V2437">
        <v>0</v>
      </c>
    </row>
    <row r="2438" spans="1:22" x14ac:dyDescent="0.2">
      <c r="A2438"/>
      <c r="B2438">
        <v>51071</v>
      </c>
      <c r="C2438" t="s">
        <v>4350</v>
      </c>
      <c r="D2438" t="s">
        <v>1195</v>
      </c>
      <c r="E2438" t="s">
        <v>1274</v>
      </c>
      <c r="F2438" t="s">
        <v>1965</v>
      </c>
      <c r="G2438">
        <v>253</v>
      </c>
      <c r="H2438" t="s">
        <v>12</v>
      </c>
      <c r="Q2438">
        <v>2054.7180089899998</v>
      </c>
      <c r="R2438">
        <v>31313.668454400002</v>
      </c>
      <c r="S2438">
        <v>-30.946534609699999</v>
      </c>
      <c r="T2438">
        <v>-165.217201969</v>
      </c>
      <c r="U2438">
        <v>0</v>
      </c>
      <c r="V2438">
        <v>0</v>
      </c>
    </row>
    <row r="2439" spans="1:22" x14ac:dyDescent="0.2">
      <c r="A2439"/>
      <c r="B2439">
        <v>51072</v>
      </c>
      <c r="C2439" t="s">
        <v>4351</v>
      </c>
      <c r="D2439" t="s">
        <v>1195</v>
      </c>
      <c r="E2439" t="s">
        <v>1274</v>
      </c>
      <c r="F2439" t="s">
        <v>2139</v>
      </c>
      <c r="G2439">
        <v>240</v>
      </c>
      <c r="H2439" t="s">
        <v>12</v>
      </c>
      <c r="Q2439">
        <v>2063.6121733</v>
      </c>
      <c r="R2439">
        <v>31308.418093</v>
      </c>
      <c r="S2439">
        <v>-30.823467093800001</v>
      </c>
      <c r="T2439">
        <v>-165.33868664299999</v>
      </c>
      <c r="U2439">
        <v>0</v>
      </c>
      <c r="V2439">
        <v>0</v>
      </c>
    </row>
    <row r="2440" spans="1:22" x14ac:dyDescent="0.2">
      <c r="A2440"/>
      <c r="B2440">
        <v>51073</v>
      </c>
      <c r="C2440" t="s">
        <v>4352</v>
      </c>
      <c r="D2440" t="s">
        <v>1195</v>
      </c>
      <c r="E2440" t="s">
        <v>1274</v>
      </c>
      <c r="F2440" t="s">
        <v>2141</v>
      </c>
      <c r="G2440">
        <v>248</v>
      </c>
      <c r="H2440" t="s">
        <v>12</v>
      </c>
      <c r="Q2440">
        <v>2058.58861961</v>
      </c>
      <c r="R2440">
        <v>31297.838076</v>
      </c>
      <c r="S2440">
        <v>-30.825603668300001</v>
      </c>
      <c r="T2440">
        <v>-165.218942072</v>
      </c>
      <c r="U2440">
        <v>0</v>
      </c>
      <c r="V2440">
        <v>0</v>
      </c>
    </row>
    <row r="2441" spans="1:22" x14ac:dyDescent="0.2">
      <c r="A2441"/>
      <c r="B2441">
        <v>51074</v>
      </c>
      <c r="C2441" t="s">
        <v>4353</v>
      </c>
      <c r="D2441" t="s">
        <v>1195</v>
      </c>
      <c r="E2441" t="s">
        <v>1274</v>
      </c>
      <c r="F2441" t="s">
        <v>2062</v>
      </c>
      <c r="G2441">
        <v>352</v>
      </c>
      <c r="H2441" t="s">
        <v>12</v>
      </c>
      <c r="Q2441">
        <v>2119.65745255</v>
      </c>
      <c r="R2441">
        <v>31549.184651</v>
      </c>
      <c r="S2441">
        <v>-31.342849646800001</v>
      </c>
      <c r="T2441">
        <v>157.03192457700001</v>
      </c>
      <c r="U2441">
        <v>0</v>
      </c>
      <c r="V2441">
        <v>0</v>
      </c>
    </row>
    <row r="2442" spans="1:22" x14ac:dyDescent="0.2">
      <c r="A2442"/>
      <c r="B2442">
        <v>51075</v>
      </c>
      <c r="C2442" t="s">
        <v>4354</v>
      </c>
      <c r="D2442" t="s">
        <v>1195</v>
      </c>
      <c r="E2442" t="s">
        <v>1274</v>
      </c>
      <c r="F2442" t="s">
        <v>2056</v>
      </c>
      <c r="G2442">
        <v>253</v>
      </c>
      <c r="H2442" t="s">
        <v>12</v>
      </c>
      <c r="Q2442">
        <v>2117.39087217</v>
      </c>
      <c r="R2442">
        <v>31545.145038499999</v>
      </c>
      <c r="S2442">
        <v>-31.349269769399999</v>
      </c>
      <c r="T2442">
        <v>156.962044574</v>
      </c>
      <c r="U2442">
        <v>0</v>
      </c>
      <c r="V2442">
        <v>0</v>
      </c>
    </row>
    <row r="2443" spans="1:22" x14ac:dyDescent="0.2">
      <c r="A2443"/>
      <c r="B2443">
        <v>51076</v>
      </c>
      <c r="C2443" t="s">
        <v>4355</v>
      </c>
      <c r="D2443" t="s">
        <v>1195</v>
      </c>
      <c r="E2443" t="s">
        <v>1274</v>
      </c>
      <c r="F2443" t="s">
        <v>2050</v>
      </c>
      <c r="G2443">
        <v>252</v>
      </c>
      <c r="H2443" t="s">
        <v>12</v>
      </c>
      <c r="Q2443">
        <v>2116.09428828</v>
      </c>
      <c r="R2443">
        <v>31541.256480799999</v>
      </c>
      <c r="S2443">
        <v>-31.3476590806</v>
      </c>
      <c r="T2443">
        <v>156.87230841499999</v>
      </c>
      <c r="U2443">
        <v>0</v>
      </c>
      <c r="V2443">
        <v>0</v>
      </c>
    </row>
    <row r="2444" spans="1:22" x14ac:dyDescent="0.2">
      <c r="A2444"/>
      <c r="B2444">
        <v>51077</v>
      </c>
      <c r="C2444" t="s">
        <v>4356</v>
      </c>
      <c r="D2444" t="s">
        <v>1195</v>
      </c>
      <c r="E2444" t="s">
        <v>1274</v>
      </c>
      <c r="F2444" t="s">
        <v>2044</v>
      </c>
      <c r="G2444">
        <v>260</v>
      </c>
      <c r="H2444" t="s">
        <v>12</v>
      </c>
      <c r="Q2444">
        <v>2112.5507940000002</v>
      </c>
      <c r="R2444">
        <v>31538.234552800001</v>
      </c>
      <c r="S2444">
        <v>-31.369575795399999</v>
      </c>
      <c r="T2444">
        <v>156.73541481999999</v>
      </c>
      <c r="U2444">
        <v>0</v>
      </c>
      <c r="V2444">
        <v>0</v>
      </c>
    </row>
    <row r="2445" spans="1:22" x14ac:dyDescent="0.2">
      <c r="A2445"/>
      <c r="B2445">
        <v>51078</v>
      </c>
      <c r="C2445" t="s">
        <v>4357</v>
      </c>
      <c r="D2445" t="s">
        <v>1195</v>
      </c>
      <c r="E2445" t="s">
        <v>1274</v>
      </c>
      <c r="F2445" t="s">
        <v>2038</v>
      </c>
      <c r="G2445">
        <v>260</v>
      </c>
      <c r="H2445" t="s">
        <v>12</v>
      </c>
      <c r="Q2445">
        <v>2110.3300339699999</v>
      </c>
      <c r="R2445">
        <v>31534.115881000002</v>
      </c>
      <c r="S2445">
        <v>-31.378413009999999</v>
      </c>
      <c r="T2445">
        <v>156.74339650300001</v>
      </c>
      <c r="U2445">
        <v>0</v>
      </c>
      <c r="V2445">
        <v>0</v>
      </c>
    </row>
    <row r="2446" spans="1:22" x14ac:dyDescent="0.2">
      <c r="A2446"/>
      <c r="B2446">
        <v>51079</v>
      </c>
      <c r="C2446" t="s">
        <v>4358</v>
      </c>
      <c r="D2446" t="s">
        <v>1195</v>
      </c>
      <c r="E2446" t="s">
        <v>1274</v>
      </c>
      <c r="F2446" t="s">
        <v>2030</v>
      </c>
      <c r="G2446">
        <v>341</v>
      </c>
      <c r="H2446" t="s">
        <v>12</v>
      </c>
      <c r="Q2446">
        <v>2108.85749756</v>
      </c>
      <c r="R2446">
        <v>31529.621815800001</v>
      </c>
      <c r="S2446">
        <v>-31.372590336999998</v>
      </c>
      <c r="T2446">
        <v>156.54935437699999</v>
      </c>
      <c r="U2446">
        <v>0</v>
      </c>
      <c r="V2446">
        <v>0</v>
      </c>
    </row>
    <row r="2447" spans="1:22" x14ac:dyDescent="0.2">
      <c r="A2447"/>
      <c r="B2447">
        <v>51080</v>
      </c>
      <c r="C2447" t="s">
        <v>4359</v>
      </c>
      <c r="D2447" t="s">
        <v>1195</v>
      </c>
      <c r="E2447" t="s">
        <v>1274</v>
      </c>
      <c r="F2447" t="s">
        <v>2022</v>
      </c>
      <c r="G2447">
        <v>249</v>
      </c>
      <c r="H2447" t="s">
        <v>12</v>
      </c>
      <c r="Q2447">
        <v>2101.0554633400002</v>
      </c>
      <c r="R2447">
        <v>31524.592727800002</v>
      </c>
      <c r="S2447">
        <v>-31.436501767100001</v>
      </c>
      <c r="T2447">
        <v>157.16449855799999</v>
      </c>
      <c r="U2447">
        <v>0</v>
      </c>
      <c r="V2447">
        <v>0</v>
      </c>
    </row>
    <row r="2448" spans="1:22" x14ac:dyDescent="0.2">
      <c r="A2448"/>
      <c r="B2448">
        <v>51081</v>
      </c>
      <c r="C2448" t="s">
        <v>4360</v>
      </c>
      <c r="D2448" t="s">
        <v>1195</v>
      </c>
      <c r="E2448" t="s">
        <v>1274</v>
      </c>
      <c r="F2448" t="s">
        <v>2016</v>
      </c>
      <c r="G2448">
        <v>248</v>
      </c>
      <c r="H2448" t="s">
        <v>12</v>
      </c>
      <c r="Q2448">
        <v>2099.55457299</v>
      </c>
      <c r="R2448">
        <v>31520.0049875</v>
      </c>
      <c r="S2448">
        <v>-31.4324324705</v>
      </c>
      <c r="T2448">
        <v>156.80282640799999</v>
      </c>
      <c r="U2448">
        <v>0</v>
      </c>
      <c r="V2448">
        <v>0</v>
      </c>
    </row>
    <row r="2449" spans="1:22" x14ac:dyDescent="0.2">
      <c r="A2449"/>
      <c r="B2449">
        <v>51082</v>
      </c>
      <c r="C2449" t="s">
        <v>4361</v>
      </c>
      <c r="D2449" t="s">
        <v>1195</v>
      </c>
      <c r="E2449" t="s">
        <v>1274</v>
      </c>
      <c r="F2449" t="s">
        <v>2011</v>
      </c>
      <c r="G2449">
        <v>232</v>
      </c>
      <c r="H2449" t="s">
        <v>12</v>
      </c>
      <c r="Q2449">
        <v>2080.22911346</v>
      </c>
      <c r="R2449">
        <v>31523.200375699998</v>
      </c>
      <c r="S2449">
        <v>-31.666583580800001</v>
      </c>
      <c r="T2449">
        <v>157.20054437300001</v>
      </c>
      <c r="U2449">
        <v>0</v>
      </c>
      <c r="V2449">
        <v>0</v>
      </c>
    </row>
    <row r="2450" spans="1:22" x14ac:dyDescent="0.2">
      <c r="A2450"/>
      <c r="B2450">
        <v>51083</v>
      </c>
      <c r="C2450" t="s">
        <v>4362</v>
      </c>
      <c r="D2450" t="s">
        <v>1195</v>
      </c>
      <c r="E2450" t="s">
        <v>1274</v>
      </c>
      <c r="F2450" t="s">
        <v>2005</v>
      </c>
      <c r="G2450">
        <v>232</v>
      </c>
      <c r="H2450" t="s">
        <v>12</v>
      </c>
      <c r="Q2450">
        <v>2078.1516710699998</v>
      </c>
      <c r="R2450">
        <v>31519.206332199999</v>
      </c>
      <c r="S2450">
        <v>-31.673441222699999</v>
      </c>
      <c r="T2450">
        <v>156.99066059399999</v>
      </c>
      <c r="U2450">
        <v>0</v>
      </c>
      <c r="V2450">
        <v>0</v>
      </c>
    </row>
    <row r="2451" spans="1:22" x14ac:dyDescent="0.2">
      <c r="A2451"/>
      <c r="B2451">
        <v>51084</v>
      </c>
      <c r="C2451" t="s">
        <v>4363</v>
      </c>
      <c r="D2451" t="s">
        <v>1195</v>
      </c>
      <c r="E2451" t="s">
        <v>1274</v>
      </c>
      <c r="F2451" t="s">
        <v>1939</v>
      </c>
      <c r="G2451">
        <v>267</v>
      </c>
      <c r="H2451" t="s">
        <v>12</v>
      </c>
      <c r="Q2451">
        <v>2076.0921607499999</v>
      </c>
      <c r="R2451">
        <v>31515.0690746</v>
      </c>
      <c r="S2451">
        <v>-31.6770965977</v>
      </c>
      <c r="T2451">
        <v>156.839466722</v>
      </c>
      <c r="U2451">
        <v>0</v>
      </c>
      <c r="V2451">
        <v>0</v>
      </c>
    </row>
    <row r="2452" spans="1:22" x14ac:dyDescent="0.2">
      <c r="A2452"/>
      <c r="B2452">
        <v>51085</v>
      </c>
      <c r="C2452" t="s">
        <v>4364</v>
      </c>
      <c r="D2452" t="s">
        <v>1195</v>
      </c>
      <c r="E2452" t="s">
        <v>1274</v>
      </c>
      <c r="F2452" t="s">
        <v>1958</v>
      </c>
      <c r="G2452">
        <v>207</v>
      </c>
      <c r="H2452" t="s">
        <v>12</v>
      </c>
      <c r="Q2452">
        <v>2070.5348067800001</v>
      </c>
      <c r="R2452">
        <v>31512.323979500001</v>
      </c>
      <c r="S2452">
        <v>-31.737211811200002</v>
      </c>
      <c r="T2452">
        <v>156.86007730099999</v>
      </c>
      <c r="U2452">
        <v>0</v>
      </c>
      <c r="V2452">
        <v>0</v>
      </c>
    </row>
    <row r="2453" spans="1:22" x14ac:dyDescent="0.2">
      <c r="A2453"/>
      <c r="B2453">
        <v>51086</v>
      </c>
      <c r="C2453" t="s">
        <v>4365</v>
      </c>
      <c r="D2453" t="s">
        <v>1195</v>
      </c>
      <c r="E2453" t="s">
        <v>1274</v>
      </c>
      <c r="F2453" t="s">
        <v>2000</v>
      </c>
      <c r="G2453">
        <v>209</v>
      </c>
      <c r="H2453" t="s">
        <v>12</v>
      </c>
      <c r="Q2453">
        <v>2066.9034435899998</v>
      </c>
      <c r="R2453">
        <v>31508.3866165</v>
      </c>
      <c r="S2453">
        <v>-31.7490647841</v>
      </c>
      <c r="T2453">
        <v>156.69948404300001</v>
      </c>
      <c r="U2453">
        <v>0</v>
      </c>
      <c r="V2453">
        <v>0</v>
      </c>
    </row>
    <row r="2454" spans="1:22" x14ac:dyDescent="0.2">
      <c r="A2454"/>
      <c r="B2454">
        <v>51087</v>
      </c>
      <c r="C2454" t="s">
        <v>4366</v>
      </c>
      <c r="D2454" t="s">
        <v>1195</v>
      </c>
      <c r="E2454" t="s">
        <v>1274</v>
      </c>
      <c r="F2454" t="s">
        <v>1995</v>
      </c>
      <c r="G2454">
        <v>240</v>
      </c>
      <c r="H2454" t="s">
        <v>12</v>
      </c>
      <c r="Q2454">
        <v>2066.2996325399999</v>
      </c>
      <c r="R2454">
        <v>31504.233214899999</v>
      </c>
      <c r="S2454">
        <v>-31.734008935799999</v>
      </c>
      <c r="T2454">
        <v>156.68706196700001</v>
      </c>
      <c r="U2454">
        <v>0</v>
      </c>
      <c r="V2454">
        <v>0</v>
      </c>
    </row>
    <row r="2455" spans="1:22" x14ac:dyDescent="0.2">
      <c r="A2455"/>
      <c r="B2455">
        <v>51088</v>
      </c>
      <c r="C2455" t="s">
        <v>4367</v>
      </c>
      <c r="D2455" t="s">
        <v>1195</v>
      </c>
      <c r="E2455" t="s">
        <v>1274</v>
      </c>
      <c r="F2455" t="s">
        <v>1990</v>
      </c>
      <c r="G2455">
        <v>216</v>
      </c>
      <c r="H2455" t="s">
        <v>12</v>
      </c>
      <c r="Q2455">
        <v>2066.40916677</v>
      </c>
      <c r="R2455">
        <v>31498.8803687</v>
      </c>
      <c r="S2455">
        <v>-31.709262403899999</v>
      </c>
      <c r="T2455">
        <v>156.575316472</v>
      </c>
      <c r="U2455">
        <v>0</v>
      </c>
      <c r="V2455">
        <v>0</v>
      </c>
    </row>
    <row r="2456" spans="1:22" x14ac:dyDescent="0.2">
      <c r="A2456"/>
      <c r="B2456">
        <v>51089</v>
      </c>
      <c r="C2456" t="s">
        <v>4368</v>
      </c>
      <c r="D2456" t="s">
        <v>1195</v>
      </c>
      <c r="E2456" t="s">
        <v>1274</v>
      </c>
      <c r="F2456" t="s">
        <v>1985</v>
      </c>
      <c r="G2456">
        <v>216</v>
      </c>
      <c r="H2456" t="s">
        <v>12</v>
      </c>
      <c r="Q2456">
        <v>2065.3523272900002</v>
      </c>
      <c r="R2456">
        <v>31494.499542000001</v>
      </c>
      <c r="S2456">
        <v>-31.699697335700002</v>
      </c>
      <c r="T2456">
        <v>156.35294709600001</v>
      </c>
      <c r="U2456">
        <v>0</v>
      </c>
      <c r="V2456">
        <v>0</v>
      </c>
    </row>
    <row r="2457" spans="1:22" x14ac:dyDescent="0.2">
      <c r="A2457"/>
      <c r="B2457">
        <v>51090</v>
      </c>
      <c r="C2457" t="s">
        <v>4369</v>
      </c>
      <c r="D2457" t="s">
        <v>1195</v>
      </c>
      <c r="E2457" t="s">
        <v>1274</v>
      </c>
      <c r="F2457" t="s">
        <v>1966</v>
      </c>
      <c r="G2457">
        <v>198</v>
      </c>
      <c r="H2457" t="s">
        <v>12</v>
      </c>
      <c r="Q2457">
        <v>2063.65115453</v>
      </c>
      <c r="R2457">
        <v>31490.072392099999</v>
      </c>
      <c r="S2457">
        <v>-31.693183591899999</v>
      </c>
      <c r="T2457">
        <v>156.43152610800001</v>
      </c>
      <c r="U2457">
        <v>0</v>
      </c>
      <c r="V2457">
        <v>0</v>
      </c>
    </row>
    <row r="2458" spans="1:22" x14ac:dyDescent="0.2">
      <c r="A2458"/>
      <c r="B2458">
        <v>51091</v>
      </c>
      <c r="C2458" t="s">
        <v>4370</v>
      </c>
      <c r="D2458" t="s">
        <v>1195</v>
      </c>
      <c r="E2458" t="s">
        <v>1274</v>
      </c>
      <c r="F2458" t="s">
        <v>2132</v>
      </c>
      <c r="G2458">
        <v>151</v>
      </c>
      <c r="H2458" t="s">
        <v>12</v>
      </c>
      <c r="Q2458">
        <v>2085.8891266300002</v>
      </c>
      <c r="R2458">
        <v>31469.516904</v>
      </c>
      <c r="S2458">
        <v>-31.339474389900001</v>
      </c>
      <c r="T2458">
        <v>157.022072447</v>
      </c>
      <c r="U2458">
        <v>0</v>
      </c>
      <c r="V2458">
        <v>0</v>
      </c>
    </row>
    <row r="2459" spans="1:22" x14ac:dyDescent="0.2">
      <c r="A2459"/>
      <c r="B2459">
        <v>51092</v>
      </c>
      <c r="C2459" t="s">
        <v>4371</v>
      </c>
      <c r="D2459" t="s">
        <v>1195</v>
      </c>
      <c r="E2459" t="s">
        <v>1274</v>
      </c>
      <c r="F2459" t="s">
        <v>2134</v>
      </c>
      <c r="G2459">
        <v>166</v>
      </c>
      <c r="H2459" t="s">
        <v>12</v>
      </c>
      <c r="Q2459">
        <v>2069.0029591100001</v>
      </c>
      <c r="R2459">
        <v>31460.995165</v>
      </c>
      <c r="S2459">
        <v>-31.494095889</v>
      </c>
      <c r="T2459">
        <v>157.173715679</v>
      </c>
      <c r="U2459">
        <v>0</v>
      </c>
      <c r="V2459">
        <v>0</v>
      </c>
    </row>
    <row r="2460" spans="1:22" x14ac:dyDescent="0.2">
      <c r="A2460"/>
      <c r="B2460">
        <v>52000</v>
      </c>
      <c r="C2460" t="s">
        <v>2166</v>
      </c>
      <c r="D2460" t="s">
        <v>192</v>
      </c>
      <c r="E2460" t="s">
        <v>1272</v>
      </c>
      <c r="F2460" t="s">
        <v>1922</v>
      </c>
      <c r="G2460">
        <v>409</v>
      </c>
      <c r="H2460" t="s">
        <v>248</v>
      </c>
      <c r="Q2460">
        <v>3048.71611097</v>
      </c>
      <c r="R2460">
        <v>31291.231775699998</v>
      </c>
      <c r="S2460">
        <v>-16.0012820074</v>
      </c>
      <c r="T2460">
        <v>-154.229627674</v>
      </c>
      <c r="U2460">
        <v>0</v>
      </c>
      <c r="V2460">
        <v>0</v>
      </c>
    </row>
    <row r="2461" spans="1:22" x14ac:dyDescent="0.2">
      <c r="A2461"/>
      <c r="B2461">
        <v>52000</v>
      </c>
      <c r="C2461" t="s">
        <v>2166</v>
      </c>
      <c r="D2461" t="s">
        <v>192</v>
      </c>
      <c r="E2461" t="s">
        <v>1272</v>
      </c>
      <c r="F2461" t="s">
        <v>1922</v>
      </c>
      <c r="G2461">
        <v>576</v>
      </c>
      <c r="H2461" t="s">
        <v>248</v>
      </c>
      <c r="Q2461">
        <v>3048.71611097</v>
      </c>
      <c r="R2461">
        <v>31291.231775699998</v>
      </c>
      <c r="S2461">
        <v>-16.0012820074</v>
      </c>
      <c r="T2461">
        <v>-154.229627674</v>
      </c>
      <c r="U2461">
        <v>0</v>
      </c>
      <c r="V2461">
        <v>0</v>
      </c>
    </row>
    <row r="2462" spans="1:22" x14ac:dyDescent="0.2">
      <c r="A2462"/>
      <c r="B2462">
        <v>52001</v>
      </c>
      <c r="C2462" t="s">
        <v>2167</v>
      </c>
      <c r="D2462" t="s">
        <v>192</v>
      </c>
      <c r="E2462" t="s">
        <v>1272</v>
      </c>
      <c r="F2462" t="s">
        <v>1922</v>
      </c>
      <c r="G2462">
        <v>576</v>
      </c>
      <c r="H2462" t="s">
        <v>248</v>
      </c>
      <c r="Q2462">
        <v>2901.7635949</v>
      </c>
      <c r="R2462">
        <v>31212.011081699999</v>
      </c>
      <c r="S2462">
        <v>-18.895011973799999</v>
      </c>
      <c r="T2462">
        <v>-151.424386441</v>
      </c>
      <c r="U2462">
        <v>0</v>
      </c>
      <c r="V2462">
        <v>0</v>
      </c>
    </row>
    <row r="2463" spans="1:22" x14ac:dyDescent="0.2">
      <c r="A2463"/>
      <c r="B2463">
        <v>52001</v>
      </c>
      <c r="C2463" t="s">
        <v>2167</v>
      </c>
      <c r="D2463" t="s">
        <v>192</v>
      </c>
      <c r="E2463" t="s">
        <v>1272</v>
      </c>
      <c r="F2463" t="s">
        <v>1922</v>
      </c>
      <c r="G2463">
        <v>785</v>
      </c>
      <c r="H2463" t="s">
        <v>248</v>
      </c>
      <c r="Q2463">
        <v>2901.7635949</v>
      </c>
      <c r="R2463">
        <v>31212.011081699999</v>
      </c>
      <c r="S2463">
        <v>-18.895011973799999</v>
      </c>
      <c r="T2463">
        <v>-151.424386441</v>
      </c>
      <c r="U2463">
        <v>0</v>
      </c>
      <c r="V2463">
        <v>0</v>
      </c>
    </row>
    <row r="2464" spans="1:22" x14ac:dyDescent="0.2">
      <c r="A2464"/>
      <c r="B2464">
        <v>52002</v>
      </c>
      <c r="C2464" t="s">
        <v>2168</v>
      </c>
      <c r="D2464" t="s">
        <v>192</v>
      </c>
      <c r="E2464" t="s">
        <v>1272</v>
      </c>
      <c r="F2464" t="s">
        <v>1922</v>
      </c>
      <c r="G2464">
        <v>785</v>
      </c>
      <c r="H2464" t="s">
        <v>248</v>
      </c>
      <c r="Q2464">
        <v>2706.7906609800002</v>
      </c>
      <c r="R2464">
        <v>31201.4198488</v>
      </c>
      <c r="S2464">
        <v>-20.288516186300001</v>
      </c>
      <c r="T2464">
        <v>144.90685300300001</v>
      </c>
      <c r="U2464">
        <v>0</v>
      </c>
      <c r="V2464">
        <v>0</v>
      </c>
    </row>
    <row r="2465" spans="1:22" x14ac:dyDescent="0.2">
      <c r="A2465"/>
      <c r="B2465">
        <v>52002</v>
      </c>
      <c r="C2465" t="s">
        <v>2168</v>
      </c>
      <c r="D2465" t="s">
        <v>192</v>
      </c>
      <c r="E2465" t="s">
        <v>1272</v>
      </c>
      <c r="F2465" t="s">
        <v>2169</v>
      </c>
      <c r="G2465">
        <v>32.9</v>
      </c>
      <c r="H2465" t="s">
        <v>248</v>
      </c>
      <c r="Q2465">
        <v>2706.7906609800002</v>
      </c>
      <c r="R2465">
        <v>31201.4198488</v>
      </c>
      <c r="S2465">
        <v>-20.288516186300001</v>
      </c>
      <c r="T2465">
        <v>144.90685300300001</v>
      </c>
      <c r="U2465">
        <v>0</v>
      </c>
      <c r="V2465">
        <v>0</v>
      </c>
    </row>
    <row r="2466" spans="1:22" x14ac:dyDescent="0.2">
      <c r="A2466"/>
      <c r="B2466">
        <v>52002</v>
      </c>
      <c r="C2466" t="s">
        <v>2168</v>
      </c>
      <c r="D2466" t="s">
        <v>192</v>
      </c>
      <c r="E2466" t="s">
        <v>1272</v>
      </c>
      <c r="F2466" t="s">
        <v>2170</v>
      </c>
      <c r="G2466">
        <v>22.61</v>
      </c>
      <c r="H2466" t="s">
        <v>248</v>
      </c>
      <c r="Q2466">
        <v>2706.7906609800002</v>
      </c>
      <c r="R2466">
        <v>31201.4198488</v>
      </c>
      <c r="S2466">
        <v>-20.288516186300001</v>
      </c>
      <c r="T2466">
        <v>144.90685300300001</v>
      </c>
      <c r="U2466">
        <v>0</v>
      </c>
      <c r="V2466">
        <v>0</v>
      </c>
    </row>
    <row r="2467" spans="1:22" x14ac:dyDescent="0.2">
      <c r="A2467"/>
      <c r="B2467">
        <v>52002</v>
      </c>
      <c r="C2467" t="s">
        <v>2168</v>
      </c>
      <c r="D2467" t="s">
        <v>192</v>
      </c>
      <c r="E2467" t="s">
        <v>1272</v>
      </c>
      <c r="F2467" t="s">
        <v>1951</v>
      </c>
      <c r="G2467">
        <v>9</v>
      </c>
      <c r="H2467" t="s">
        <v>248</v>
      </c>
      <c r="Q2467">
        <v>2706.7906609800002</v>
      </c>
      <c r="R2467">
        <v>31201.4198488</v>
      </c>
      <c r="S2467">
        <v>-20.288516186300001</v>
      </c>
      <c r="T2467">
        <v>144.90685300300001</v>
      </c>
      <c r="U2467">
        <v>0</v>
      </c>
      <c r="V2467">
        <v>0</v>
      </c>
    </row>
    <row r="2468" spans="1:22" x14ac:dyDescent="0.2">
      <c r="A2468"/>
      <c r="B2468">
        <v>52003</v>
      </c>
      <c r="C2468" t="s">
        <v>2171</v>
      </c>
      <c r="D2468" t="s">
        <v>192</v>
      </c>
      <c r="E2468" t="s">
        <v>1272</v>
      </c>
      <c r="F2468" t="s">
        <v>1951</v>
      </c>
      <c r="G2468">
        <v>9</v>
      </c>
      <c r="H2468" t="s">
        <v>248</v>
      </c>
      <c r="Q2468">
        <v>2643.43597172</v>
      </c>
      <c r="R2468">
        <v>31248.014933999999</v>
      </c>
      <c r="S2468">
        <v>-21.029074082200001</v>
      </c>
      <c r="T2468">
        <v>143.49639202200001</v>
      </c>
      <c r="U2468">
        <v>0</v>
      </c>
      <c r="V2468">
        <v>0</v>
      </c>
    </row>
    <row r="2469" spans="1:22" x14ac:dyDescent="0.2">
      <c r="A2469"/>
      <c r="B2469">
        <v>52003</v>
      </c>
      <c r="C2469" t="s">
        <v>2171</v>
      </c>
      <c r="D2469" t="s">
        <v>192</v>
      </c>
      <c r="E2469" t="s">
        <v>1272</v>
      </c>
      <c r="F2469" t="s">
        <v>1951</v>
      </c>
      <c r="G2469">
        <v>159.79</v>
      </c>
      <c r="H2469" t="s">
        <v>248</v>
      </c>
      <c r="Q2469">
        <v>2643.43597172</v>
      </c>
      <c r="R2469">
        <v>31248.014933999999</v>
      </c>
      <c r="S2469">
        <v>-21.029074082200001</v>
      </c>
      <c r="T2469">
        <v>143.49639202200001</v>
      </c>
      <c r="U2469">
        <v>0</v>
      </c>
      <c r="V2469">
        <v>0</v>
      </c>
    </row>
    <row r="2470" spans="1:22" x14ac:dyDescent="0.2">
      <c r="A2470"/>
      <c r="B2470">
        <v>52004</v>
      </c>
      <c r="C2470" t="s">
        <v>2172</v>
      </c>
      <c r="D2470" t="s">
        <v>192</v>
      </c>
      <c r="E2470" t="s">
        <v>1272</v>
      </c>
      <c r="F2470" t="s">
        <v>1951</v>
      </c>
      <c r="G2470">
        <v>159.79</v>
      </c>
      <c r="H2470" t="s">
        <v>248</v>
      </c>
      <c r="Q2470">
        <v>2511.4974802400002</v>
      </c>
      <c r="R2470">
        <v>31319.840027400001</v>
      </c>
      <c r="S2470">
        <v>-24.805042605699999</v>
      </c>
      <c r="T2470">
        <v>155.75074491699999</v>
      </c>
      <c r="U2470">
        <v>0</v>
      </c>
      <c r="V2470">
        <v>0</v>
      </c>
    </row>
    <row r="2471" spans="1:22" x14ac:dyDescent="0.2">
      <c r="A2471"/>
      <c r="B2471">
        <v>52004</v>
      </c>
      <c r="C2471" t="s">
        <v>2172</v>
      </c>
      <c r="D2471" t="s">
        <v>192</v>
      </c>
      <c r="E2471" t="s">
        <v>1272</v>
      </c>
      <c r="F2471" t="s">
        <v>1951</v>
      </c>
      <c r="G2471">
        <v>244</v>
      </c>
      <c r="H2471" t="s">
        <v>248</v>
      </c>
      <c r="Q2471">
        <v>2511.4974802400002</v>
      </c>
      <c r="R2471">
        <v>31319.840027400001</v>
      </c>
      <c r="S2471">
        <v>-24.805042605699999</v>
      </c>
      <c r="T2471">
        <v>155.75074491699999</v>
      </c>
      <c r="U2471">
        <v>0</v>
      </c>
      <c r="V2471">
        <v>0</v>
      </c>
    </row>
    <row r="2472" spans="1:22" x14ac:dyDescent="0.2">
      <c r="A2472"/>
      <c r="B2472">
        <v>52006</v>
      </c>
      <c r="C2472" t="s">
        <v>2173</v>
      </c>
      <c r="D2472" t="s">
        <v>192</v>
      </c>
      <c r="E2472" t="s">
        <v>1272</v>
      </c>
      <c r="F2472" t="s">
        <v>1951</v>
      </c>
      <c r="G2472">
        <v>244</v>
      </c>
      <c r="H2472" t="s">
        <v>248</v>
      </c>
      <c r="Q2472">
        <v>2434.8162109999998</v>
      </c>
      <c r="R2472">
        <v>31354.586862700002</v>
      </c>
      <c r="S2472">
        <v>-26.7750438823</v>
      </c>
      <c r="T2472">
        <v>155.41857037400001</v>
      </c>
      <c r="U2472">
        <v>0</v>
      </c>
      <c r="V2472">
        <v>0</v>
      </c>
    </row>
    <row r="2473" spans="1:22" x14ac:dyDescent="0.2">
      <c r="A2473"/>
      <c r="B2473">
        <v>52006</v>
      </c>
      <c r="C2473" t="s">
        <v>2173</v>
      </c>
      <c r="D2473" t="s">
        <v>192</v>
      </c>
      <c r="E2473" t="s">
        <v>1272</v>
      </c>
      <c r="F2473" t="s">
        <v>2174</v>
      </c>
      <c r="G2473">
        <v>70.16</v>
      </c>
      <c r="H2473" t="s">
        <v>248</v>
      </c>
      <c r="Q2473">
        <v>2434.8162109999998</v>
      </c>
      <c r="R2473">
        <v>31354.586862700002</v>
      </c>
      <c r="S2473">
        <v>-26.7750438823</v>
      </c>
      <c r="T2473">
        <v>155.41857037400001</v>
      </c>
      <c r="U2473">
        <v>0</v>
      </c>
      <c r="V2473">
        <v>0</v>
      </c>
    </row>
    <row r="2474" spans="1:22" x14ac:dyDescent="0.2">
      <c r="A2474"/>
      <c r="B2474">
        <v>52006</v>
      </c>
      <c r="C2474" t="s">
        <v>2173</v>
      </c>
      <c r="D2474" t="s">
        <v>192</v>
      </c>
      <c r="E2474" t="s">
        <v>1272</v>
      </c>
      <c r="F2474" t="s">
        <v>1955</v>
      </c>
      <c r="G2474">
        <v>85</v>
      </c>
      <c r="H2474" t="s">
        <v>248</v>
      </c>
      <c r="Q2474">
        <v>2434.8162109999998</v>
      </c>
      <c r="R2474">
        <v>31354.586862700002</v>
      </c>
      <c r="S2474">
        <v>-26.7750438823</v>
      </c>
      <c r="T2474">
        <v>155.41857037400001</v>
      </c>
      <c r="U2474">
        <v>0</v>
      </c>
      <c r="V2474">
        <v>0</v>
      </c>
    </row>
    <row r="2475" spans="1:22" x14ac:dyDescent="0.2">
      <c r="A2475"/>
      <c r="B2475">
        <v>52007</v>
      </c>
      <c r="C2475" t="s">
        <v>2175</v>
      </c>
      <c r="D2475" t="s">
        <v>192</v>
      </c>
      <c r="E2475" t="s">
        <v>1272</v>
      </c>
      <c r="F2475" t="s">
        <v>1955</v>
      </c>
      <c r="G2475">
        <v>85</v>
      </c>
      <c r="H2475" t="s">
        <v>248</v>
      </c>
      <c r="Q2475">
        <v>2345.4172252899998</v>
      </c>
      <c r="R2475">
        <v>31395.893117299998</v>
      </c>
      <c r="S2475">
        <v>-27.996308486699998</v>
      </c>
      <c r="T2475">
        <v>155.10473318800001</v>
      </c>
      <c r="U2475">
        <v>0</v>
      </c>
      <c r="V2475">
        <v>0</v>
      </c>
    </row>
    <row r="2476" spans="1:22" x14ac:dyDescent="0.2">
      <c r="A2476"/>
      <c r="B2476">
        <v>52007</v>
      </c>
      <c r="C2476" t="s">
        <v>2175</v>
      </c>
      <c r="D2476" t="s">
        <v>192</v>
      </c>
      <c r="E2476" t="s">
        <v>1272</v>
      </c>
      <c r="F2476" t="s">
        <v>2176</v>
      </c>
      <c r="G2476">
        <v>35.69</v>
      </c>
      <c r="H2476" t="s">
        <v>248</v>
      </c>
      <c r="Q2476">
        <v>2345.4172252899998</v>
      </c>
      <c r="R2476">
        <v>31395.893117299998</v>
      </c>
      <c r="S2476">
        <v>-27.996308486699998</v>
      </c>
      <c r="T2476">
        <v>155.10473318800001</v>
      </c>
      <c r="U2476">
        <v>0</v>
      </c>
      <c r="V2476">
        <v>0</v>
      </c>
    </row>
    <row r="2477" spans="1:22" x14ac:dyDescent="0.2">
      <c r="A2477"/>
      <c r="B2477">
        <v>52007</v>
      </c>
      <c r="C2477" t="s">
        <v>2175</v>
      </c>
      <c r="D2477" t="s">
        <v>192</v>
      </c>
      <c r="E2477" t="s">
        <v>1272</v>
      </c>
      <c r="F2477" t="s">
        <v>1985</v>
      </c>
      <c r="G2477">
        <v>66.61</v>
      </c>
      <c r="H2477" t="s">
        <v>248</v>
      </c>
      <c r="Q2477">
        <v>2345.4172252899998</v>
      </c>
      <c r="R2477">
        <v>31395.893117299998</v>
      </c>
      <c r="S2477">
        <v>-27.996308486699998</v>
      </c>
      <c r="T2477">
        <v>155.10473318800001</v>
      </c>
      <c r="U2477">
        <v>0</v>
      </c>
      <c r="V2477">
        <v>0</v>
      </c>
    </row>
    <row r="2478" spans="1:22" x14ac:dyDescent="0.2">
      <c r="A2478"/>
      <c r="B2478">
        <v>52007</v>
      </c>
      <c r="C2478" t="s">
        <v>2175</v>
      </c>
      <c r="D2478" t="s">
        <v>192</v>
      </c>
      <c r="E2478" t="s">
        <v>1272</v>
      </c>
      <c r="F2478" t="s">
        <v>1990</v>
      </c>
      <c r="G2478">
        <v>65.69</v>
      </c>
      <c r="H2478" t="s">
        <v>248</v>
      </c>
      <c r="Q2478">
        <v>2345.4172252899998</v>
      </c>
      <c r="R2478">
        <v>31395.893117299998</v>
      </c>
      <c r="S2478">
        <v>-27.996308486699998</v>
      </c>
      <c r="T2478">
        <v>155.10473318800001</v>
      </c>
      <c r="U2478">
        <v>0</v>
      </c>
      <c r="V2478">
        <v>0</v>
      </c>
    </row>
    <row r="2479" spans="1:22" x14ac:dyDescent="0.2">
      <c r="A2479"/>
      <c r="B2479">
        <v>52007</v>
      </c>
      <c r="C2479" t="s">
        <v>2175</v>
      </c>
      <c r="D2479" t="s">
        <v>192</v>
      </c>
      <c r="E2479" t="s">
        <v>1272</v>
      </c>
      <c r="F2479" t="s">
        <v>1995</v>
      </c>
      <c r="G2479">
        <v>81.739999999999995</v>
      </c>
      <c r="H2479" t="s">
        <v>248</v>
      </c>
      <c r="Q2479">
        <v>2345.4172252899998</v>
      </c>
      <c r="R2479">
        <v>31395.893117299998</v>
      </c>
      <c r="S2479">
        <v>-27.996308486699998</v>
      </c>
      <c r="T2479">
        <v>155.10473318800001</v>
      </c>
      <c r="U2479">
        <v>0</v>
      </c>
      <c r="V2479">
        <v>0</v>
      </c>
    </row>
    <row r="2480" spans="1:22" x14ac:dyDescent="0.2">
      <c r="A2480"/>
      <c r="B2480">
        <v>52007</v>
      </c>
      <c r="C2480" t="s">
        <v>2175</v>
      </c>
      <c r="D2480" t="s">
        <v>192</v>
      </c>
      <c r="E2480" t="s">
        <v>1272</v>
      </c>
      <c r="F2480" t="s">
        <v>2177</v>
      </c>
      <c r="G2480">
        <v>21.81</v>
      </c>
      <c r="H2480" t="s">
        <v>248</v>
      </c>
      <c r="Q2480">
        <v>2345.4172252899998</v>
      </c>
      <c r="R2480">
        <v>31395.893117299998</v>
      </c>
      <c r="S2480">
        <v>-27.996308486699998</v>
      </c>
      <c r="T2480">
        <v>155.10473318800001</v>
      </c>
      <c r="U2480">
        <v>0</v>
      </c>
      <c r="V2480">
        <v>0</v>
      </c>
    </row>
    <row r="2481" spans="1:22" x14ac:dyDescent="0.2">
      <c r="A2481"/>
      <c r="B2481">
        <v>52008</v>
      </c>
      <c r="C2481" t="s">
        <v>2178</v>
      </c>
      <c r="D2481" t="s">
        <v>192</v>
      </c>
      <c r="E2481" t="s">
        <v>1272</v>
      </c>
      <c r="F2481" t="s">
        <v>2177</v>
      </c>
      <c r="G2481">
        <v>21.81</v>
      </c>
      <c r="H2481" t="s">
        <v>248</v>
      </c>
      <c r="Q2481">
        <v>2270.75999619</v>
      </c>
      <c r="R2481">
        <v>31429.0115511</v>
      </c>
      <c r="S2481">
        <v>-29.0165245375</v>
      </c>
      <c r="T2481">
        <v>156.85206635500001</v>
      </c>
      <c r="U2481">
        <v>0</v>
      </c>
      <c r="V2481">
        <v>0</v>
      </c>
    </row>
    <row r="2482" spans="1:22" x14ac:dyDescent="0.2">
      <c r="A2482"/>
      <c r="B2482">
        <v>52008</v>
      </c>
      <c r="C2482" t="s">
        <v>2178</v>
      </c>
      <c r="D2482" t="s">
        <v>192</v>
      </c>
      <c r="E2482" t="s">
        <v>1272</v>
      </c>
      <c r="F2482" t="s">
        <v>1958</v>
      </c>
      <c r="G2482">
        <v>61.79</v>
      </c>
      <c r="H2482" t="s">
        <v>248</v>
      </c>
      <c r="Q2482">
        <v>2270.75999619</v>
      </c>
      <c r="R2482">
        <v>31429.0115511</v>
      </c>
      <c r="S2482">
        <v>-29.0165245375</v>
      </c>
      <c r="T2482">
        <v>156.85206635500001</v>
      </c>
      <c r="U2482">
        <v>0</v>
      </c>
      <c r="V2482">
        <v>0</v>
      </c>
    </row>
    <row r="2483" spans="1:22" x14ac:dyDescent="0.2">
      <c r="A2483"/>
      <c r="B2483">
        <v>52009</v>
      </c>
      <c r="C2483" t="s">
        <v>2179</v>
      </c>
      <c r="D2483" t="s">
        <v>192</v>
      </c>
      <c r="E2483" t="s">
        <v>1272</v>
      </c>
      <c r="F2483" t="s">
        <v>1958</v>
      </c>
      <c r="G2483">
        <v>61.79</v>
      </c>
      <c r="H2483" t="s">
        <v>248</v>
      </c>
      <c r="Q2483">
        <v>2204.86432479</v>
      </c>
      <c r="R2483">
        <v>31457.165384799999</v>
      </c>
      <c r="S2483">
        <v>-29.914173588299999</v>
      </c>
      <c r="T2483">
        <v>156.877840273</v>
      </c>
      <c r="U2483">
        <v>0</v>
      </c>
      <c r="V2483">
        <v>0</v>
      </c>
    </row>
    <row r="2484" spans="1:22" x14ac:dyDescent="0.2">
      <c r="A2484"/>
      <c r="B2484">
        <v>52010</v>
      </c>
      <c r="C2484" t="s">
        <v>2180</v>
      </c>
      <c r="D2484" t="s">
        <v>192</v>
      </c>
      <c r="E2484" t="s">
        <v>1272</v>
      </c>
      <c r="F2484" t="s">
        <v>1923</v>
      </c>
      <c r="G2484">
        <v>329</v>
      </c>
      <c r="H2484" t="s">
        <v>248</v>
      </c>
      <c r="Q2484">
        <v>3043.0449819199998</v>
      </c>
      <c r="R2484">
        <v>31293.691664900001</v>
      </c>
      <c r="S2484">
        <v>-16.059184099700001</v>
      </c>
      <c r="T2484">
        <v>-154.672553416</v>
      </c>
      <c r="U2484">
        <v>0</v>
      </c>
      <c r="V2484">
        <v>0</v>
      </c>
    </row>
    <row r="2485" spans="1:22" x14ac:dyDescent="0.2">
      <c r="A2485"/>
      <c r="B2485">
        <v>52010</v>
      </c>
      <c r="C2485" t="s">
        <v>2180</v>
      </c>
      <c r="D2485" t="s">
        <v>192</v>
      </c>
      <c r="E2485" t="s">
        <v>1272</v>
      </c>
      <c r="F2485" t="s">
        <v>1923</v>
      </c>
      <c r="G2485">
        <v>484.27</v>
      </c>
      <c r="H2485" t="s">
        <v>248</v>
      </c>
      <c r="Q2485">
        <v>3043.0449819199998</v>
      </c>
      <c r="R2485">
        <v>31293.691664900001</v>
      </c>
      <c r="S2485">
        <v>-16.059184099700001</v>
      </c>
      <c r="T2485">
        <v>-154.672553416</v>
      </c>
      <c r="U2485">
        <v>0</v>
      </c>
      <c r="V2485">
        <v>0</v>
      </c>
    </row>
    <row r="2486" spans="1:22" x14ac:dyDescent="0.2">
      <c r="A2486"/>
      <c r="B2486">
        <v>52011</v>
      </c>
      <c r="C2486" t="s">
        <v>2181</v>
      </c>
      <c r="D2486" t="s">
        <v>192</v>
      </c>
      <c r="E2486" t="s">
        <v>1272</v>
      </c>
      <c r="F2486" t="s">
        <v>1923</v>
      </c>
      <c r="G2486">
        <v>483.54</v>
      </c>
      <c r="H2486" t="s">
        <v>248</v>
      </c>
      <c r="Q2486">
        <v>2906.6738991500001</v>
      </c>
      <c r="R2486">
        <v>31221.1038176</v>
      </c>
      <c r="S2486">
        <v>-18.759359587799999</v>
      </c>
      <c r="T2486">
        <v>-152.11114871300001</v>
      </c>
      <c r="U2486">
        <v>0</v>
      </c>
      <c r="V2486">
        <v>0</v>
      </c>
    </row>
    <row r="2487" spans="1:22" x14ac:dyDescent="0.2">
      <c r="A2487"/>
      <c r="B2487">
        <v>52011</v>
      </c>
      <c r="C2487" t="s">
        <v>2181</v>
      </c>
      <c r="D2487" t="s">
        <v>192</v>
      </c>
      <c r="E2487" t="s">
        <v>1272</v>
      </c>
      <c r="F2487" t="s">
        <v>1923</v>
      </c>
      <c r="G2487">
        <v>694</v>
      </c>
      <c r="H2487" t="s">
        <v>248</v>
      </c>
      <c r="Q2487">
        <v>2906.6738991500001</v>
      </c>
      <c r="R2487">
        <v>31221.1038176</v>
      </c>
      <c r="S2487">
        <v>-18.759359587799999</v>
      </c>
      <c r="T2487">
        <v>-152.11114871300001</v>
      </c>
      <c r="U2487">
        <v>0</v>
      </c>
      <c r="V2487">
        <v>0</v>
      </c>
    </row>
    <row r="2488" spans="1:22" x14ac:dyDescent="0.2">
      <c r="A2488"/>
      <c r="B2488">
        <v>52012</v>
      </c>
      <c r="C2488" t="s">
        <v>2182</v>
      </c>
      <c r="D2488" t="s">
        <v>192</v>
      </c>
      <c r="E2488" t="s">
        <v>1272</v>
      </c>
      <c r="F2488" t="s">
        <v>1923</v>
      </c>
      <c r="G2488">
        <v>694</v>
      </c>
      <c r="H2488" t="s">
        <v>248</v>
      </c>
      <c r="Q2488">
        <v>2709.5019127</v>
      </c>
      <c r="R2488">
        <v>31205.973946900001</v>
      </c>
      <c r="S2488">
        <v>-20.293116329699998</v>
      </c>
      <c r="T2488">
        <v>146.400326525</v>
      </c>
      <c r="U2488">
        <v>0</v>
      </c>
      <c r="V2488">
        <v>0</v>
      </c>
    </row>
    <row r="2489" spans="1:22" x14ac:dyDescent="0.2">
      <c r="A2489"/>
      <c r="B2489">
        <v>52012</v>
      </c>
      <c r="C2489" t="s">
        <v>2182</v>
      </c>
      <c r="D2489" t="s">
        <v>192</v>
      </c>
      <c r="E2489" t="s">
        <v>1272</v>
      </c>
      <c r="F2489" t="s">
        <v>1933</v>
      </c>
      <c r="G2489">
        <v>9</v>
      </c>
      <c r="H2489" t="s">
        <v>248</v>
      </c>
      <c r="Q2489">
        <v>2709.5019127</v>
      </c>
      <c r="R2489">
        <v>31205.973946900001</v>
      </c>
      <c r="S2489">
        <v>-20.293116329699998</v>
      </c>
      <c r="T2489">
        <v>146.400326525</v>
      </c>
      <c r="U2489">
        <v>0</v>
      </c>
      <c r="V2489">
        <v>0</v>
      </c>
    </row>
    <row r="2490" spans="1:22" x14ac:dyDescent="0.2">
      <c r="A2490"/>
      <c r="B2490">
        <v>52012</v>
      </c>
      <c r="C2490" t="s">
        <v>2182</v>
      </c>
      <c r="D2490" t="s">
        <v>192</v>
      </c>
      <c r="E2490" t="s">
        <v>1272</v>
      </c>
      <c r="F2490" t="s">
        <v>2170</v>
      </c>
      <c r="G2490">
        <v>22.61</v>
      </c>
      <c r="H2490" t="s">
        <v>248</v>
      </c>
      <c r="Q2490">
        <v>2709.5019127</v>
      </c>
      <c r="R2490">
        <v>31205.973946900001</v>
      </c>
      <c r="S2490">
        <v>-20.293116329699998</v>
      </c>
      <c r="T2490">
        <v>146.400326525</v>
      </c>
      <c r="U2490">
        <v>0</v>
      </c>
      <c r="V2490">
        <v>0</v>
      </c>
    </row>
    <row r="2491" spans="1:22" x14ac:dyDescent="0.2">
      <c r="A2491"/>
      <c r="B2491">
        <v>52012</v>
      </c>
      <c r="C2491" t="s">
        <v>2182</v>
      </c>
      <c r="D2491" t="s">
        <v>192</v>
      </c>
      <c r="E2491" t="s">
        <v>1272</v>
      </c>
      <c r="F2491" t="s">
        <v>2169</v>
      </c>
      <c r="G2491">
        <v>32.9</v>
      </c>
      <c r="H2491" t="s">
        <v>248</v>
      </c>
      <c r="Q2491">
        <v>2709.5019127</v>
      </c>
      <c r="R2491">
        <v>31205.973946900001</v>
      </c>
      <c r="S2491">
        <v>-20.293116329699998</v>
      </c>
      <c r="T2491">
        <v>146.400326525</v>
      </c>
      <c r="U2491">
        <v>0</v>
      </c>
      <c r="V2491">
        <v>0</v>
      </c>
    </row>
    <row r="2492" spans="1:22" x14ac:dyDescent="0.2">
      <c r="A2492"/>
      <c r="B2492">
        <v>52013</v>
      </c>
      <c r="C2492" t="s">
        <v>2183</v>
      </c>
      <c r="D2492" t="s">
        <v>192</v>
      </c>
      <c r="E2492" t="s">
        <v>1272</v>
      </c>
      <c r="F2492" t="s">
        <v>1933</v>
      </c>
      <c r="G2492">
        <v>9</v>
      </c>
      <c r="H2492" t="s">
        <v>248</v>
      </c>
      <c r="Q2492">
        <v>2646.3841364700002</v>
      </c>
      <c r="R2492">
        <v>31252.027758699998</v>
      </c>
      <c r="S2492">
        <v>-21.047620376600001</v>
      </c>
      <c r="T2492">
        <v>143.562747978</v>
      </c>
      <c r="U2492">
        <v>0</v>
      </c>
      <c r="V2492">
        <v>0</v>
      </c>
    </row>
    <row r="2493" spans="1:22" x14ac:dyDescent="0.2">
      <c r="A2493"/>
      <c r="B2493">
        <v>52013</v>
      </c>
      <c r="C2493" t="s">
        <v>2183</v>
      </c>
      <c r="D2493" t="s">
        <v>192</v>
      </c>
      <c r="E2493" t="s">
        <v>1272</v>
      </c>
      <c r="F2493" t="s">
        <v>1933</v>
      </c>
      <c r="G2493">
        <v>130.54</v>
      </c>
      <c r="H2493" t="s">
        <v>248</v>
      </c>
      <c r="Q2493">
        <v>2646.3841364700002</v>
      </c>
      <c r="R2493">
        <v>31252.027758699998</v>
      </c>
      <c r="S2493">
        <v>-21.047620376600001</v>
      </c>
      <c r="T2493">
        <v>143.562747978</v>
      </c>
      <c r="U2493">
        <v>0</v>
      </c>
      <c r="V2493">
        <v>0</v>
      </c>
    </row>
    <row r="2494" spans="1:22" x14ac:dyDescent="0.2">
      <c r="A2494"/>
      <c r="B2494">
        <v>52014</v>
      </c>
      <c r="C2494" t="s">
        <v>2184</v>
      </c>
      <c r="D2494" t="s">
        <v>192</v>
      </c>
      <c r="E2494" t="s">
        <v>1272</v>
      </c>
      <c r="F2494" t="s">
        <v>1933</v>
      </c>
      <c r="G2494">
        <v>130.54</v>
      </c>
      <c r="H2494" t="s">
        <v>248</v>
      </c>
      <c r="Q2494">
        <v>2542.5806909399998</v>
      </c>
      <c r="R2494">
        <v>31314.524045800001</v>
      </c>
      <c r="S2494">
        <v>-24.045922732200001</v>
      </c>
      <c r="T2494">
        <v>155.85640619899999</v>
      </c>
      <c r="U2494">
        <v>0</v>
      </c>
      <c r="V2494">
        <v>0</v>
      </c>
    </row>
    <row r="2495" spans="1:22" x14ac:dyDescent="0.2">
      <c r="A2495"/>
      <c r="B2495">
        <v>52014</v>
      </c>
      <c r="C2495" t="s">
        <v>2184</v>
      </c>
      <c r="D2495" t="s">
        <v>192</v>
      </c>
      <c r="E2495" t="s">
        <v>1272</v>
      </c>
      <c r="F2495" t="s">
        <v>2068</v>
      </c>
      <c r="G2495">
        <v>31</v>
      </c>
      <c r="H2495" t="s">
        <v>248</v>
      </c>
      <c r="Q2495">
        <v>2542.5806909399998</v>
      </c>
      <c r="R2495">
        <v>31314.524045800001</v>
      </c>
      <c r="S2495">
        <v>-24.045922732200001</v>
      </c>
      <c r="T2495">
        <v>155.85640619899999</v>
      </c>
      <c r="U2495">
        <v>0</v>
      </c>
      <c r="V2495">
        <v>0</v>
      </c>
    </row>
    <row r="2496" spans="1:22" x14ac:dyDescent="0.2">
      <c r="A2496"/>
      <c r="B2496">
        <v>52014</v>
      </c>
      <c r="C2496" t="s">
        <v>2184</v>
      </c>
      <c r="D2496" t="s">
        <v>192</v>
      </c>
      <c r="E2496" t="s">
        <v>1272</v>
      </c>
      <c r="F2496" t="s">
        <v>2185</v>
      </c>
      <c r="G2496">
        <v>27.17</v>
      </c>
      <c r="H2496" t="s">
        <v>248</v>
      </c>
      <c r="Q2496">
        <v>2542.5806909399998</v>
      </c>
      <c r="R2496">
        <v>31314.524045800001</v>
      </c>
      <c r="S2496">
        <v>-24.045922732200001</v>
      </c>
      <c r="T2496">
        <v>155.85640619899999</v>
      </c>
      <c r="U2496">
        <v>0</v>
      </c>
      <c r="V2496">
        <v>0</v>
      </c>
    </row>
    <row r="2497" spans="1:22" x14ac:dyDescent="0.2">
      <c r="A2497"/>
      <c r="B2497">
        <v>52014</v>
      </c>
      <c r="C2497" t="s">
        <v>2184</v>
      </c>
      <c r="D2497" t="s">
        <v>192</v>
      </c>
      <c r="E2497" t="s">
        <v>1272</v>
      </c>
      <c r="F2497" t="s">
        <v>1911</v>
      </c>
      <c r="G2497">
        <v>101.78</v>
      </c>
      <c r="H2497" t="s">
        <v>248</v>
      </c>
      <c r="Q2497">
        <v>2542.5806909399998</v>
      </c>
      <c r="R2497">
        <v>31314.524045800001</v>
      </c>
      <c r="S2497">
        <v>-24.045922732200001</v>
      </c>
      <c r="T2497">
        <v>155.85640619899999</v>
      </c>
      <c r="U2497">
        <v>0</v>
      </c>
      <c r="V2497">
        <v>0</v>
      </c>
    </row>
    <row r="2498" spans="1:22" x14ac:dyDescent="0.2">
      <c r="A2498"/>
      <c r="B2498">
        <v>52014</v>
      </c>
      <c r="C2498" t="s">
        <v>2184</v>
      </c>
      <c r="D2498" t="s">
        <v>192</v>
      </c>
      <c r="E2498" t="s">
        <v>1272</v>
      </c>
      <c r="F2498" t="s">
        <v>1937</v>
      </c>
      <c r="G2498">
        <v>102.53100000000001</v>
      </c>
      <c r="H2498" t="s">
        <v>248</v>
      </c>
      <c r="Q2498">
        <v>2542.5806909399998</v>
      </c>
      <c r="R2498">
        <v>31314.524045800001</v>
      </c>
      <c r="S2498">
        <v>-24.045922732200001</v>
      </c>
      <c r="T2498">
        <v>155.85640619899999</v>
      </c>
      <c r="U2498">
        <v>0</v>
      </c>
      <c r="V2498">
        <v>0</v>
      </c>
    </row>
    <row r="2499" spans="1:22" x14ac:dyDescent="0.2">
      <c r="A2499"/>
      <c r="B2499">
        <v>52015</v>
      </c>
      <c r="C2499" t="s">
        <v>2186</v>
      </c>
      <c r="D2499" t="s">
        <v>192</v>
      </c>
      <c r="E2499" t="s">
        <v>1272</v>
      </c>
      <c r="F2499" t="s">
        <v>1937</v>
      </c>
      <c r="G2499">
        <v>102.53100000000001</v>
      </c>
      <c r="H2499" t="s">
        <v>248</v>
      </c>
      <c r="Q2499">
        <v>2380.40859933</v>
      </c>
      <c r="R2499">
        <v>31387.116723300001</v>
      </c>
      <c r="S2499">
        <v>-27.552513985499999</v>
      </c>
      <c r="T2499">
        <v>156.56853151199999</v>
      </c>
      <c r="U2499">
        <v>0</v>
      </c>
      <c r="V2499">
        <v>0</v>
      </c>
    </row>
    <row r="2500" spans="1:22" x14ac:dyDescent="0.2">
      <c r="A2500"/>
      <c r="B2500">
        <v>52015</v>
      </c>
      <c r="C2500" t="s">
        <v>2186</v>
      </c>
      <c r="D2500" t="s">
        <v>192</v>
      </c>
      <c r="E2500" t="s">
        <v>1272</v>
      </c>
      <c r="F2500" t="s">
        <v>1939</v>
      </c>
      <c r="G2500">
        <v>55.76</v>
      </c>
      <c r="H2500" t="s">
        <v>248</v>
      </c>
      <c r="Q2500">
        <v>2380.40859933</v>
      </c>
      <c r="R2500">
        <v>31387.116723300001</v>
      </c>
      <c r="S2500">
        <v>-27.552513985499999</v>
      </c>
      <c r="T2500">
        <v>156.56853151199999</v>
      </c>
      <c r="U2500">
        <v>0</v>
      </c>
      <c r="V2500">
        <v>0</v>
      </c>
    </row>
    <row r="2501" spans="1:22" x14ac:dyDescent="0.2">
      <c r="A2501"/>
      <c r="B2501">
        <v>52015</v>
      </c>
      <c r="C2501" t="s">
        <v>2186</v>
      </c>
      <c r="D2501" t="s">
        <v>192</v>
      </c>
      <c r="E2501" t="s">
        <v>1272</v>
      </c>
      <c r="F2501" t="s">
        <v>2011</v>
      </c>
      <c r="G2501">
        <v>58.16</v>
      </c>
      <c r="H2501" t="s">
        <v>248</v>
      </c>
      <c r="Q2501">
        <v>2380.40859933</v>
      </c>
      <c r="R2501">
        <v>31387.116723300001</v>
      </c>
      <c r="S2501">
        <v>-27.552513985499999</v>
      </c>
      <c r="T2501">
        <v>156.56853151199999</v>
      </c>
      <c r="U2501">
        <v>0</v>
      </c>
      <c r="V2501">
        <v>0</v>
      </c>
    </row>
    <row r="2502" spans="1:22" x14ac:dyDescent="0.2">
      <c r="A2502"/>
      <c r="B2502">
        <v>52015</v>
      </c>
      <c r="C2502" t="s">
        <v>2186</v>
      </c>
      <c r="D2502" t="s">
        <v>192</v>
      </c>
      <c r="E2502" t="s">
        <v>1272</v>
      </c>
      <c r="F2502" t="s">
        <v>2005</v>
      </c>
      <c r="G2502">
        <v>51.68</v>
      </c>
      <c r="H2502" t="s">
        <v>248</v>
      </c>
      <c r="Q2502">
        <v>2380.40859933</v>
      </c>
      <c r="R2502">
        <v>31387.116723300001</v>
      </c>
      <c r="S2502">
        <v>-27.552513985499999</v>
      </c>
      <c r="T2502">
        <v>156.56853151199999</v>
      </c>
      <c r="U2502">
        <v>0</v>
      </c>
      <c r="V2502">
        <v>0</v>
      </c>
    </row>
    <row r="2503" spans="1:22" x14ac:dyDescent="0.2">
      <c r="A2503"/>
      <c r="B2503">
        <v>52016</v>
      </c>
      <c r="C2503" t="s">
        <v>2187</v>
      </c>
      <c r="D2503" t="s">
        <v>192</v>
      </c>
      <c r="E2503" t="s">
        <v>1272</v>
      </c>
      <c r="F2503" t="s">
        <v>1939</v>
      </c>
      <c r="G2503">
        <v>55.76</v>
      </c>
      <c r="H2503" t="s">
        <v>248</v>
      </c>
      <c r="Q2503">
        <v>2271.05373783</v>
      </c>
      <c r="R2503">
        <v>31433.772359300001</v>
      </c>
      <c r="S2503">
        <v>-29.0492189462</v>
      </c>
      <c r="T2503">
        <v>156.808786191</v>
      </c>
      <c r="U2503">
        <v>0</v>
      </c>
      <c r="V2503">
        <v>0</v>
      </c>
    </row>
    <row r="2504" spans="1:22" x14ac:dyDescent="0.2">
      <c r="A2504"/>
      <c r="B2504">
        <v>52017</v>
      </c>
      <c r="C2504" t="s">
        <v>2188</v>
      </c>
      <c r="D2504" t="s">
        <v>192</v>
      </c>
      <c r="E2504" t="s">
        <v>1272</v>
      </c>
      <c r="F2504" t="s">
        <v>1939</v>
      </c>
      <c r="G2504">
        <v>31</v>
      </c>
      <c r="H2504" t="s">
        <v>248</v>
      </c>
      <c r="Q2504">
        <v>2293.8106639299999</v>
      </c>
      <c r="R2504">
        <v>31424.0213554</v>
      </c>
      <c r="S2504">
        <v>-28.736433335899999</v>
      </c>
      <c r="T2504">
        <v>156.815593046</v>
      </c>
      <c r="U2504">
        <v>0</v>
      </c>
      <c r="V2504">
        <v>0</v>
      </c>
    </row>
    <row r="2505" spans="1:22" x14ac:dyDescent="0.2">
      <c r="A2505"/>
      <c r="B2505">
        <v>52017</v>
      </c>
      <c r="C2505" t="s">
        <v>2188</v>
      </c>
      <c r="D2505" t="s">
        <v>192</v>
      </c>
      <c r="E2505" t="s">
        <v>1272</v>
      </c>
      <c r="F2505" t="s">
        <v>2070</v>
      </c>
      <c r="G2505">
        <v>101.89</v>
      </c>
      <c r="H2505" t="s">
        <v>248</v>
      </c>
      <c r="Q2505">
        <v>2293.8106639299999</v>
      </c>
      <c r="R2505">
        <v>31424.0213554</v>
      </c>
      <c r="S2505">
        <v>-28.736433335899999</v>
      </c>
      <c r="T2505">
        <v>156.815593046</v>
      </c>
      <c r="U2505">
        <v>0</v>
      </c>
      <c r="V2505">
        <v>0</v>
      </c>
    </row>
    <row r="2506" spans="1:22" x14ac:dyDescent="0.2">
      <c r="A2506"/>
      <c r="B2506">
        <v>52017</v>
      </c>
      <c r="C2506" t="s">
        <v>2188</v>
      </c>
      <c r="D2506" t="s">
        <v>192</v>
      </c>
      <c r="E2506" t="s">
        <v>1272</v>
      </c>
      <c r="F2506" t="s">
        <v>2072</v>
      </c>
      <c r="G2506">
        <v>68.81</v>
      </c>
      <c r="H2506" t="s">
        <v>248</v>
      </c>
      <c r="Q2506">
        <v>2293.8106639299999</v>
      </c>
      <c r="R2506">
        <v>31424.0213554</v>
      </c>
      <c r="S2506">
        <v>-28.736433335899999</v>
      </c>
      <c r="T2506">
        <v>156.815593046</v>
      </c>
      <c r="U2506">
        <v>0</v>
      </c>
      <c r="V2506">
        <v>0</v>
      </c>
    </row>
    <row r="2507" spans="1:22" x14ac:dyDescent="0.2">
      <c r="A2507"/>
      <c r="B2507">
        <v>52017</v>
      </c>
      <c r="C2507" t="s">
        <v>2188</v>
      </c>
      <c r="D2507" t="s">
        <v>192</v>
      </c>
      <c r="E2507" t="s">
        <v>1272</v>
      </c>
      <c r="F2507" t="s">
        <v>2074</v>
      </c>
      <c r="G2507">
        <v>67.91</v>
      </c>
      <c r="H2507" t="s">
        <v>248</v>
      </c>
      <c r="Q2507">
        <v>2293.8106639299999</v>
      </c>
      <c r="R2507">
        <v>31424.0213554</v>
      </c>
      <c r="S2507">
        <v>-28.736433335899999</v>
      </c>
      <c r="T2507">
        <v>156.815593046</v>
      </c>
      <c r="U2507">
        <v>0</v>
      </c>
      <c r="V2507">
        <v>0</v>
      </c>
    </row>
    <row r="2508" spans="1:22" x14ac:dyDescent="0.2">
      <c r="A2508"/>
      <c r="B2508">
        <v>52018</v>
      </c>
      <c r="C2508" t="s">
        <v>2189</v>
      </c>
      <c r="D2508" t="s">
        <v>192</v>
      </c>
      <c r="E2508" t="s">
        <v>1272</v>
      </c>
      <c r="F2508" t="s">
        <v>2074</v>
      </c>
      <c r="G2508">
        <v>67.91</v>
      </c>
      <c r="H2508" t="s">
        <v>248</v>
      </c>
      <c r="Q2508">
        <v>2396.8056309600001</v>
      </c>
      <c r="R2508">
        <v>31428.132613599999</v>
      </c>
      <c r="S2508">
        <v>-27.5733238754</v>
      </c>
      <c r="T2508">
        <v>140.475717342</v>
      </c>
      <c r="U2508">
        <v>0</v>
      </c>
      <c r="V2508">
        <v>0</v>
      </c>
    </row>
    <row r="2509" spans="1:22" x14ac:dyDescent="0.2">
      <c r="A2509"/>
      <c r="B2509">
        <v>52018</v>
      </c>
      <c r="C2509" t="s">
        <v>2189</v>
      </c>
      <c r="D2509" t="s">
        <v>192</v>
      </c>
      <c r="E2509" t="s">
        <v>1272</v>
      </c>
      <c r="F2509" t="s">
        <v>2074</v>
      </c>
      <c r="G2509">
        <v>153.97999999999999</v>
      </c>
      <c r="H2509" t="s">
        <v>248</v>
      </c>
      <c r="Q2509">
        <v>2396.8056309600001</v>
      </c>
      <c r="R2509">
        <v>31428.132613599999</v>
      </c>
      <c r="S2509">
        <v>-27.5733238754</v>
      </c>
      <c r="T2509">
        <v>140.475717342</v>
      </c>
      <c r="U2509">
        <v>0</v>
      </c>
      <c r="V2509">
        <v>0</v>
      </c>
    </row>
    <row r="2510" spans="1:22" x14ac:dyDescent="0.2">
      <c r="A2510"/>
      <c r="B2510">
        <v>52020</v>
      </c>
      <c r="C2510" t="s">
        <v>2190</v>
      </c>
      <c r="D2510" t="s">
        <v>192</v>
      </c>
      <c r="E2510" t="s">
        <v>1272</v>
      </c>
      <c r="F2510" t="s">
        <v>2074</v>
      </c>
      <c r="G2510">
        <v>153.97999999999999</v>
      </c>
      <c r="H2510" t="s">
        <v>248</v>
      </c>
      <c r="Q2510">
        <v>2330.4006404299998</v>
      </c>
      <c r="R2510">
        <v>31482.880740500001</v>
      </c>
      <c r="S2510">
        <v>-28.599876365</v>
      </c>
      <c r="T2510">
        <v>140.560995977</v>
      </c>
      <c r="U2510">
        <v>0</v>
      </c>
      <c r="V2510">
        <v>0</v>
      </c>
    </row>
    <row r="2511" spans="1:22" x14ac:dyDescent="0.2">
      <c r="A2511"/>
      <c r="B2511">
        <v>52020</v>
      </c>
      <c r="C2511" t="s">
        <v>2190</v>
      </c>
      <c r="D2511" t="s">
        <v>192</v>
      </c>
      <c r="E2511" t="s">
        <v>1272</v>
      </c>
      <c r="F2511" t="s">
        <v>2076</v>
      </c>
      <c r="G2511">
        <v>106.565</v>
      </c>
      <c r="H2511" t="s">
        <v>248</v>
      </c>
      <c r="Q2511">
        <v>2330.4006404299998</v>
      </c>
      <c r="R2511">
        <v>31482.880740500001</v>
      </c>
      <c r="S2511">
        <v>-28.599876365</v>
      </c>
      <c r="T2511">
        <v>140.560995977</v>
      </c>
      <c r="U2511">
        <v>0</v>
      </c>
      <c r="V2511">
        <v>0</v>
      </c>
    </row>
    <row r="2512" spans="1:22" x14ac:dyDescent="0.2">
      <c r="A2512"/>
      <c r="B2512">
        <v>52021</v>
      </c>
      <c r="C2512" t="s">
        <v>2191</v>
      </c>
      <c r="D2512" t="s">
        <v>192</v>
      </c>
      <c r="E2512" t="s">
        <v>1272</v>
      </c>
      <c r="F2512" t="s">
        <v>2076</v>
      </c>
      <c r="G2512">
        <v>106.57</v>
      </c>
      <c r="H2512" t="s">
        <v>248</v>
      </c>
      <c r="Q2512">
        <v>2246.8582973699999</v>
      </c>
      <c r="R2512">
        <v>31551.024889299999</v>
      </c>
      <c r="S2512">
        <v>-29.897708694999999</v>
      </c>
      <c r="T2512">
        <v>140.933838611</v>
      </c>
      <c r="U2512">
        <v>0</v>
      </c>
      <c r="V2512">
        <v>0</v>
      </c>
    </row>
    <row r="2513" spans="1:22" x14ac:dyDescent="0.2">
      <c r="A2513"/>
      <c r="B2513">
        <v>52021</v>
      </c>
      <c r="C2513" t="s">
        <v>2191</v>
      </c>
      <c r="D2513" t="s">
        <v>192</v>
      </c>
      <c r="E2513" t="s">
        <v>1272</v>
      </c>
      <c r="F2513" t="s">
        <v>2076</v>
      </c>
      <c r="G2513">
        <v>309.86</v>
      </c>
      <c r="H2513" t="s">
        <v>248</v>
      </c>
      <c r="Q2513">
        <v>2246.8582973699999</v>
      </c>
      <c r="R2513">
        <v>31551.024889299999</v>
      </c>
      <c r="S2513">
        <v>-29.897708694999999</v>
      </c>
      <c r="T2513">
        <v>140.933838611</v>
      </c>
      <c r="U2513">
        <v>0</v>
      </c>
      <c r="V2513">
        <v>0</v>
      </c>
    </row>
    <row r="2514" spans="1:22" x14ac:dyDescent="0.2">
      <c r="A2514"/>
      <c r="B2514">
        <v>52022</v>
      </c>
      <c r="C2514" t="s">
        <v>2192</v>
      </c>
      <c r="D2514" t="s">
        <v>192</v>
      </c>
      <c r="E2514" t="s">
        <v>1272</v>
      </c>
      <c r="F2514" t="s">
        <v>2076</v>
      </c>
      <c r="G2514">
        <v>67.91</v>
      </c>
      <c r="H2514" t="s">
        <v>248</v>
      </c>
      <c r="Q2514">
        <v>2276.8605020700002</v>
      </c>
      <c r="R2514">
        <v>31526.647823800002</v>
      </c>
      <c r="S2514">
        <v>-29.426724225600001</v>
      </c>
      <c r="T2514">
        <v>140.867531321</v>
      </c>
      <c r="U2514">
        <v>0</v>
      </c>
      <c r="V2514">
        <v>0</v>
      </c>
    </row>
    <row r="2515" spans="1:22" x14ac:dyDescent="0.2">
      <c r="A2515"/>
      <c r="B2515">
        <v>52022</v>
      </c>
      <c r="C2515" t="s">
        <v>2192</v>
      </c>
      <c r="D2515" t="s">
        <v>192</v>
      </c>
      <c r="E2515" t="s">
        <v>1272</v>
      </c>
      <c r="F2515" t="s">
        <v>2072</v>
      </c>
      <c r="G2515">
        <v>258.83999999999997</v>
      </c>
      <c r="H2515" t="s">
        <v>248</v>
      </c>
      <c r="Q2515">
        <v>2276.8605020700002</v>
      </c>
      <c r="R2515">
        <v>31526.647823800002</v>
      </c>
      <c r="S2515">
        <v>-29.426724225600001</v>
      </c>
      <c r="T2515">
        <v>140.867531321</v>
      </c>
      <c r="U2515">
        <v>0</v>
      </c>
      <c r="V2515">
        <v>0</v>
      </c>
    </row>
    <row r="2516" spans="1:22" x14ac:dyDescent="0.2">
      <c r="A2516"/>
      <c r="B2516">
        <v>52023</v>
      </c>
      <c r="C2516" t="s">
        <v>2193</v>
      </c>
      <c r="D2516" t="s">
        <v>192</v>
      </c>
      <c r="E2516" t="s">
        <v>1272</v>
      </c>
      <c r="F2516" t="s">
        <v>2072</v>
      </c>
      <c r="G2516">
        <v>258.83999999999997</v>
      </c>
      <c r="H2516" t="s">
        <v>248</v>
      </c>
      <c r="Q2516">
        <v>2243.6735611200002</v>
      </c>
      <c r="R2516">
        <v>31542.729086300002</v>
      </c>
      <c r="S2516">
        <v>-29.887528811100001</v>
      </c>
      <c r="T2516">
        <v>141.81126324300001</v>
      </c>
      <c r="U2516">
        <v>0</v>
      </c>
      <c r="V2516">
        <v>0</v>
      </c>
    </row>
    <row r="2517" spans="1:22" x14ac:dyDescent="0.2">
      <c r="A2517"/>
      <c r="B2517">
        <v>52024</v>
      </c>
      <c r="C2517" t="s">
        <v>2194</v>
      </c>
      <c r="D2517" t="s">
        <v>192</v>
      </c>
      <c r="E2517" t="s">
        <v>1272</v>
      </c>
      <c r="F2517" t="s">
        <v>2072</v>
      </c>
      <c r="G2517">
        <v>96.23</v>
      </c>
      <c r="H2517" t="s">
        <v>248</v>
      </c>
      <c r="Q2517">
        <v>2371.52513215</v>
      </c>
      <c r="R2517">
        <v>31442.269631399999</v>
      </c>
      <c r="S2517">
        <v>-27.921830981599999</v>
      </c>
      <c r="T2517">
        <v>141.70000901899999</v>
      </c>
      <c r="U2517">
        <v>0</v>
      </c>
      <c r="V2517">
        <v>0</v>
      </c>
    </row>
    <row r="2518" spans="1:22" x14ac:dyDescent="0.2">
      <c r="A2518"/>
      <c r="B2518">
        <v>52024</v>
      </c>
      <c r="C2518" t="s">
        <v>2194</v>
      </c>
      <c r="D2518" t="s">
        <v>192</v>
      </c>
      <c r="E2518" t="s">
        <v>1272</v>
      </c>
      <c r="F2518" t="s">
        <v>2072</v>
      </c>
      <c r="G2518">
        <v>272.47000000000003</v>
      </c>
      <c r="H2518" t="s">
        <v>248</v>
      </c>
      <c r="Q2518">
        <v>2371.52513215</v>
      </c>
      <c r="R2518">
        <v>31442.269631399999</v>
      </c>
      <c r="S2518">
        <v>-27.921830981599999</v>
      </c>
      <c r="T2518">
        <v>141.70000901899999</v>
      </c>
      <c r="U2518">
        <v>0</v>
      </c>
      <c r="V2518">
        <v>0</v>
      </c>
    </row>
    <row r="2519" spans="1:22" x14ac:dyDescent="0.2">
      <c r="A2519"/>
      <c r="B2519">
        <v>52025</v>
      </c>
      <c r="C2519" t="s">
        <v>2195</v>
      </c>
      <c r="D2519" t="s">
        <v>192</v>
      </c>
      <c r="E2519" t="s">
        <v>1272</v>
      </c>
      <c r="F2519" t="s">
        <v>2072</v>
      </c>
      <c r="G2519">
        <v>272.47000000000003</v>
      </c>
      <c r="H2519" t="s">
        <v>248</v>
      </c>
      <c r="Q2519">
        <v>2232.9642877000001</v>
      </c>
      <c r="R2519">
        <v>31551.158886000001</v>
      </c>
      <c r="S2519">
        <v>-30.051333228600001</v>
      </c>
      <c r="T2519">
        <v>141.77169923899999</v>
      </c>
      <c r="U2519">
        <v>0</v>
      </c>
      <c r="V2519">
        <v>0</v>
      </c>
    </row>
    <row r="2520" spans="1:22" x14ac:dyDescent="0.2">
      <c r="A2520"/>
      <c r="B2520">
        <v>52026</v>
      </c>
      <c r="C2520" t="s">
        <v>2196</v>
      </c>
      <c r="D2520" t="s">
        <v>192</v>
      </c>
      <c r="E2520" t="s">
        <v>1272</v>
      </c>
      <c r="F2520" t="s">
        <v>2185</v>
      </c>
      <c r="G2520">
        <v>27.17</v>
      </c>
      <c r="H2520" t="s">
        <v>248</v>
      </c>
      <c r="Q2520">
        <v>2473.7334053499999</v>
      </c>
      <c r="R2520">
        <v>31348.452240400002</v>
      </c>
      <c r="S2520">
        <v>-25.959409539799999</v>
      </c>
      <c r="T2520">
        <v>145.38693086800001</v>
      </c>
      <c r="U2520">
        <v>0</v>
      </c>
      <c r="V2520">
        <v>0</v>
      </c>
    </row>
    <row r="2521" spans="1:22" x14ac:dyDescent="0.2">
      <c r="A2521"/>
      <c r="B2521">
        <v>52026</v>
      </c>
      <c r="C2521" t="s">
        <v>2196</v>
      </c>
      <c r="D2521" t="s">
        <v>192</v>
      </c>
      <c r="E2521" t="s">
        <v>1272</v>
      </c>
      <c r="F2521" t="s">
        <v>2062</v>
      </c>
      <c r="G2521">
        <v>56.09</v>
      </c>
      <c r="H2521" t="s">
        <v>248</v>
      </c>
      <c r="Q2521">
        <v>2473.7334053499999</v>
      </c>
      <c r="R2521">
        <v>31348.452240400002</v>
      </c>
      <c r="S2521">
        <v>-25.959409539799999</v>
      </c>
      <c r="T2521">
        <v>145.38693086800001</v>
      </c>
      <c r="U2521">
        <v>0</v>
      </c>
      <c r="V2521">
        <v>0</v>
      </c>
    </row>
    <row r="2522" spans="1:22" x14ac:dyDescent="0.2">
      <c r="A2522"/>
      <c r="B2522">
        <v>52026</v>
      </c>
      <c r="C2522" t="s">
        <v>2196</v>
      </c>
      <c r="D2522" t="s">
        <v>192</v>
      </c>
      <c r="E2522" t="s">
        <v>1272</v>
      </c>
      <c r="F2522" t="s">
        <v>2197</v>
      </c>
      <c r="G2522">
        <v>75.569999999999993</v>
      </c>
      <c r="H2522" t="s">
        <v>248</v>
      </c>
      <c r="Q2522">
        <v>2473.7334053499999</v>
      </c>
      <c r="R2522">
        <v>31348.452240400002</v>
      </c>
      <c r="S2522">
        <v>-25.959409539799999</v>
      </c>
      <c r="T2522">
        <v>145.38693086800001</v>
      </c>
      <c r="U2522">
        <v>0</v>
      </c>
      <c r="V2522">
        <v>0</v>
      </c>
    </row>
    <row r="2523" spans="1:22" x14ac:dyDescent="0.2">
      <c r="A2523"/>
      <c r="B2523">
        <v>52026</v>
      </c>
      <c r="C2523" t="s">
        <v>2196</v>
      </c>
      <c r="D2523" t="s">
        <v>192</v>
      </c>
      <c r="E2523" t="s">
        <v>1272</v>
      </c>
      <c r="F2523" t="s">
        <v>2198</v>
      </c>
      <c r="G2523">
        <v>64.930000000000007</v>
      </c>
      <c r="H2523" t="s">
        <v>248</v>
      </c>
      <c r="Q2523">
        <v>2473.7334053499999</v>
      </c>
      <c r="R2523">
        <v>31348.452240400002</v>
      </c>
      <c r="S2523">
        <v>-25.959409539799999</v>
      </c>
      <c r="T2523">
        <v>145.38693086800001</v>
      </c>
      <c r="U2523">
        <v>0</v>
      </c>
      <c r="V2523">
        <v>0</v>
      </c>
    </row>
    <row r="2524" spans="1:22" x14ac:dyDescent="0.2">
      <c r="A2524"/>
      <c r="B2524">
        <v>52026</v>
      </c>
      <c r="C2524" t="s">
        <v>2196</v>
      </c>
      <c r="D2524" t="s">
        <v>192</v>
      </c>
      <c r="E2524" t="s">
        <v>1272</v>
      </c>
      <c r="F2524" t="s">
        <v>2030</v>
      </c>
      <c r="G2524">
        <v>50.36</v>
      </c>
      <c r="H2524" t="s">
        <v>248</v>
      </c>
      <c r="Q2524">
        <v>2473.7334053499999</v>
      </c>
      <c r="R2524">
        <v>31348.452240400002</v>
      </c>
      <c r="S2524">
        <v>-25.959409539799999</v>
      </c>
      <c r="T2524">
        <v>145.38693086800001</v>
      </c>
      <c r="U2524">
        <v>0</v>
      </c>
      <c r="V2524">
        <v>0</v>
      </c>
    </row>
    <row r="2525" spans="1:22" x14ac:dyDescent="0.2">
      <c r="A2525"/>
      <c r="B2525">
        <v>52027</v>
      </c>
      <c r="C2525" t="s">
        <v>2199</v>
      </c>
      <c r="D2525" t="s">
        <v>192</v>
      </c>
      <c r="E2525" t="s">
        <v>1272</v>
      </c>
      <c r="F2525" t="s">
        <v>2062</v>
      </c>
      <c r="G2525">
        <v>56.09</v>
      </c>
      <c r="H2525" t="s">
        <v>248</v>
      </c>
      <c r="Q2525">
        <v>2385.04370367</v>
      </c>
      <c r="R2525">
        <v>31420.713856099999</v>
      </c>
      <c r="S2525">
        <v>-27.6671178842</v>
      </c>
      <c r="T2525">
        <v>142.171189701</v>
      </c>
      <c r="U2525">
        <v>0</v>
      </c>
      <c r="V2525">
        <v>0</v>
      </c>
    </row>
    <row r="2526" spans="1:22" x14ac:dyDescent="0.2">
      <c r="A2526"/>
      <c r="B2526">
        <v>52027</v>
      </c>
      <c r="C2526" t="s">
        <v>2199</v>
      </c>
      <c r="D2526" t="s">
        <v>192</v>
      </c>
      <c r="E2526" t="s">
        <v>1272</v>
      </c>
      <c r="F2526" t="s">
        <v>2062</v>
      </c>
      <c r="G2526">
        <v>156.52000000000001</v>
      </c>
      <c r="H2526" t="s">
        <v>248</v>
      </c>
      <c r="Q2526">
        <v>2385.04370367</v>
      </c>
      <c r="R2526">
        <v>31420.713856099999</v>
      </c>
      <c r="S2526">
        <v>-27.6671178842</v>
      </c>
      <c r="T2526">
        <v>142.171189701</v>
      </c>
      <c r="U2526">
        <v>0</v>
      </c>
      <c r="V2526">
        <v>0</v>
      </c>
    </row>
    <row r="2527" spans="1:22" x14ac:dyDescent="0.2">
      <c r="A2527"/>
      <c r="B2527">
        <v>52028</v>
      </c>
      <c r="C2527" t="s">
        <v>2200</v>
      </c>
      <c r="D2527" t="s">
        <v>192</v>
      </c>
      <c r="E2527" t="s">
        <v>1272</v>
      </c>
      <c r="F2527" t="s">
        <v>2062</v>
      </c>
      <c r="G2527">
        <v>156.52000000000001</v>
      </c>
      <c r="H2527" t="s">
        <v>248</v>
      </c>
      <c r="Q2527">
        <v>2299.9438612700001</v>
      </c>
      <c r="R2527">
        <v>31473.692319400001</v>
      </c>
      <c r="S2527">
        <v>-28.907354383400001</v>
      </c>
      <c r="T2527">
        <v>154.02936324300001</v>
      </c>
      <c r="U2527">
        <v>0</v>
      </c>
      <c r="V2527">
        <v>0</v>
      </c>
    </row>
    <row r="2528" spans="1:22" x14ac:dyDescent="0.2">
      <c r="A2528"/>
      <c r="B2528">
        <v>52029</v>
      </c>
      <c r="C2528" t="s">
        <v>2201</v>
      </c>
      <c r="D2528" t="s">
        <v>192</v>
      </c>
      <c r="E2528" t="s">
        <v>1272</v>
      </c>
      <c r="F2528" t="s">
        <v>2197</v>
      </c>
      <c r="G2528">
        <v>75.569999999999993</v>
      </c>
      <c r="H2528" t="s">
        <v>248</v>
      </c>
      <c r="Q2528">
        <v>2365.15052195</v>
      </c>
      <c r="R2528">
        <v>31426.5033497</v>
      </c>
      <c r="S2528">
        <v>-27.926342376000001</v>
      </c>
      <c r="T2528">
        <v>149.03909451300001</v>
      </c>
      <c r="U2528">
        <v>0</v>
      </c>
      <c r="V2528">
        <v>0</v>
      </c>
    </row>
    <row r="2529" spans="1:22" x14ac:dyDescent="0.2">
      <c r="A2529"/>
      <c r="B2529">
        <v>52029</v>
      </c>
      <c r="C2529" t="s">
        <v>2201</v>
      </c>
      <c r="D2529" t="s">
        <v>192</v>
      </c>
      <c r="E2529" t="s">
        <v>1272</v>
      </c>
      <c r="F2529" t="s">
        <v>2056</v>
      </c>
      <c r="G2529">
        <v>60</v>
      </c>
      <c r="H2529" t="s">
        <v>248</v>
      </c>
      <c r="Q2529">
        <v>2365.15052195</v>
      </c>
      <c r="R2529">
        <v>31426.5033497</v>
      </c>
      <c r="S2529">
        <v>-27.926342376000001</v>
      </c>
      <c r="T2529">
        <v>149.03909451300001</v>
      </c>
      <c r="U2529">
        <v>0</v>
      </c>
      <c r="V2529">
        <v>0</v>
      </c>
    </row>
    <row r="2530" spans="1:22" x14ac:dyDescent="0.2">
      <c r="A2530"/>
      <c r="B2530">
        <v>52029</v>
      </c>
      <c r="C2530" t="s">
        <v>2201</v>
      </c>
      <c r="D2530" t="s">
        <v>192</v>
      </c>
      <c r="E2530" t="s">
        <v>1272</v>
      </c>
      <c r="F2530" t="s">
        <v>2050</v>
      </c>
      <c r="G2530">
        <v>60</v>
      </c>
      <c r="H2530" t="s">
        <v>248</v>
      </c>
      <c r="Q2530">
        <v>2365.15052195</v>
      </c>
      <c r="R2530">
        <v>31426.5033497</v>
      </c>
      <c r="S2530">
        <v>-27.926342376000001</v>
      </c>
      <c r="T2530">
        <v>149.03909451300001</v>
      </c>
      <c r="U2530">
        <v>0</v>
      </c>
      <c r="V2530">
        <v>0</v>
      </c>
    </row>
    <row r="2531" spans="1:22" x14ac:dyDescent="0.2">
      <c r="A2531"/>
      <c r="B2531">
        <v>52030</v>
      </c>
      <c r="C2531" t="s">
        <v>2202</v>
      </c>
      <c r="D2531" t="s">
        <v>192</v>
      </c>
      <c r="E2531" t="s">
        <v>1272</v>
      </c>
      <c r="F2531" t="s">
        <v>2050</v>
      </c>
      <c r="G2531">
        <v>60</v>
      </c>
      <c r="H2531" t="s">
        <v>248</v>
      </c>
      <c r="Q2531">
        <v>2293.1420144899998</v>
      </c>
      <c r="R2531">
        <v>31467.007883400001</v>
      </c>
      <c r="S2531">
        <v>-28.9538368752</v>
      </c>
      <c r="T2531">
        <v>155.035614568</v>
      </c>
      <c r="U2531">
        <v>0</v>
      </c>
      <c r="V2531">
        <v>0</v>
      </c>
    </row>
    <row r="2532" spans="1:22" x14ac:dyDescent="0.2">
      <c r="A2532"/>
      <c r="B2532">
        <v>52031</v>
      </c>
      <c r="C2532" t="s">
        <v>2203</v>
      </c>
      <c r="D2532" t="s">
        <v>192</v>
      </c>
      <c r="E2532" t="s">
        <v>1272</v>
      </c>
      <c r="F2532" t="s">
        <v>2198</v>
      </c>
      <c r="G2532">
        <v>64.930000000000007</v>
      </c>
      <c r="H2532" t="s">
        <v>248</v>
      </c>
      <c r="Q2532">
        <v>2363.1384631199999</v>
      </c>
      <c r="R2532">
        <v>31421.5105969</v>
      </c>
      <c r="S2532">
        <v>-27.912507115299999</v>
      </c>
      <c r="T2532">
        <v>149.866242296</v>
      </c>
      <c r="U2532">
        <v>0</v>
      </c>
      <c r="V2532">
        <v>0</v>
      </c>
    </row>
    <row r="2533" spans="1:22" x14ac:dyDescent="0.2">
      <c r="A2533"/>
      <c r="B2533">
        <v>52031</v>
      </c>
      <c r="C2533" t="s">
        <v>2203</v>
      </c>
      <c r="D2533" t="s">
        <v>192</v>
      </c>
      <c r="E2533" t="s">
        <v>1272</v>
      </c>
      <c r="F2533" t="s">
        <v>2044</v>
      </c>
      <c r="G2533">
        <v>70</v>
      </c>
      <c r="H2533" t="s">
        <v>248</v>
      </c>
      <c r="Q2533">
        <v>2363.1384631199999</v>
      </c>
      <c r="R2533">
        <v>31421.5105969</v>
      </c>
      <c r="S2533">
        <v>-27.912507115299999</v>
      </c>
      <c r="T2533">
        <v>149.866242296</v>
      </c>
      <c r="U2533">
        <v>0</v>
      </c>
      <c r="V2533">
        <v>0</v>
      </c>
    </row>
    <row r="2534" spans="1:22" x14ac:dyDescent="0.2">
      <c r="A2534"/>
      <c r="B2534">
        <v>52031</v>
      </c>
      <c r="C2534" t="s">
        <v>2203</v>
      </c>
      <c r="D2534" t="s">
        <v>192</v>
      </c>
      <c r="E2534" t="s">
        <v>1272</v>
      </c>
      <c r="F2534" t="s">
        <v>2038</v>
      </c>
      <c r="G2534">
        <v>62</v>
      </c>
      <c r="H2534" t="s">
        <v>248</v>
      </c>
      <c r="Q2534">
        <v>2363.1384631199999</v>
      </c>
      <c r="R2534">
        <v>31421.5105969</v>
      </c>
      <c r="S2534">
        <v>-27.912507115299999</v>
      </c>
      <c r="T2534">
        <v>149.866242296</v>
      </c>
      <c r="U2534">
        <v>0</v>
      </c>
      <c r="V2534">
        <v>0</v>
      </c>
    </row>
    <row r="2535" spans="1:22" x14ac:dyDescent="0.2">
      <c r="A2535"/>
      <c r="B2535">
        <v>52032</v>
      </c>
      <c r="C2535" t="s">
        <v>2204</v>
      </c>
      <c r="D2535" t="s">
        <v>192</v>
      </c>
      <c r="E2535" t="s">
        <v>1272</v>
      </c>
      <c r="F2535" t="s">
        <v>2044</v>
      </c>
      <c r="G2535">
        <v>70</v>
      </c>
      <c r="H2535" t="s">
        <v>248</v>
      </c>
      <c r="Q2535">
        <v>2287.6183884699999</v>
      </c>
      <c r="R2535">
        <v>31464.430509000002</v>
      </c>
      <c r="S2535">
        <v>-29.0048757046</v>
      </c>
      <c r="T2535">
        <v>156.34092800299999</v>
      </c>
      <c r="U2535">
        <v>0</v>
      </c>
      <c r="V2535">
        <v>0</v>
      </c>
    </row>
    <row r="2536" spans="1:22" x14ac:dyDescent="0.2">
      <c r="A2536"/>
      <c r="B2536">
        <v>52033</v>
      </c>
      <c r="C2536" t="s">
        <v>2205</v>
      </c>
      <c r="D2536" t="s">
        <v>192</v>
      </c>
      <c r="E2536" t="s">
        <v>1272</v>
      </c>
      <c r="F2536" t="s">
        <v>2038</v>
      </c>
      <c r="G2536">
        <v>62</v>
      </c>
      <c r="H2536" t="s">
        <v>248</v>
      </c>
      <c r="Q2536">
        <v>2292.6952032700001</v>
      </c>
      <c r="R2536">
        <v>31457.035525800002</v>
      </c>
      <c r="S2536">
        <v>-28.910529392299999</v>
      </c>
      <c r="T2536">
        <v>156.14128843399999</v>
      </c>
      <c r="U2536">
        <v>0</v>
      </c>
      <c r="V2536">
        <v>0</v>
      </c>
    </row>
    <row r="2537" spans="1:22" x14ac:dyDescent="0.2">
      <c r="A2537"/>
      <c r="B2537">
        <v>52034</v>
      </c>
      <c r="C2537" t="s">
        <v>2206</v>
      </c>
      <c r="D2537" t="s">
        <v>192</v>
      </c>
      <c r="E2537" t="s">
        <v>1272</v>
      </c>
      <c r="F2537" t="s">
        <v>2030</v>
      </c>
      <c r="G2537">
        <v>50.36</v>
      </c>
      <c r="H2537" t="s">
        <v>248</v>
      </c>
      <c r="Q2537">
        <v>2373.4631885700001</v>
      </c>
      <c r="R2537">
        <v>31409.934201</v>
      </c>
      <c r="S2537">
        <v>-27.744620321100001</v>
      </c>
      <c r="T2537">
        <v>156.06070764899999</v>
      </c>
      <c r="U2537">
        <v>0</v>
      </c>
      <c r="V2537">
        <v>0</v>
      </c>
    </row>
    <row r="2538" spans="1:22" x14ac:dyDescent="0.2">
      <c r="A2538"/>
      <c r="B2538">
        <v>52034</v>
      </c>
      <c r="C2538" t="s">
        <v>2206</v>
      </c>
      <c r="D2538" t="s">
        <v>192</v>
      </c>
      <c r="E2538" t="s">
        <v>1272</v>
      </c>
      <c r="F2538" t="s">
        <v>2030</v>
      </c>
      <c r="G2538">
        <v>149.37</v>
      </c>
      <c r="H2538" t="s">
        <v>248</v>
      </c>
      <c r="Q2538">
        <v>2373.4631885700001</v>
      </c>
      <c r="R2538">
        <v>31409.934201</v>
      </c>
      <c r="S2538">
        <v>-27.744620321100001</v>
      </c>
      <c r="T2538">
        <v>156.06070764899999</v>
      </c>
      <c r="U2538">
        <v>0</v>
      </c>
      <c r="V2538">
        <v>0</v>
      </c>
    </row>
    <row r="2539" spans="1:22" x14ac:dyDescent="0.2">
      <c r="A2539"/>
      <c r="B2539">
        <v>52035</v>
      </c>
      <c r="C2539" t="s">
        <v>2207</v>
      </c>
      <c r="D2539" t="s">
        <v>192</v>
      </c>
      <c r="E2539" t="s">
        <v>1272</v>
      </c>
      <c r="F2539" t="s">
        <v>2030</v>
      </c>
      <c r="G2539">
        <v>149.37</v>
      </c>
      <c r="H2539" t="s">
        <v>248</v>
      </c>
      <c r="Q2539">
        <v>2285.2094528900002</v>
      </c>
      <c r="R2539">
        <v>31454.690536599999</v>
      </c>
      <c r="S2539">
        <v>-28.977270004000001</v>
      </c>
      <c r="T2539">
        <v>153.428006251</v>
      </c>
      <c r="U2539">
        <v>0</v>
      </c>
      <c r="V2539">
        <v>0</v>
      </c>
    </row>
    <row r="2540" spans="1:22" x14ac:dyDescent="0.2">
      <c r="A2540"/>
      <c r="B2540">
        <v>52036</v>
      </c>
      <c r="C2540" t="s">
        <v>2208</v>
      </c>
      <c r="D2540" t="s">
        <v>192</v>
      </c>
      <c r="E2540" t="s">
        <v>1272</v>
      </c>
      <c r="F2540" t="s">
        <v>1911</v>
      </c>
      <c r="G2540">
        <v>101.78</v>
      </c>
      <c r="H2540" t="s">
        <v>248</v>
      </c>
      <c r="Q2540">
        <v>2384.9793957100001</v>
      </c>
      <c r="R2540">
        <v>31394.303000399999</v>
      </c>
      <c r="S2540">
        <v>-27.537289347200002</v>
      </c>
      <c r="T2540">
        <v>155.61991784599999</v>
      </c>
      <c r="U2540">
        <v>0</v>
      </c>
      <c r="V2540">
        <v>0</v>
      </c>
    </row>
    <row r="2541" spans="1:22" x14ac:dyDescent="0.2">
      <c r="A2541"/>
      <c r="B2541">
        <v>52036</v>
      </c>
      <c r="C2541" t="s">
        <v>2208</v>
      </c>
      <c r="D2541" t="s">
        <v>192</v>
      </c>
      <c r="E2541" t="s">
        <v>1272</v>
      </c>
      <c r="F2541" t="s">
        <v>2022</v>
      </c>
      <c r="G2541">
        <v>47.23</v>
      </c>
      <c r="H2541" t="s">
        <v>248</v>
      </c>
      <c r="Q2541">
        <v>2384.9793957100001</v>
      </c>
      <c r="R2541">
        <v>31394.303000399999</v>
      </c>
      <c r="S2541">
        <v>-27.537289347200002</v>
      </c>
      <c r="T2541">
        <v>155.61991784599999</v>
      </c>
      <c r="U2541">
        <v>0</v>
      </c>
      <c r="V2541">
        <v>0</v>
      </c>
    </row>
    <row r="2542" spans="1:22" x14ac:dyDescent="0.2">
      <c r="A2542"/>
      <c r="B2542">
        <v>52036</v>
      </c>
      <c r="C2542" t="s">
        <v>2208</v>
      </c>
      <c r="D2542" t="s">
        <v>192</v>
      </c>
      <c r="E2542" t="s">
        <v>1272</v>
      </c>
      <c r="F2542" t="s">
        <v>2016</v>
      </c>
      <c r="G2542">
        <v>47.23</v>
      </c>
      <c r="H2542" t="s">
        <v>248</v>
      </c>
      <c r="Q2542">
        <v>2384.9793957100001</v>
      </c>
      <c r="R2542">
        <v>31394.303000399999</v>
      </c>
      <c r="S2542">
        <v>-27.537289347200002</v>
      </c>
      <c r="T2542">
        <v>155.61991784599999</v>
      </c>
      <c r="U2542">
        <v>0</v>
      </c>
      <c r="V2542">
        <v>0</v>
      </c>
    </row>
    <row r="2543" spans="1:22" x14ac:dyDescent="0.2">
      <c r="A2543"/>
      <c r="B2543">
        <v>52037</v>
      </c>
      <c r="C2543" t="s">
        <v>2209</v>
      </c>
      <c r="D2543" t="s">
        <v>192</v>
      </c>
      <c r="E2543" t="s">
        <v>1272</v>
      </c>
      <c r="F2543" t="s">
        <v>2022</v>
      </c>
      <c r="G2543">
        <v>47.23</v>
      </c>
      <c r="H2543" t="s">
        <v>248</v>
      </c>
      <c r="Q2543">
        <v>2287.0436457999999</v>
      </c>
      <c r="R2543">
        <v>31446.4999718</v>
      </c>
      <c r="S2543">
        <v>-28.9238256595</v>
      </c>
      <c r="T2543">
        <v>151.17378380400001</v>
      </c>
      <c r="U2543">
        <v>0</v>
      </c>
      <c r="V2543">
        <v>0</v>
      </c>
    </row>
    <row r="2544" spans="1:22" x14ac:dyDescent="0.2">
      <c r="A2544"/>
      <c r="B2544">
        <v>52038</v>
      </c>
      <c r="C2544" t="s">
        <v>2210</v>
      </c>
      <c r="D2544" t="s">
        <v>192</v>
      </c>
      <c r="E2544" t="s">
        <v>1272</v>
      </c>
      <c r="F2544" t="s">
        <v>2016</v>
      </c>
      <c r="G2544">
        <v>47.23</v>
      </c>
      <c r="H2544" t="s">
        <v>248</v>
      </c>
      <c r="Q2544">
        <v>2284.7034809500001</v>
      </c>
      <c r="R2544">
        <v>31442.4400537</v>
      </c>
      <c r="S2544">
        <v>-28.9132433736</v>
      </c>
      <c r="T2544">
        <v>153.70277270599999</v>
      </c>
      <c r="U2544">
        <v>0</v>
      </c>
      <c r="V2544">
        <v>0</v>
      </c>
    </row>
    <row r="2545" spans="1:22" x14ac:dyDescent="0.2">
      <c r="A2545"/>
      <c r="B2545">
        <v>52039</v>
      </c>
      <c r="C2545" t="s">
        <v>2211</v>
      </c>
      <c r="D2545" t="s">
        <v>192</v>
      </c>
      <c r="E2545" t="s">
        <v>1272</v>
      </c>
      <c r="F2545" t="s">
        <v>2011</v>
      </c>
      <c r="G2545">
        <v>58.16</v>
      </c>
      <c r="H2545" t="s">
        <v>248</v>
      </c>
      <c r="Q2545">
        <v>2240.9939424899999</v>
      </c>
      <c r="R2545">
        <v>31457.082933999998</v>
      </c>
      <c r="S2545">
        <v>-29.499322466900001</v>
      </c>
      <c r="T2545">
        <v>156.70186962899999</v>
      </c>
      <c r="U2545">
        <v>0</v>
      </c>
      <c r="V2545">
        <v>0</v>
      </c>
    </row>
    <row r="2546" spans="1:22" x14ac:dyDescent="0.2">
      <c r="A2546"/>
      <c r="B2546">
        <v>52040</v>
      </c>
      <c r="C2546" t="s">
        <v>2212</v>
      </c>
      <c r="D2546" t="s">
        <v>192</v>
      </c>
      <c r="E2546" t="s">
        <v>1272</v>
      </c>
      <c r="F2546" t="s">
        <v>2005</v>
      </c>
      <c r="G2546">
        <v>51.68</v>
      </c>
      <c r="H2546" t="s">
        <v>248</v>
      </c>
      <c r="Q2546">
        <v>2244.8516200600002</v>
      </c>
      <c r="R2546">
        <v>31450.468609899999</v>
      </c>
      <c r="S2546">
        <v>-29.411566755500001</v>
      </c>
      <c r="T2546">
        <v>156.907075443</v>
      </c>
      <c r="U2546">
        <v>0</v>
      </c>
      <c r="V2546">
        <v>0</v>
      </c>
    </row>
    <row r="2547" spans="1:22" x14ac:dyDescent="0.2">
      <c r="A2547"/>
      <c r="B2547">
        <v>52041</v>
      </c>
      <c r="C2547" t="s">
        <v>2213</v>
      </c>
      <c r="D2547" t="s">
        <v>192</v>
      </c>
      <c r="E2547" t="s">
        <v>1272</v>
      </c>
      <c r="F2547" t="s">
        <v>2000</v>
      </c>
      <c r="G2547">
        <v>60.85</v>
      </c>
      <c r="H2547" t="s">
        <v>248</v>
      </c>
      <c r="Q2547">
        <v>2204.0668781300001</v>
      </c>
      <c r="R2547">
        <v>31452.3694019</v>
      </c>
      <c r="S2547">
        <v>-29.900768658299999</v>
      </c>
      <c r="T2547">
        <v>158.60839059899999</v>
      </c>
      <c r="U2547">
        <v>0</v>
      </c>
      <c r="V2547">
        <v>0</v>
      </c>
    </row>
    <row r="2548" spans="1:22" x14ac:dyDescent="0.2">
      <c r="A2548"/>
      <c r="B2548">
        <v>52042</v>
      </c>
      <c r="C2548" t="s">
        <v>2214</v>
      </c>
      <c r="D2548" t="s">
        <v>192</v>
      </c>
      <c r="E2548" t="s">
        <v>1272</v>
      </c>
      <c r="F2548" t="s">
        <v>1995</v>
      </c>
      <c r="G2548">
        <v>81.739999999999995</v>
      </c>
      <c r="H2548" t="s">
        <v>248</v>
      </c>
      <c r="Q2548">
        <v>2212.6328175100002</v>
      </c>
      <c r="R2548">
        <v>31443.999127200001</v>
      </c>
      <c r="S2548">
        <v>-29.7702548681</v>
      </c>
      <c r="T2548">
        <v>160.599813539</v>
      </c>
      <c r="U2548">
        <v>0</v>
      </c>
      <c r="V2548">
        <v>0</v>
      </c>
    </row>
    <row r="2549" spans="1:22" x14ac:dyDescent="0.2">
      <c r="A2549"/>
      <c r="B2549">
        <v>52043</v>
      </c>
      <c r="C2549" t="s">
        <v>2215</v>
      </c>
      <c r="D2549" t="s">
        <v>192</v>
      </c>
      <c r="E2549" t="s">
        <v>1272</v>
      </c>
      <c r="F2549" t="s">
        <v>1990</v>
      </c>
      <c r="G2549">
        <v>65.69</v>
      </c>
      <c r="H2549" t="s">
        <v>248</v>
      </c>
      <c r="Q2549">
        <v>2205.2798664799998</v>
      </c>
      <c r="R2549">
        <v>31441.3642932</v>
      </c>
      <c r="S2549">
        <v>-29.8332223486</v>
      </c>
      <c r="T2549">
        <v>159.69636720899999</v>
      </c>
      <c r="U2549">
        <v>0</v>
      </c>
      <c r="V2549">
        <v>0</v>
      </c>
    </row>
    <row r="2550" spans="1:22" x14ac:dyDescent="0.2">
      <c r="A2550"/>
      <c r="B2550">
        <v>52044</v>
      </c>
      <c r="C2550" t="s">
        <v>2216</v>
      </c>
      <c r="D2550" t="s">
        <v>192</v>
      </c>
      <c r="E2550" t="s">
        <v>1272</v>
      </c>
      <c r="F2550" t="s">
        <v>1985</v>
      </c>
      <c r="G2550">
        <v>66.61</v>
      </c>
      <c r="H2550" t="s">
        <v>248</v>
      </c>
      <c r="Q2550">
        <v>2203.3478947799999</v>
      </c>
      <c r="R2550">
        <v>31437.245705000001</v>
      </c>
      <c r="S2550">
        <v>-29.8378442309</v>
      </c>
      <c r="T2550">
        <v>157.464480796</v>
      </c>
      <c r="U2550">
        <v>0</v>
      </c>
      <c r="V2550">
        <v>0</v>
      </c>
    </row>
    <row r="2551" spans="1:22" x14ac:dyDescent="0.2">
      <c r="A2551"/>
      <c r="B2551">
        <v>52045</v>
      </c>
      <c r="C2551" t="s">
        <v>2217</v>
      </c>
      <c r="D2551" t="s">
        <v>192</v>
      </c>
      <c r="E2551" t="s">
        <v>1272</v>
      </c>
      <c r="F2551" t="s">
        <v>1966</v>
      </c>
      <c r="G2551">
        <v>45.32</v>
      </c>
      <c r="H2551" t="s">
        <v>248</v>
      </c>
      <c r="Q2551">
        <v>2204.7956732299999</v>
      </c>
      <c r="R2551">
        <v>31431.836698399999</v>
      </c>
      <c r="S2551">
        <v>-29.789978640499999</v>
      </c>
      <c r="T2551">
        <v>159.88528882400001</v>
      </c>
      <c r="U2551">
        <v>0</v>
      </c>
      <c r="V2551">
        <v>0</v>
      </c>
    </row>
    <row r="2552" spans="1:22" x14ac:dyDescent="0.2">
      <c r="A2552"/>
      <c r="B2552">
        <v>52045</v>
      </c>
      <c r="C2552" t="s">
        <v>2217</v>
      </c>
      <c r="D2552" t="s">
        <v>192</v>
      </c>
      <c r="E2552" t="s">
        <v>1272</v>
      </c>
      <c r="F2552" t="s">
        <v>1966</v>
      </c>
      <c r="G2552">
        <v>60</v>
      </c>
      <c r="H2552" t="s">
        <v>248</v>
      </c>
      <c r="Q2552">
        <v>2204.7956732299999</v>
      </c>
      <c r="R2552">
        <v>31431.836698399999</v>
      </c>
      <c r="S2552">
        <v>-29.789978640499999</v>
      </c>
      <c r="T2552">
        <v>159.88528882400001</v>
      </c>
      <c r="U2552">
        <v>0</v>
      </c>
      <c r="V2552">
        <v>0</v>
      </c>
    </row>
    <row r="2553" spans="1:22" x14ac:dyDescent="0.2">
      <c r="A2553"/>
      <c r="B2553">
        <v>52046</v>
      </c>
      <c r="C2553" t="s">
        <v>2218</v>
      </c>
      <c r="D2553" t="s">
        <v>192</v>
      </c>
      <c r="E2553" t="s">
        <v>1272</v>
      </c>
      <c r="F2553" t="s">
        <v>2176</v>
      </c>
      <c r="G2553">
        <v>35.69</v>
      </c>
      <c r="H2553" t="s">
        <v>248</v>
      </c>
      <c r="Q2553">
        <v>2261.4707056900002</v>
      </c>
      <c r="R2553">
        <v>31421.0063138</v>
      </c>
      <c r="S2553">
        <v>-29.083346238600001</v>
      </c>
      <c r="T2553">
        <v>173.82855022800001</v>
      </c>
      <c r="U2553">
        <v>0</v>
      </c>
      <c r="V2553">
        <v>0</v>
      </c>
    </row>
    <row r="2554" spans="1:22" x14ac:dyDescent="0.2">
      <c r="A2554"/>
      <c r="B2554">
        <v>52046</v>
      </c>
      <c r="C2554" t="s">
        <v>2218</v>
      </c>
      <c r="D2554" t="s">
        <v>192</v>
      </c>
      <c r="E2554" t="s">
        <v>1272</v>
      </c>
      <c r="F2554" t="s">
        <v>1966</v>
      </c>
      <c r="G2554">
        <v>60</v>
      </c>
      <c r="H2554" t="s">
        <v>248</v>
      </c>
      <c r="Q2554">
        <v>2261.4707056900002</v>
      </c>
      <c r="R2554">
        <v>31421.0063138</v>
      </c>
      <c r="S2554">
        <v>-29.083346238600001</v>
      </c>
      <c r="T2554">
        <v>173.82855022800001</v>
      </c>
      <c r="U2554">
        <v>0</v>
      </c>
      <c r="V2554">
        <v>0</v>
      </c>
    </row>
    <row r="2555" spans="1:22" x14ac:dyDescent="0.2">
      <c r="A2555"/>
      <c r="B2555">
        <v>52046</v>
      </c>
      <c r="C2555" t="s">
        <v>2218</v>
      </c>
      <c r="D2555" t="s">
        <v>192</v>
      </c>
      <c r="E2555" t="s">
        <v>1272</v>
      </c>
      <c r="F2555" t="s">
        <v>2132</v>
      </c>
      <c r="G2555">
        <v>53.95</v>
      </c>
      <c r="H2555" t="s">
        <v>248</v>
      </c>
      <c r="Q2555">
        <v>2261.4707056900002</v>
      </c>
      <c r="R2555">
        <v>31421.0063138</v>
      </c>
      <c r="S2555">
        <v>-29.083346238600001</v>
      </c>
      <c r="T2555">
        <v>173.82855022800001</v>
      </c>
      <c r="U2555">
        <v>0</v>
      </c>
      <c r="V2555">
        <v>0</v>
      </c>
    </row>
    <row r="2556" spans="1:22" x14ac:dyDescent="0.2">
      <c r="A2556"/>
      <c r="B2556">
        <v>52046</v>
      </c>
      <c r="C2556" t="s">
        <v>2218</v>
      </c>
      <c r="D2556" t="s">
        <v>192</v>
      </c>
      <c r="E2556" t="s">
        <v>1272</v>
      </c>
      <c r="F2556" t="s">
        <v>2134</v>
      </c>
      <c r="G2556">
        <v>49.14</v>
      </c>
      <c r="H2556" t="s">
        <v>248</v>
      </c>
      <c r="Q2556">
        <v>2261.4707056900002</v>
      </c>
      <c r="R2556">
        <v>31421.0063138</v>
      </c>
      <c r="S2556">
        <v>-29.083346238600001</v>
      </c>
      <c r="T2556">
        <v>173.82855022800001</v>
      </c>
      <c r="U2556">
        <v>0</v>
      </c>
      <c r="V2556">
        <v>0</v>
      </c>
    </row>
    <row r="2557" spans="1:22" x14ac:dyDescent="0.2">
      <c r="A2557"/>
      <c r="B2557">
        <v>52047</v>
      </c>
      <c r="C2557" t="s">
        <v>2219</v>
      </c>
      <c r="D2557" t="s">
        <v>192</v>
      </c>
      <c r="E2557" t="s">
        <v>1272</v>
      </c>
      <c r="F2557" t="s">
        <v>2132</v>
      </c>
      <c r="G2557">
        <v>53.95</v>
      </c>
      <c r="H2557" t="s">
        <v>248</v>
      </c>
      <c r="Q2557">
        <v>2176.2387781100001</v>
      </c>
      <c r="R2557">
        <v>31434.014405400001</v>
      </c>
      <c r="S2557">
        <v>-30.121305771399999</v>
      </c>
      <c r="T2557">
        <v>157.55058138199999</v>
      </c>
      <c r="U2557">
        <v>0</v>
      </c>
      <c r="V2557">
        <v>0</v>
      </c>
    </row>
    <row r="2558" spans="1:22" x14ac:dyDescent="0.2">
      <c r="A2558"/>
      <c r="B2558">
        <v>52047</v>
      </c>
      <c r="C2558" t="s">
        <v>2219</v>
      </c>
      <c r="D2558" t="s">
        <v>192</v>
      </c>
      <c r="E2558" t="s">
        <v>1272</v>
      </c>
      <c r="F2558" t="s">
        <v>2132</v>
      </c>
      <c r="G2558">
        <v>78.95</v>
      </c>
      <c r="H2558" t="s">
        <v>248</v>
      </c>
      <c r="Q2558">
        <v>2176.2387781100001</v>
      </c>
      <c r="R2558">
        <v>31434.014405400001</v>
      </c>
      <c r="S2558">
        <v>-30.121305771399999</v>
      </c>
      <c r="T2558">
        <v>157.55058138199999</v>
      </c>
      <c r="U2558">
        <v>0</v>
      </c>
      <c r="V2558">
        <v>0</v>
      </c>
    </row>
    <row r="2559" spans="1:22" x14ac:dyDescent="0.2">
      <c r="A2559"/>
      <c r="B2559">
        <v>52048</v>
      </c>
      <c r="C2559" t="s">
        <v>2220</v>
      </c>
      <c r="D2559" t="s">
        <v>192</v>
      </c>
      <c r="E2559" t="s">
        <v>1272</v>
      </c>
      <c r="F2559" t="s">
        <v>2132</v>
      </c>
      <c r="G2559">
        <v>78.95</v>
      </c>
      <c r="H2559" t="s">
        <v>248</v>
      </c>
      <c r="Q2559">
        <v>2153.1378775799999</v>
      </c>
      <c r="R2559">
        <v>31443.5667908</v>
      </c>
      <c r="S2559">
        <v>-30.438003276</v>
      </c>
      <c r="T2559">
        <v>157.50772148900001</v>
      </c>
      <c r="U2559">
        <v>0</v>
      </c>
      <c r="V2559">
        <v>0</v>
      </c>
    </row>
    <row r="2560" spans="1:22" x14ac:dyDescent="0.2">
      <c r="A2560"/>
      <c r="B2560">
        <v>52049</v>
      </c>
      <c r="C2560" t="s">
        <v>2221</v>
      </c>
      <c r="D2560" t="s">
        <v>192</v>
      </c>
      <c r="E2560" t="s">
        <v>1272</v>
      </c>
      <c r="F2560" t="s">
        <v>2134</v>
      </c>
      <c r="G2560">
        <v>49.14</v>
      </c>
      <c r="H2560" t="s">
        <v>248</v>
      </c>
      <c r="Q2560">
        <v>2179.44356866</v>
      </c>
      <c r="R2560">
        <v>31423.419469199998</v>
      </c>
      <c r="S2560">
        <v>-30.045031374299999</v>
      </c>
      <c r="T2560">
        <v>172.06673351200001</v>
      </c>
      <c r="U2560">
        <v>0</v>
      </c>
      <c r="V2560">
        <v>0</v>
      </c>
    </row>
    <row r="2561" spans="1:22" x14ac:dyDescent="0.2">
      <c r="A2561"/>
      <c r="B2561">
        <v>52049</v>
      </c>
      <c r="C2561" t="s">
        <v>2221</v>
      </c>
      <c r="D2561" t="s">
        <v>192</v>
      </c>
      <c r="E2561" t="s">
        <v>1272</v>
      </c>
      <c r="F2561" t="s">
        <v>2134</v>
      </c>
      <c r="G2561">
        <v>87.09</v>
      </c>
      <c r="H2561" t="s">
        <v>248</v>
      </c>
      <c r="Q2561">
        <v>2179.44356866</v>
      </c>
      <c r="R2561">
        <v>31423.419469199998</v>
      </c>
      <c r="S2561">
        <v>-30.045031374299999</v>
      </c>
      <c r="T2561">
        <v>172.06673351200001</v>
      </c>
      <c r="U2561">
        <v>0</v>
      </c>
      <c r="V2561">
        <v>0</v>
      </c>
    </row>
    <row r="2562" spans="1:22" x14ac:dyDescent="0.2">
      <c r="A2562"/>
      <c r="B2562">
        <v>52050</v>
      </c>
      <c r="C2562" t="s">
        <v>2222</v>
      </c>
      <c r="D2562" t="s">
        <v>192</v>
      </c>
      <c r="E2562" t="s">
        <v>1272</v>
      </c>
      <c r="F2562" t="s">
        <v>2134</v>
      </c>
      <c r="G2562">
        <v>87.09</v>
      </c>
      <c r="H2562" t="s">
        <v>248</v>
      </c>
      <c r="Q2562">
        <v>2142.8121301299998</v>
      </c>
      <c r="R2562">
        <v>31432.980714500001</v>
      </c>
      <c r="S2562">
        <v>-30.510567977299999</v>
      </c>
      <c r="T2562">
        <v>158.87757257499999</v>
      </c>
      <c r="U2562">
        <v>0</v>
      </c>
      <c r="V2562">
        <v>0</v>
      </c>
    </row>
    <row r="2563" spans="1:22" x14ac:dyDescent="0.2">
      <c r="A2563"/>
      <c r="B2563">
        <v>52051</v>
      </c>
      <c r="C2563" t="s">
        <v>2223</v>
      </c>
      <c r="D2563" t="s">
        <v>192</v>
      </c>
      <c r="E2563" t="s">
        <v>1272</v>
      </c>
      <c r="F2563" t="s">
        <v>2174</v>
      </c>
      <c r="G2563">
        <v>70.16</v>
      </c>
      <c r="H2563" t="s">
        <v>248</v>
      </c>
      <c r="Q2563">
        <v>2355.12733991</v>
      </c>
      <c r="R2563">
        <v>31378.446206500001</v>
      </c>
      <c r="S2563">
        <v>-27.804044057300001</v>
      </c>
      <c r="T2563">
        <v>175.12539454899999</v>
      </c>
      <c r="U2563">
        <v>0</v>
      </c>
      <c r="V2563">
        <v>0</v>
      </c>
    </row>
    <row r="2564" spans="1:22" x14ac:dyDescent="0.2">
      <c r="A2564"/>
      <c r="B2564">
        <v>52051</v>
      </c>
      <c r="C2564" t="s">
        <v>2223</v>
      </c>
      <c r="D2564" t="s">
        <v>192</v>
      </c>
      <c r="E2564" t="s">
        <v>1272</v>
      </c>
      <c r="F2564" t="s">
        <v>1977</v>
      </c>
      <c r="G2564">
        <v>48</v>
      </c>
      <c r="H2564" t="s">
        <v>248</v>
      </c>
      <c r="Q2564">
        <v>2355.12733991</v>
      </c>
      <c r="R2564">
        <v>31378.446206500001</v>
      </c>
      <c r="S2564">
        <v>-27.804044057300001</v>
      </c>
      <c r="T2564">
        <v>175.12539454899999</v>
      </c>
      <c r="U2564">
        <v>0</v>
      </c>
      <c r="V2564">
        <v>0</v>
      </c>
    </row>
    <row r="2565" spans="1:22" x14ac:dyDescent="0.2">
      <c r="A2565"/>
      <c r="B2565">
        <v>52051</v>
      </c>
      <c r="C2565" t="s">
        <v>2223</v>
      </c>
      <c r="D2565" t="s">
        <v>192</v>
      </c>
      <c r="E2565" t="s">
        <v>1272</v>
      </c>
      <c r="F2565" t="s">
        <v>1972</v>
      </c>
      <c r="G2565">
        <v>47</v>
      </c>
      <c r="H2565" t="s">
        <v>248</v>
      </c>
      <c r="Q2565">
        <v>2355.12733991</v>
      </c>
      <c r="R2565">
        <v>31378.446206500001</v>
      </c>
      <c r="S2565">
        <v>-27.804044057300001</v>
      </c>
      <c r="T2565">
        <v>175.12539454899999</v>
      </c>
      <c r="U2565">
        <v>0</v>
      </c>
      <c r="V2565">
        <v>0</v>
      </c>
    </row>
    <row r="2566" spans="1:22" x14ac:dyDescent="0.2">
      <c r="A2566"/>
      <c r="B2566">
        <v>52051</v>
      </c>
      <c r="C2566" t="s">
        <v>2223</v>
      </c>
      <c r="D2566" t="s">
        <v>192</v>
      </c>
      <c r="E2566" t="s">
        <v>1272</v>
      </c>
      <c r="F2566" t="s">
        <v>1965</v>
      </c>
      <c r="G2566">
        <v>62</v>
      </c>
      <c r="H2566" t="s">
        <v>248</v>
      </c>
      <c r="Q2566">
        <v>2355.12733991</v>
      </c>
      <c r="R2566">
        <v>31378.446206500001</v>
      </c>
      <c r="S2566">
        <v>-27.804044057300001</v>
      </c>
      <c r="T2566">
        <v>175.12539454899999</v>
      </c>
      <c r="U2566">
        <v>0</v>
      </c>
      <c r="V2566">
        <v>0</v>
      </c>
    </row>
    <row r="2567" spans="1:22" x14ac:dyDescent="0.2">
      <c r="A2567"/>
      <c r="B2567">
        <v>52051</v>
      </c>
      <c r="C2567" t="s">
        <v>2223</v>
      </c>
      <c r="D2567" t="s">
        <v>192</v>
      </c>
      <c r="E2567" t="s">
        <v>1272</v>
      </c>
      <c r="F2567" t="s">
        <v>2139</v>
      </c>
      <c r="G2567">
        <v>50</v>
      </c>
      <c r="H2567" t="s">
        <v>248</v>
      </c>
      <c r="Q2567">
        <v>2355.12733991</v>
      </c>
      <c r="R2567">
        <v>31378.446206500001</v>
      </c>
      <c r="S2567">
        <v>-27.804044057300001</v>
      </c>
      <c r="T2567">
        <v>175.12539454899999</v>
      </c>
      <c r="U2567">
        <v>0</v>
      </c>
      <c r="V2567">
        <v>0</v>
      </c>
    </row>
    <row r="2568" spans="1:22" x14ac:dyDescent="0.2">
      <c r="A2568"/>
      <c r="B2568">
        <v>52051</v>
      </c>
      <c r="C2568" t="s">
        <v>2223</v>
      </c>
      <c r="D2568" t="s">
        <v>192</v>
      </c>
      <c r="E2568" t="s">
        <v>1272</v>
      </c>
      <c r="F2568" t="s">
        <v>2141</v>
      </c>
      <c r="G2568">
        <v>48</v>
      </c>
      <c r="H2568" t="s">
        <v>248</v>
      </c>
      <c r="Q2568">
        <v>2355.12733991</v>
      </c>
      <c r="R2568">
        <v>31378.446206500001</v>
      </c>
      <c r="S2568">
        <v>-27.804044057300001</v>
      </c>
      <c r="T2568">
        <v>175.12539454899999</v>
      </c>
      <c r="U2568">
        <v>0</v>
      </c>
      <c r="V2568">
        <v>0</v>
      </c>
    </row>
    <row r="2569" spans="1:22" x14ac:dyDescent="0.2">
      <c r="A2569"/>
      <c r="B2569">
        <v>52052</v>
      </c>
      <c r="C2569" t="s">
        <v>2224</v>
      </c>
      <c r="D2569" t="s">
        <v>192</v>
      </c>
      <c r="E2569" t="s">
        <v>1272</v>
      </c>
      <c r="F2569" t="s">
        <v>1977</v>
      </c>
      <c r="G2569">
        <v>48</v>
      </c>
      <c r="H2569" t="s">
        <v>248</v>
      </c>
      <c r="Q2569">
        <v>2224.2885155499998</v>
      </c>
      <c r="R2569">
        <v>31371.413129799999</v>
      </c>
      <c r="S2569">
        <v>-29.2609636601</v>
      </c>
      <c r="T2569">
        <v>-171.49006311400001</v>
      </c>
      <c r="U2569">
        <v>0</v>
      </c>
      <c r="V2569">
        <v>0</v>
      </c>
    </row>
    <row r="2570" spans="1:22" x14ac:dyDescent="0.2">
      <c r="A2570"/>
      <c r="B2570">
        <v>52053</v>
      </c>
      <c r="C2570" t="s">
        <v>2225</v>
      </c>
      <c r="D2570" t="s">
        <v>192</v>
      </c>
      <c r="E2570" t="s">
        <v>1272</v>
      </c>
      <c r="F2570" t="s">
        <v>1972</v>
      </c>
      <c r="G2570">
        <v>47</v>
      </c>
      <c r="H2570" t="s">
        <v>248</v>
      </c>
      <c r="Q2570">
        <v>2225.7231278600002</v>
      </c>
      <c r="R2570">
        <v>31368.112440100002</v>
      </c>
      <c r="S2570">
        <v>-29.227297865899999</v>
      </c>
      <c r="T2570">
        <v>-166.35635915700001</v>
      </c>
      <c r="U2570">
        <v>0</v>
      </c>
      <c r="V2570">
        <v>0</v>
      </c>
    </row>
    <row r="2571" spans="1:22" x14ac:dyDescent="0.2">
      <c r="A2571"/>
      <c r="B2571">
        <v>52054</v>
      </c>
      <c r="C2571" t="s">
        <v>2226</v>
      </c>
      <c r="D2571" t="s">
        <v>192</v>
      </c>
      <c r="E2571" t="s">
        <v>1272</v>
      </c>
      <c r="F2571" t="s">
        <v>1965</v>
      </c>
      <c r="G2571">
        <v>62</v>
      </c>
      <c r="H2571" t="s">
        <v>248</v>
      </c>
      <c r="Q2571">
        <v>2239.01513682</v>
      </c>
      <c r="R2571">
        <v>31363.8059976</v>
      </c>
      <c r="S2571">
        <v>-29.0656093222</v>
      </c>
      <c r="T2571">
        <v>-165.42434820700001</v>
      </c>
      <c r="U2571">
        <v>0</v>
      </c>
      <c r="V2571">
        <v>0</v>
      </c>
    </row>
    <row r="2572" spans="1:22" x14ac:dyDescent="0.2">
      <c r="A2572"/>
      <c r="B2572">
        <v>52055</v>
      </c>
      <c r="C2572" t="s">
        <v>2227</v>
      </c>
      <c r="D2572" t="s">
        <v>192</v>
      </c>
      <c r="E2572" t="s">
        <v>1272</v>
      </c>
      <c r="F2572" t="s">
        <v>2139</v>
      </c>
      <c r="G2572">
        <v>50</v>
      </c>
      <c r="H2572" t="s">
        <v>248</v>
      </c>
      <c r="Q2572">
        <v>2247.00515606</v>
      </c>
      <c r="R2572">
        <v>31358.076571599999</v>
      </c>
      <c r="S2572">
        <v>-28.9463096524</v>
      </c>
      <c r="T2572">
        <v>-165.40171624499999</v>
      </c>
      <c r="U2572">
        <v>0</v>
      </c>
      <c r="V2572">
        <v>0</v>
      </c>
    </row>
    <row r="2573" spans="1:22" x14ac:dyDescent="0.2">
      <c r="A2573"/>
      <c r="B2573">
        <v>52056</v>
      </c>
      <c r="C2573" t="s">
        <v>2228</v>
      </c>
      <c r="D2573" t="s">
        <v>192</v>
      </c>
      <c r="E2573" t="s">
        <v>1272</v>
      </c>
      <c r="F2573" t="s">
        <v>2141</v>
      </c>
      <c r="G2573">
        <v>48</v>
      </c>
      <c r="H2573" t="s">
        <v>248</v>
      </c>
      <c r="Q2573">
        <v>2250.6757293800001</v>
      </c>
      <c r="R2573">
        <v>31353.349932100002</v>
      </c>
      <c r="S2573">
        <v>-28.877963044000001</v>
      </c>
      <c r="T2573">
        <v>-157.79487191999999</v>
      </c>
      <c r="U2573">
        <v>0</v>
      </c>
      <c r="V2573">
        <v>0</v>
      </c>
    </row>
    <row r="2574" spans="1:22" x14ac:dyDescent="0.2">
      <c r="A2574"/>
      <c r="B2574">
        <v>53000</v>
      </c>
      <c r="C2574" t="s">
        <v>2229</v>
      </c>
      <c r="D2574" t="s">
        <v>928</v>
      </c>
      <c r="E2574" t="s">
        <v>1090</v>
      </c>
      <c r="F2574" t="s">
        <v>1923</v>
      </c>
      <c r="G2574">
        <v>490</v>
      </c>
      <c r="H2574" t="s">
        <v>1270</v>
      </c>
      <c r="Q2574">
        <v>2900.9610827500001</v>
      </c>
      <c r="R2574">
        <v>31218.0900922</v>
      </c>
      <c r="S2574">
        <v>-18.8723356711</v>
      </c>
      <c r="T2574">
        <v>27.7358302759</v>
      </c>
      <c r="U2574">
        <v>0</v>
      </c>
      <c r="V2574">
        <v>0</v>
      </c>
    </row>
    <row r="2575" spans="1:22" x14ac:dyDescent="0.2">
      <c r="A2575"/>
      <c r="B2575">
        <v>53001</v>
      </c>
      <c r="C2575" t="s">
        <v>2230</v>
      </c>
      <c r="D2575" t="s">
        <v>928</v>
      </c>
      <c r="E2575" t="s">
        <v>1090</v>
      </c>
      <c r="F2575" t="s">
        <v>1923</v>
      </c>
      <c r="G2575">
        <v>542.94000000000005</v>
      </c>
      <c r="H2575" t="s">
        <v>1270</v>
      </c>
      <c r="Q2575">
        <v>2853.74370013</v>
      </c>
      <c r="R2575">
        <v>31194.1755079</v>
      </c>
      <c r="S2575">
        <v>-19.784670761099999</v>
      </c>
      <c r="T2575">
        <v>24.235592048800001</v>
      </c>
      <c r="U2575">
        <v>0</v>
      </c>
      <c r="V2575">
        <v>0</v>
      </c>
    </row>
    <row r="2576" spans="1:22" x14ac:dyDescent="0.2">
      <c r="A2576"/>
      <c r="B2576">
        <v>53002</v>
      </c>
      <c r="C2576" t="s">
        <v>2231</v>
      </c>
      <c r="D2576" t="s">
        <v>928</v>
      </c>
      <c r="E2576" t="s">
        <v>1090</v>
      </c>
      <c r="F2576" t="s">
        <v>1922</v>
      </c>
      <c r="G2576">
        <v>584</v>
      </c>
      <c r="H2576" t="s">
        <v>1270</v>
      </c>
      <c r="Q2576">
        <v>2894.73151508</v>
      </c>
      <c r="R2576">
        <v>31208.199300299999</v>
      </c>
      <c r="S2576">
        <v>-19.036736378499999</v>
      </c>
      <c r="T2576">
        <v>28.342550135</v>
      </c>
      <c r="U2576">
        <v>0</v>
      </c>
      <c r="V2576">
        <v>0</v>
      </c>
    </row>
    <row r="2577" spans="1:22" x14ac:dyDescent="0.2">
      <c r="A2577"/>
      <c r="B2577">
        <v>53003</v>
      </c>
      <c r="C2577" t="s">
        <v>2232</v>
      </c>
      <c r="D2577" t="s">
        <v>928</v>
      </c>
      <c r="E2577" t="s">
        <v>1090</v>
      </c>
      <c r="F2577" t="s">
        <v>1922</v>
      </c>
      <c r="G2577">
        <v>629.94000000000005</v>
      </c>
      <c r="H2577" t="s">
        <v>1270</v>
      </c>
      <c r="Q2577">
        <v>2853.9811076699998</v>
      </c>
      <c r="R2577">
        <v>31187.011228399999</v>
      </c>
      <c r="S2577">
        <v>-19.811911997799999</v>
      </c>
      <c r="T2577">
        <v>24.846667990099998</v>
      </c>
      <c r="U2577">
        <v>0</v>
      </c>
      <c r="V2577">
        <v>0</v>
      </c>
    </row>
    <row r="2578" spans="1:22" x14ac:dyDescent="0.2">
      <c r="A2578"/>
      <c r="B2578">
        <v>53004</v>
      </c>
      <c r="C2578" t="s">
        <v>2233</v>
      </c>
      <c r="D2578" t="s">
        <v>928</v>
      </c>
      <c r="E2578" t="s">
        <v>2234</v>
      </c>
      <c r="F2578" t="s">
        <v>2082</v>
      </c>
      <c r="G2578">
        <v>16.71</v>
      </c>
      <c r="H2578" t="s">
        <v>1270</v>
      </c>
      <c r="Q2578">
        <v>2462.4232770100002</v>
      </c>
      <c r="R2578">
        <v>31382.9959863</v>
      </c>
      <c r="S2578">
        <v>-26.534700815600001</v>
      </c>
      <c r="T2578">
        <v>-38.969415806599997</v>
      </c>
      <c r="U2578">
        <v>0</v>
      </c>
      <c r="V2578">
        <v>0</v>
      </c>
    </row>
    <row r="2579" spans="1:22" x14ac:dyDescent="0.2">
      <c r="A2579"/>
      <c r="B2579">
        <v>53005</v>
      </c>
      <c r="C2579" t="s">
        <v>2235</v>
      </c>
      <c r="D2579" t="s">
        <v>928</v>
      </c>
      <c r="E2579" t="s">
        <v>2234</v>
      </c>
      <c r="F2579" t="s">
        <v>2082</v>
      </c>
      <c r="G2579">
        <v>39.68</v>
      </c>
      <c r="H2579" t="s">
        <v>1270</v>
      </c>
      <c r="Q2579">
        <v>2444.5793053900002</v>
      </c>
      <c r="R2579">
        <v>31397.456009099998</v>
      </c>
      <c r="S2579">
        <v>-26.878851507099998</v>
      </c>
      <c r="T2579">
        <v>-39.070053118600001</v>
      </c>
      <c r="U2579">
        <v>0</v>
      </c>
      <c r="V2579">
        <v>0</v>
      </c>
    </row>
    <row r="2580" spans="1:22" x14ac:dyDescent="0.2">
      <c r="A2580"/>
      <c r="B2580">
        <v>53006</v>
      </c>
      <c r="C2580" t="s">
        <v>2236</v>
      </c>
      <c r="D2580" t="s">
        <v>928</v>
      </c>
      <c r="E2580" t="s">
        <v>2234</v>
      </c>
      <c r="F2580" t="s">
        <v>2087</v>
      </c>
      <c r="G2580">
        <v>211</v>
      </c>
      <c r="H2580" t="s">
        <v>12</v>
      </c>
      <c r="Q2580">
        <v>2137.7083504100001</v>
      </c>
      <c r="R2580">
        <v>31697.410643300002</v>
      </c>
      <c r="S2580">
        <v>-31.839490458299998</v>
      </c>
      <c r="T2580">
        <v>117.566429318</v>
      </c>
      <c r="U2580">
        <v>0</v>
      </c>
      <c r="V2580">
        <v>0</v>
      </c>
    </row>
    <row r="2581" spans="1:22" x14ac:dyDescent="0.2">
      <c r="A2581"/>
      <c r="B2581">
        <v>53007</v>
      </c>
      <c r="C2581" t="s">
        <v>2237</v>
      </c>
      <c r="D2581" t="s">
        <v>928</v>
      </c>
      <c r="E2581" t="s">
        <v>2234</v>
      </c>
      <c r="F2581" t="s">
        <v>2087</v>
      </c>
      <c r="G2581">
        <v>237</v>
      </c>
      <c r="H2581" t="s">
        <v>12</v>
      </c>
      <c r="Q2581">
        <v>2126.4073318300002</v>
      </c>
      <c r="R2581">
        <v>31720.821562500001</v>
      </c>
      <c r="S2581">
        <v>-31.879191475900001</v>
      </c>
      <c r="T2581">
        <v>114.057549751</v>
      </c>
      <c r="U2581">
        <v>0</v>
      </c>
      <c r="V2581">
        <v>0</v>
      </c>
    </row>
    <row r="2582" spans="1:22" x14ac:dyDescent="0.2">
      <c r="A2582"/>
      <c r="B2582">
        <v>53008</v>
      </c>
      <c r="C2582" t="s">
        <v>2238</v>
      </c>
      <c r="D2582" t="s">
        <v>928</v>
      </c>
      <c r="E2582" t="s">
        <v>2234</v>
      </c>
      <c r="F2582" t="s">
        <v>2076</v>
      </c>
      <c r="G2582">
        <v>294</v>
      </c>
      <c r="H2582" t="s">
        <v>12</v>
      </c>
      <c r="Q2582">
        <v>2119.0074349699998</v>
      </c>
      <c r="R2582">
        <v>31684.711272799999</v>
      </c>
      <c r="S2582">
        <v>-31.881647361399999</v>
      </c>
      <c r="T2582">
        <v>111.944264053</v>
      </c>
      <c r="U2582">
        <v>0</v>
      </c>
      <c r="V2582">
        <v>0</v>
      </c>
    </row>
    <row r="2583" spans="1:22" x14ac:dyDescent="0.2">
      <c r="A2583"/>
      <c r="B2583">
        <v>53009</v>
      </c>
      <c r="C2583" t="s">
        <v>2239</v>
      </c>
      <c r="D2583" t="s">
        <v>928</v>
      </c>
      <c r="E2583" t="s">
        <v>2234</v>
      </c>
      <c r="F2583" t="s">
        <v>2076</v>
      </c>
      <c r="G2583">
        <v>280</v>
      </c>
      <c r="H2583" t="s">
        <v>12</v>
      </c>
      <c r="Q2583">
        <v>2124.7281469300001</v>
      </c>
      <c r="R2583">
        <v>31671.937190100001</v>
      </c>
      <c r="S2583">
        <v>-31.8514388348</v>
      </c>
      <c r="T2583">
        <v>116.311371994</v>
      </c>
      <c r="U2583">
        <v>0</v>
      </c>
      <c r="V2583">
        <v>0</v>
      </c>
    </row>
    <row r="2584" spans="1:22" x14ac:dyDescent="0.2">
      <c r="A2584"/>
      <c r="B2584">
        <v>53010</v>
      </c>
      <c r="C2584" t="s">
        <v>2240</v>
      </c>
      <c r="D2584" t="s">
        <v>928</v>
      </c>
      <c r="E2584" t="s">
        <v>2234</v>
      </c>
      <c r="F2584" t="s">
        <v>2062</v>
      </c>
      <c r="G2584">
        <v>320</v>
      </c>
      <c r="H2584" t="s">
        <v>12</v>
      </c>
      <c r="Q2584">
        <v>2149.8932945699999</v>
      </c>
      <c r="R2584">
        <v>31538.527407699999</v>
      </c>
      <c r="S2584">
        <v>-30.940601253600001</v>
      </c>
      <c r="T2584">
        <v>156.98096903699999</v>
      </c>
      <c r="U2584">
        <v>0</v>
      </c>
      <c r="V2584">
        <v>0</v>
      </c>
    </row>
    <row r="2585" spans="1:22" x14ac:dyDescent="0.2">
      <c r="A2585"/>
      <c r="B2585">
        <v>53011</v>
      </c>
      <c r="C2585" t="s">
        <v>2241</v>
      </c>
      <c r="D2585" t="s">
        <v>928</v>
      </c>
      <c r="E2585" t="s">
        <v>2234</v>
      </c>
      <c r="F2585" t="s">
        <v>2062</v>
      </c>
      <c r="G2585">
        <v>345</v>
      </c>
      <c r="H2585" t="s">
        <v>12</v>
      </c>
      <c r="Q2585">
        <v>2126.88218908</v>
      </c>
      <c r="R2585">
        <v>31548.2942085</v>
      </c>
      <c r="S2585">
        <v>-31.254605898400001</v>
      </c>
      <c r="T2585">
        <v>157.02158694100001</v>
      </c>
      <c r="U2585">
        <v>0</v>
      </c>
      <c r="V2585">
        <v>0</v>
      </c>
    </row>
    <row r="2586" spans="1:22" x14ac:dyDescent="0.2">
      <c r="A2586"/>
      <c r="B2586">
        <v>53012</v>
      </c>
      <c r="C2586" t="s">
        <v>2242</v>
      </c>
      <c r="D2586" t="s">
        <v>928</v>
      </c>
      <c r="E2586" t="s">
        <v>2234</v>
      </c>
      <c r="F2586" t="s">
        <v>2056</v>
      </c>
      <c r="G2586">
        <v>202.86</v>
      </c>
      <c r="H2586" t="s">
        <v>12</v>
      </c>
      <c r="Q2586">
        <v>2164.2870885799998</v>
      </c>
      <c r="R2586">
        <v>31527.3090538</v>
      </c>
      <c r="S2586">
        <v>-30.719430048900001</v>
      </c>
      <c r="T2586">
        <v>156.83130086200001</v>
      </c>
      <c r="U2586">
        <v>0</v>
      </c>
      <c r="V2586">
        <v>0</v>
      </c>
    </row>
    <row r="2587" spans="1:22" x14ac:dyDescent="0.2">
      <c r="A2587"/>
      <c r="B2587">
        <v>53013</v>
      </c>
      <c r="C2587" t="s">
        <v>2243</v>
      </c>
      <c r="D2587" t="s">
        <v>928</v>
      </c>
      <c r="E2587" t="s">
        <v>2234</v>
      </c>
      <c r="F2587" t="s">
        <v>2056</v>
      </c>
      <c r="G2587">
        <v>246.86</v>
      </c>
      <c r="H2587" t="s">
        <v>12</v>
      </c>
      <c r="Q2587">
        <v>2123.8230168599998</v>
      </c>
      <c r="R2587">
        <v>31544.581950899999</v>
      </c>
      <c r="S2587">
        <v>-31.271980313</v>
      </c>
      <c r="T2587">
        <v>156.94317281299999</v>
      </c>
      <c r="U2587">
        <v>0</v>
      </c>
      <c r="V2587">
        <v>0</v>
      </c>
    </row>
    <row r="2588" spans="1:22" x14ac:dyDescent="0.2">
      <c r="A2588"/>
      <c r="B2588">
        <v>53014</v>
      </c>
      <c r="C2588" t="s">
        <v>2244</v>
      </c>
      <c r="D2588" t="s">
        <v>928</v>
      </c>
      <c r="E2588" t="s">
        <v>2234</v>
      </c>
      <c r="F2588" t="s">
        <v>2050</v>
      </c>
      <c r="G2588">
        <v>200.13</v>
      </c>
      <c r="H2588" t="s">
        <v>12</v>
      </c>
      <c r="Q2588">
        <v>2164.5526837799998</v>
      </c>
      <c r="R2588">
        <v>31522.665807000001</v>
      </c>
      <c r="S2588">
        <v>-30.703884608900001</v>
      </c>
      <c r="T2588">
        <v>156.74082689799999</v>
      </c>
      <c r="U2588">
        <v>0</v>
      </c>
      <c r="V2588">
        <v>0</v>
      </c>
    </row>
    <row r="2589" spans="1:22" x14ac:dyDescent="0.2">
      <c r="A2589"/>
      <c r="B2589">
        <v>53015</v>
      </c>
      <c r="C2589" t="s">
        <v>2245</v>
      </c>
      <c r="D2589" t="s">
        <v>928</v>
      </c>
      <c r="E2589" t="s">
        <v>2234</v>
      </c>
      <c r="F2589" t="s">
        <v>2050</v>
      </c>
      <c r="G2589">
        <v>246</v>
      </c>
      <c r="H2589" t="s">
        <v>12</v>
      </c>
      <c r="Q2589">
        <v>2122.39685551</v>
      </c>
      <c r="R2589">
        <v>31540.738383799999</v>
      </c>
      <c r="S2589">
        <v>-31.273373170999999</v>
      </c>
      <c r="T2589">
        <v>156.85472910499999</v>
      </c>
      <c r="U2589">
        <v>0</v>
      </c>
      <c r="V2589">
        <v>0</v>
      </c>
    </row>
    <row r="2590" spans="1:22" x14ac:dyDescent="0.2">
      <c r="A2590"/>
      <c r="B2590">
        <v>53016</v>
      </c>
      <c r="C2590" t="s">
        <v>2246</v>
      </c>
      <c r="D2590" t="s">
        <v>928</v>
      </c>
      <c r="E2590" t="s">
        <v>2234</v>
      </c>
      <c r="F2590" t="s">
        <v>2044</v>
      </c>
      <c r="G2590">
        <v>192.43</v>
      </c>
      <c r="H2590" t="s">
        <v>12</v>
      </c>
      <c r="Q2590">
        <v>2175.3681620000002</v>
      </c>
      <c r="R2590">
        <v>31513.283923399998</v>
      </c>
      <c r="S2590">
        <v>-30.5304957323</v>
      </c>
      <c r="T2590">
        <v>156.565021823</v>
      </c>
      <c r="U2590">
        <v>0</v>
      </c>
      <c r="V2590">
        <v>0</v>
      </c>
    </row>
    <row r="2591" spans="1:22" x14ac:dyDescent="0.2">
      <c r="A2591"/>
      <c r="B2591">
        <v>53017</v>
      </c>
      <c r="C2591" t="s">
        <v>2247</v>
      </c>
      <c r="D2591" t="s">
        <v>928</v>
      </c>
      <c r="E2591" t="s">
        <v>2234</v>
      </c>
      <c r="F2591" t="s">
        <v>2044</v>
      </c>
      <c r="G2591">
        <v>237</v>
      </c>
      <c r="H2591" t="s">
        <v>12</v>
      </c>
      <c r="Q2591">
        <v>2134.46324439</v>
      </c>
      <c r="R2591">
        <v>31530.9748798</v>
      </c>
      <c r="S2591">
        <v>-31.080191736</v>
      </c>
      <c r="T2591">
        <v>156.66552409100001</v>
      </c>
      <c r="U2591">
        <v>0</v>
      </c>
      <c r="V2591">
        <v>0</v>
      </c>
    </row>
    <row r="2592" spans="1:22" x14ac:dyDescent="0.2">
      <c r="A2592"/>
      <c r="B2592">
        <v>53018</v>
      </c>
      <c r="C2592" t="s">
        <v>2248</v>
      </c>
      <c r="D2592" t="s">
        <v>928</v>
      </c>
      <c r="E2592" t="s">
        <v>2234</v>
      </c>
      <c r="F2592" t="s">
        <v>2038</v>
      </c>
      <c r="G2592">
        <v>186</v>
      </c>
      <c r="H2592" t="s">
        <v>12</v>
      </c>
      <c r="Q2592">
        <v>2179.0574538699998</v>
      </c>
      <c r="R2592">
        <v>31506.634170900001</v>
      </c>
      <c r="S2592">
        <v>-30.458424113100001</v>
      </c>
      <c r="T2592">
        <v>156.569979491</v>
      </c>
      <c r="U2592">
        <v>0</v>
      </c>
      <c r="V2592">
        <v>0</v>
      </c>
    </row>
    <row r="2593" spans="1:22" x14ac:dyDescent="0.2">
      <c r="A2593"/>
      <c r="B2593">
        <v>53019</v>
      </c>
      <c r="C2593" t="s">
        <v>2249</v>
      </c>
      <c r="D2593" t="s">
        <v>928</v>
      </c>
      <c r="E2593" t="s">
        <v>2234</v>
      </c>
      <c r="F2593" t="s">
        <v>2038</v>
      </c>
      <c r="G2593">
        <v>231.84</v>
      </c>
      <c r="H2593" t="s">
        <v>12</v>
      </c>
      <c r="Q2593">
        <v>2136.9832545499999</v>
      </c>
      <c r="R2593">
        <v>31524.820444500001</v>
      </c>
      <c r="S2593">
        <v>-31.029549550799999</v>
      </c>
      <c r="T2593">
        <v>156.67771116200001</v>
      </c>
      <c r="U2593">
        <v>0</v>
      </c>
      <c r="V2593">
        <v>0</v>
      </c>
    </row>
    <row r="2594" spans="1:22" x14ac:dyDescent="0.2">
      <c r="A2594"/>
      <c r="B2594">
        <v>53020</v>
      </c>
      <c r="C2594" t="s">
        <v>2250</v>
      </c>
      <c r="D2594" t="s">
        <v>928</v>
      </c>
      <c r="E2594" t="s">
        <v>2234</v>
      </c>
      <c r="F2594" t="s">
        <v>2030</v>
      </c>
      <c r="G2594">
        <v>327.11</v>
      </c>
      <c r="H2594" t="s">
        <v>12</v>
      </c>
      <c r="Q2594">
        <v>2122.3966390599999</v>
      </c>
      <c r="R2594">
        <v>31525.9328633</v>
      </c>
      <c r="S2594">
        <v>-31.1981300994</v>
      </c>
      <c r="T2594">
        <v>156.57898565599999</v>
      </c>
      <c r="U2594">
        <v>0</v>
      </c>
      <c r="V2594">
        <v>0</v>
      </c>
    </row>
    <row r="2595" spans="1:22" x14ac:dyDescent="0.2">
      <c r="A2595"/>
      <c r="B2595">
        <v>53021</v>
      </c>
      <c r="C2595" t="s">
        <v>2251</v>
      </c>
      <c r="D2595" t="s">
        <v>928</v>
      </c>
      <c r="E2595" t="s">
        <v>2234</v>
      </c>
      <c r="F2595" t="s">
        <v>2030</v>
      </c>
      <c r="G2595">
        <v>336</v>
      </c>
      <c r="H2595" t="s">
        <v>12</v>
      </c>
      <c r="Q2595">
        <v>2114.24027514</v>
      </c>
      <c r="R2595">
        <v>31529.467458700001</v>
      </c>
      <c r="S2595">
        <v>-31.309765418000001</v>
      </c>
      <c r="T2595">
        <v>156.56101586099999</v>
      </c>
      <c r="U2595">
        <v>0</v>
      </c>
      <c r="V2595">
        <v>0</v>
      </c>
    </row>
    <row r="2596" spans="1:22" x14ac:dyDescent="0.2">
      <c r="A2596"/>
      <c r="B2596">
        <v>53022</v>
      </c>
      <c r="C2596" t="s">
        <v>2252</v>
      </c>
      <c r="D2596" t="s">
        <v>928</v>
      </c>
      <c r="E2596" t="s">
        <v>2234</v>
      </c>
      <c r="F2596" t="s">
        <v>2022</v>
      </c>
      <c r="G2596">
        <v>178.75</v>
      </c>
      <c r="H2596" t="s">
        <v>12</v>
      </c>
      <c r="Q2596">
        <v>2166.5007649600002</v>
      </c>
      <c r="R2596">
        <v>31499.010064300001</v>
      </c>
      <c r="S2596">
        <v>-30.554662108199999</v>
      </c>
      <c r="T2596">
        <v>156.90972867900001</v>
      </c>
      <c r="U2596">
        <v>0</v>
      </c>
      <c r="V2596">
        <v>0</v>
      </c>
    </row>
    <row r="2597" spans="1:22" x14ac:dyDescent="0.2">
      <c r="A2597"/>
      <c r="B2597">
        <v>53023</v>
      </c>
      <c r="C2597" t="s">
        <v>2253</v>
      </c>
      <c r="D2597" t="s">
        <v>928</v>
      </c>
      <c r="E2597" t="s">
        <v>2234</v>
      </c>
      <c r="F2597" t="s">
        <v>2022</v>
      </c>
      <c r="G2597">
        <v>224.59</v>
      </c>
      <c r="H2597" t="s">
        <v>12</v>
      </c>
      <c r="Q2597">
        <v>2124.3168480899999</v>
      </c>
      <c r="R2597">
        <v>31516.940224900001</v>
      </c>
      <c r="S2597">
        <v>-31.1300154065</v>
      </c>
      <c r="T2597">
        <v>157.05052152299999</v>
      </c>
      <c r="U2597">
        <v>0</v>
      </c>
      <c r="V2597">
        <v>0</v>
      </c>
    </row>
    <row r="2598" spans="1:22" x14ac:dyDescent="0.2">
      <c r="A2598"/>
      <c r="B2598">
        <v>53024</v>
      </c>
      <c r="C2598" t="s">
        <v>2254</v>
      </c>
      <c r="D2598" t="s">
        <v>928</v>
      </c>
      <c r="E2598" t="s">
        <v>2234</v>
      </c>
      <c r="F2598" t="s">
        <v>2016</v>
      </c>
      <c r="G2598">
        <v>178.13</v>
      </c>
      <c r="H2598" t="s">
        <v>12</v>
      </c>
      <c r="Q2598">
        <v>2164.67952212</v>
      </c>
      <c r="R2598">
        <v>31494.608015199999</v>
      </c>
      <c r="S2598">
        <v>-30.5547879123</v>
      </c>
      <c r="T2598">
        <v>157.17247114099999</v>
      </c>
      <c r="U2598">
        <v>0</v>
      </c>
      <c r="V2598">
        <v>0</v>
      </c>
    </row>
    <row r="2599" spans="1:22" x14ac:dyDescent="0.2">
      <c r="A2599"/>
      <c r="B2599">
        <v>53025</v>
      </c>
      <c r="C2599" t="s">
        <v>2255</v>
      </c>
      <c r="D2599" t="s">
        <v>928</v>
      </c>
      <c r="E2599" t="s">
        <v>2234</v>
      </c>
      <c r="F2599" t="s">
        <v>2016</v>
      </c>
      <c r="G2599">
        <v>223.97</v>
      </c>
      <c r="H2599" t="s">
        <v>12</v>
      </c>
      <c r="Q2599">
        <v>2122.4488088899998</v>
      </c>
      <c r="R2599">
        <v>31512.4276522</v>
      </c>
      <c r="S2599">
        <v>-31.130826991300001</v>
      </c>
      <c r="T2599">
        <v>157.02829879999999</v>
      </c>
      <c r="U2599">
        <v>0</v>
      </c>
      <c r="V2599">
        <v>0</v>
      </c>
    </row>
    <row r="2600" spans="1:22" x14ac:dyDescent="0.2">
      <c r="A2600"/>
      <c r="B2600">
        <v>53026</v>
      </c>
      <c r="C2600" t="s">
        <v>2256</v>
      </c>
      <c r="D2600" t="s">
        <v>928</v>
      </c>
      <c r="E2600" t="s">
        <v>2234</v>
      </c>
      <c r="F2600" t="s">
        <v>2011</v>
      </c>
      <c r="G2600">
        <v>202.34</v>
      </c>
      <c r="H2600" t="s">
        <v>12</v>
      </c>
      <c r="Q2600">
        <v>2108.3389625300001</v>
      </c>
      <c r="R2600">
        <v>31513.538408799999</v>
      </c>
      <c r="S2600">
        <v>-31.290879649400001</v>
      </c>
      <c r="T2600">
        <v>157.14342823999999</v>
      </c>
      <c r="U2600">
        <v>0</v>
      </c>
      <c r="V2600">
        <v>0</v>
      </c>
    </row>
    <row r="2601" spans="1:22" x14ac:dyDescent="0.2">
      <c r="A2601"/>
      <c r="B2601">
        <v>53027</v>
      </c>
      <c r="C2601" t="s">
        <v>2257</v>
      </c>
      <c r="D2601" t="s">
        <v>928</v>
      </c>
      <c r="E2601" t="s">
        <v>2234</v>
      </c>
      <c r="F2601" t="s">
        <v>2011</v>
      </c>
      <c r="G2601">
        <v>242.7</v>
      </c>
      <c r="H2601" t="s">
        <v>12</v>
      </c>
      <c r="Q2601">
        <v>2071.1403013300001</v>
      </c>
      <c r="R2601">
        <v>31529.1885401</v>
      </c>
      <c r="S2601">
        <v>-31.803087613799999</v>
      </c>
      <c r="T2601">
        <v>157.219227784</v>
      </c>
      <c r="U2601">
        <v>0</v>
      </c>
      <c r="V2601">
        <v>0</v>
      </c>
    </row>
    <row r="2602" spans="1:22" x14ac:dyDescent="0.2">
      <c r="A2602"/>
      <c r="B2602">
        <v>53028</v>
      </c>
      <c r="C2602" t="s">
        <v>2258</v>
      </c>
      <c r="D2602" t="s">
        <v>928</v>
      </c>
      <c r="E2602" t="s">
        <v>2234</v>
      </c>
      <c r="F2602" t="s">
        <v>2005</v>
      </c>
      <c r="G2602">
        <v>199.27</v>
      </c>
      <c r="H2602" t="s">
        <v>12</v>
      </c>
      <c r="Q2602">
        <v>2109.0537027099999</v>
      </c>
      <c r="R2602">
        <v>31508.246623499999</v>
      </c>
      <c r="S2602">
        <v>-31.264629065800001</v>
      </c>
      <c r="T2602">
        <v>156.962282397</v>
      </c>
      <c r="U2602">
        <v>0</v>
      </c>
      <c r="V2602">
        <v>0</v>
      </c>
    </row>
    <row r="2603" spans="1:22" x14ac:dyDescent="0.2">
      <c r="A2603"/>
      <c r="B2603">
        <v>53029</v>
      </c>
      <c r="C2603" t="s">
        <v>2259</v>
      </c>
      <c r="D2603" t="s">
        <v>928</v>
      </c>
      <c r="E2603" t="s">
        <v>2234</v>
      </c>
      <c r="F2603" t="s">
        <v>2005</v>
      </c>
      <c r="G2603">
        <v>233</v>
      </c>
      <c r="H2603" t="s">
        <v>12</v>
      </c>
      <c r="Q2603">
        <v>2078.0130603600001</v>
      </c>
      <c r="R2603">
        <v>31521.438056499999</v>
      </c>
      <c r="S2603">
        <v>-31.685929288899999</v>
      </c>
      <c r="T2603">
        <v>156.99173922</v>
      </c>
      <c r="U2603">
        <v>0</v>
      </c>
      <c r="V2603">
        <v>0</v>
      </c>
    </row>
    <row r="2604" spans="1:22" x14ac:dyDescent="0.2">
      <c r="A2604"/>
      <c r="B2604">
        <v>53030</v>
      </c>
      <c r="C2604" t="s">
        <v>2260</v>
      </c>
      <c r="D2604" t="s">
        <v>928</v>
      </c>
      <c r="E2604" t="s">
        <v>2234</v>
      </c>
      <c r="F2604" t="s">
        <v>1939</v>
      </c>
      <c r="G2604">
        <v>187.13</v>
      </c>
      <c r="H2604" t="s">
        <v>12</v>
      </c>
      <c r="Q2604">
        <v>2150.2971353500002</v>
      </c>
      <c r="R2604">
        <v>31485.475943599999</v>
      </c>
      <c r="S2604">
        <v>-30.679844676199998</v>
      </c>
      <c r="T2604">
        <v>156.81402965800001</v>
      </c>
      <c r="U2604">
        <v>0</v>
      </c>
      <c r="V2604">
        <v>0</v>
      </c>
    </row>
    <row r="2605" spans="1:22" x14ac:dyDescent="0.2">
      <c r="A2605"/>
      <c r="B2605">
        <v>53031</v>
      </c>
      <c r="C2605" t="s">
        <v>2261</v>
      </c>
      <c r="D2605" t="s">
        <v>928</v>
      </c>
      <c r="E2605" t="s">
        <v>2234</v>
      </c>
      <c r="F2605" t="s">
        <v>1939</v>
      </c>
      <c r="G2605">
        <v>232.97</v>
      </c>
      <c r="H2605" t="s">
        <v>12</v>
      </c>
      <c r="Q2605">
        <v>2108.1617073299999</v>
      </c>
      <c r="R2605">
        <v>31503.519916699999</v>
      </c>
      <c r="S2605">
        <v>-31.2511042147</v>
      </c>
      <c r="T2605">
        <v>156.82344320600001</v>
      </c>
      <c r="U2605">
        <v>0</v>
      </c>
      <c r="V2605">
        <v>0</v>
      </c>
    </row>
    <row r="2606" spans="1:22" x14ac:dyDescent="0.2">
      <c r="A2606"/>
      <c r="B2606">
        <v>53032</v>
      </c>
      <c r="C2606" t="s">
        <v>2262</v>
      </c>
      <c r="D2606" t="s">
        <v>928</v>
      </c>
      <c r="E2606" t="s">
        <v>2234</v>
      </c>
      <c r="F2606" t="s">
        <v>1958</v>
      </c>
      <c r="G2606">
        <v>193.03</v>
      </c>
      <c r="H2606" t="s">
        <v>12</v>
      </c>
      <c r="Q2606">
        <v>2084.1664304699998</v>
      </c>
      <c r="R2606">
        <v>31508.6750689</v>
      </c>
      <c r="S2606">
        <v>-31.559745277200001</v>
      </c>
      <c r="T2606">
        <v>156.87316572899999</v>
      </c>
      <c r="U2606">
        <v>0</v>
      </c>
      <c r="V2606">
        <v>0</v>
      </c>
    </row>
    <row r="2607" spans="1:22" x14ac:dyDescent="0.2">
      <c r="A2607"/>
      <c r="B2607">
        <v>53033</v>
      </c>
      <c r="C2607" t="s">
        <v>2263</v>
      </c>
      <c r="D2607" t="s">
        <v>928</v>
      </c>
      <c r="E2607" t="s">
        <v>2234</v>
      </c>
      <c r="F2607" t="s">
        <v>2000</v>
      </c>
      <c r="G2607">
        <v>194.04</v>
      </c>
      <c r="H2607" t="s">
        <v>12</v>
      </c>
      <c r="Q2607">
        <v>2081.4374332399998</v>
      </c>
      <c r="R2607">
        <v>31504.315888500001</v>
      </c>
      <c r="S2607">
        <v>-31.562357756000001</v>
      </c>
      <c r="T2607">
        <v>156.77648378699999</v>
      </c>
      <c r="U2607">
        <v>0</v>
      </c>
      <c r="V2607">
        <v>0</v>
      </c>
    </row>
    <row r="2608" spans="1:22" x14ac:dyDescent="0.2">
      <c r="A2608"/>
      <c r="B2608">
        <v>53034</v>
      </c>
      <c r="C2608" t="s">
        <v>2264</v>
      </c>
      <c r="D2608" t="s">
        <v>928</v>
      </c>
      <c r="E2608" t="s">
        <v>2234</v>
      </c>
      <c r="F2608" t="s">
        <v>1995</v>
      </c>
      <c r="G2608">
        <v>202.03</v>
      </c>
      <c r="H2608" t="s">
        <v>12</v>
      </c>
      <c r="Q2608">
        <v>2101.90957338</v>
      </c>
      <c r="R2608">
        <v>31490.931754199999</v>
      </c>
      <c r="S2608">
        <v>-31.255085299699999</v>
      </c>
      <c r="T2608">
        <v>156.36827499200001</v>
      </c>
      <c r="U2608">
        <v>0</v>
      </c>
      <c r="V2608">
        <v>0</v>
      </c>
    </row>
    <row r="2609" spans="1:22" x14ac:dyDescent="0.2">
      <c r="A2609"/>
      <c r="B2609">
        <v>53035</v>
      </c>
      <c r="C2609" t="s">
        <v>2265</v>
      </c>
      <c r="D2609" t="s">
        <v>928</v>
      </c>
      <c r="E2609" t="s">
        <v>2234</v>
      </c>
      <c r="F2609" t="s">
        <v>1990</v>
      </c>
      <c r="G2609">
        <v>186.09</v>
      </c>
      <c r="H2609" t="s">
        <v>12</v>
      </c>
      <c r="Q2609">
        <v>2094.6483907299998</v>
      </c>
      <c r="R2609">
        <v>31488.829059600001</v>
      </c>
      <c r="S2609">
        <v>-31.3362964439</v>
      </c>
      <c r="T2609">
        <v>156.580748521</v>
      </c>
      <c r="U2609">
        <v>0</v>
      </c>
      <c r="V2609">
        <v>0</v>
      </c>
    </row>
    <row r="2610" spans="1:22" x14ac:dyDescent="0.2">
      <c r="A2610"/>
      <c r="B2610">
        <v>53036</v>
      </c>
      <c r="C2610" t="s">
        <v>2266</v>
      </c>
      <c r="D2610" t="s">
        <v>928</v>
      </c>
      <c r="E2610" t="s">
        <v>2234</v>
      </c>
      <c r="F2610" t="s">
        <v>1985</v>
      </c>
      <c r="G2610">
        <v>184.27</v>
      </c>
      <c r="H2610" t="s">
        <v>12</v>
      </c>
      <c r="Q2610">
        <v>2095.2195520800001</v>
      </c>
      <c r="R2610">
        <v>31483.609128399999</v>
      </c>
      <c r="S2610">
        <v>-31.304917318000001</v>
      </c>
      <c r="T2610">
        <v>156.38437368500001</v>
      </c>
      <c r="U2610">
        <v>0</v>
      </c>
      <c r="V2610">
        <v>0</v>
      </c>
    </row>
    <row r="2611" spans="1:22" x14ac:dyDescent="0.2">
      <c r="A2611"/>
      <c r="B2611">
        <v>53037</v>
      </c>
      <c r="C2611" t="s">
        <v>2267</v>
      </c>
      <c r="D2611" t="s">
        <v>928</v>
      </c>
      <c r="E2611" t="s">
        <v>2234</v>
      </c>
      <c r="F2611" t="s">
        <v>1966</v>
      </c>
      <c r="G2611">
        <v>158.52000000000001</v>
      </c>
      <c r="H2611" t="s">
        <v>12</v>
      </c>
      <c r="Q2611">
        <v>2100.65202916</v>
      </c>
      <c r="R2611">
        <v>31476.160623799999</v>
      </c>
      <c r="S2611">
        <v>-31.2022325288</v>
      </c>
      <c r="T2611">
        <v>156.55631517099999</v>
      </c>
      <c r="U2611">
        <v>0</v>
      </c>
      <c r="V2611">
        <v>0</v>
      </c>
    </row>
    <row r="2612" spans="1:22" x14ac:dyDescent="0.2">
      <c r="A2612"/>
      <c r="B2612">
        <v>53038</v>
      </c>
      <c r="C2612" t="s">
        <v>2268</v>
      </c>
      <c r="D2612" t="s">
        <v>928</v>
      </c>
      <c r="E2612" t="s">
        <v>2234</v>
      </c>
      <c r="F2612" t="s">
        <v>1977</v>
      </c>
      <c r="G2612">
        <v>196.31</v>
      </c>
      <c r="H2612" t="s">
        <v>12</v>
      </c>
      <c r="Q2612">
        <v>2080.3225647499999</v>
      </c>
      <c r="R2612">
        <v>31335.916300299999</v>
      </c>
      <c r="S2612">
        <v>-30.7445038175</v>
      </c>
      <c r="T2612">
        <v>-165.339282188</v>
      </c>
      <c r="U2612">
        <v>0</v>
      </c>
      <c r="V2612">
        <v>0</v>
      </c>
    </row>
    <row r="2613" spans="1:22" x14ac:dyDescent="0.2">
      <c r="A2613"/>
      <c r="B2613">
        <v>53039</v>
      </c>
      <c r="C2613" t="s">
        <v>2269</v>
      </c>
      <c r="D2613" t="s">
        <v>928</v>
      </c>
      <c r="E2613" t="s">
        <v>2234</v>
      </c>
      <c r="F2613" t="s">
        <v>1977</v>
      </c>
      <c r="G2613">
        <v>233</v>
      </c>
      <c r="H2613" t="s">
        <v>12</v>
      </c>
      <c r="Q2613">
        <v>2044.85198489</v>
      </c>
      <c r="R2613">
        <v>31326.542850500002</v>
      </c>
      <c r="S2613">
        <v>-31.104882975100001</v>
      </c>
      <c r="T2613">
        <v>-165.057134894</v>
      </c>
      <c r="U2613">
        <v>0</v>
      </c>
      <c r="V2613">
        <v>0</v>
      </c>
    </row>
    <row r="2614" spans="1:22" x14ac:dyDescent="0.2">
      <c r="A2614"/>
      <c r="B2614">
        <v>53040</v>
      </c>
      <c r="C2614" t="s">
        <v>2270</v>
      </c>
      <c r="D2614" t="s">
        <v>928</v>
      </c>
      <c r="E2614" t="s">
        <v>2234</v>
      </c>
      <c r="F2614" t="s">
        <v>1972</v>
      </c>
      <c r="G2614">
        <v>229.31</v>
      </c>
      <c r="H2614" t="s">
        <v>12</v>
      </c>
      <c r="Q2614">
        <v>2049.6478282399999</v>
      </c>
      <c r="R2614">
        <v>31320.881214000001</v>
      </c>
      <c r="S2614">
        <v>-31.024305465499999</v>
      </c>
      <c r="T2614">
        <v>-164.80094640199999</v>
      </c>
      <c r="U2614">
        <v>0</v>
      </c>
      <c r="V2614">
        <v>0</v>
      </c>
    </row>
    <row r="2615" spans="1:22" x14ac:dyDescent="0.2">
      <c r="A2615"/>
      <c r="B2615">
        <v>53040</v>
      </c>
      <c r="C2615" t="s">
        <v>2270</v>
      </c>
      <c r="D2615" t="s">
        <v>928</v>
      </c>
      <c r="E2615" t="s">
        <v>2234</v>
      </c>
      <c r="F2615" t="s">
        <v>1965</v>
      </c>
      <c r="G2615">
        <v>215</v>
      </c>
      <c r="H2615" t="s">
        <v>12</v>
      </c>
      <c r="Q2615">
        <v>2049.6478282399999</v>
      </c>
      <c r="R2615">
        <v>31320.881214000001</v>
      </c>
      <c r="S2615">
        <v>-31.024305465499999</v>
      </c>
      <c r="T2615">
        <v>-164.80094640199999</v>
      </c>
      <c r="U2615">
        <v>0</v>
      </c>
      <c r="V2615">
        <v>0</v>
      </c>
    </row>
    <row r="2616" spans="1:22" x14ac:dyDescent="0.2">
      <c r="A2616"/>
      <c r="B2616">
        <v>53041</v>
      </c>
      <c r="C2616" t="s">
        <v>2271</v>
      </c>
      <c r="D2616" t="s">
        <v>928</v>
      </c>
      <c r="E2616" t="s">
        <v>2234</v>
      </c>
      <c r="F2616" t="s">
        <v>1972</v>
      </c>
      <c r="G2616">
        <v>233</v>
      </c>
      <c r="H2616" t="s">
        <v>12</v>
      </c>
      <c r="Q2616">
        <v>2046.08711167</v>
      </c>
      <c r="R2616">
        <v>31319.9137023</v>
      </c>
      <c r="S2616">
        <v>-31.060618398300001</v>
      </c>
      <c r="T2616">
        <v>-164.79743456200001</v>
      </c>
      <c r="U2616">
        <v>0</v>
      </c>
      <c r="V2616">
        <v>0</v>
      </c>
    </row>
    <row r="2617" spans="1:22" x14ac:dyDescent="0.2">
      <c r="A2617"/>
      <c r="B2617">
        <v>53041</v>
      </c>
      <c r="C2617" t="s">
        <v>2271</v>
      </c>
      <c r="D2617" t="s">
        <v>928</v>
      </c>
      <c r="E2617" t="s">
        <v>2234</v>
      </c>
      <c r="F2617" t="s">
        <v>1965</v>
      </c>
      <c r="G2617">
        <v>233</v>
      </c>
      <c r="H2617" t="s">
        <v>12</v>
      </c>
      <c r="Q2617">
        <v>2046.08711167</v>
      </c>
      <c r="R2617">
        <v>31319.9137023</v>
      </c>
      <c r="S2617">
        <v>-31.060618398300001</v>
      </c>
      <c r="T2617">
        <v>-164.79743456200001</v>
      </c>
      <c r="U2617">
        <v>0</v>
      </c>
      <c r="V2617">
        <v>0</v>
      </c>
    </row>
    <row r="2618" spans="1:22" x14ac:dyDescent="0.2">
      <c r="A2618"/>
      <c r="B2618">
        <v>54002</v>
      </c>
      <c r="C2618" t="s">
        <v>4340</v>
      </c>
      <c r="D2618" t="s">
        <v>1061</v>
      </c>
      <c r="E2618" t="s">
        <v>1200</v>
      </c>
      <c r="F2618" t="s">
        <v>4341</v>
      </c>
      <c r="G2618">
        <v>5</v>
      </c>
      <c r="H2618" t="s">
        <v>248</v>
      </c>
      <c r="Q2618">
        <v>2695.6453231099999</v>
      </c>
      <c r="R2618">
        <v>31212.965123499998</v>
      </c>
      <c r="S2618">
        <v>-20.301686040700002</v>
      </c>
      <c r="T2618">
        <v>144.07864285900001</v>
      </c>
      <c r="U2618">
        <v>0</v>
      </c>
      <c r="V2618">
        <v>0</v>
      </c>
    </row>
    <row r="2619" spans="1:22" x14ac:dyDescent="0.2">
      <c r="A2619"/>
      <c r="B2619">
        <v>54003</v>
      </c>
      <c r="C2619" t="s">
        <v>4342</v>
      </c>
      <c r="D2619" t="s">
        <v>1061</v>
      </c>
      <c r="E2619" t="s">
        <v>1200</v>
      </c>
      <c r="F2619" t="s">
        <v>4343</v>
      </c>
      <c r="G2619">
        <v>49</v>
      </c>
      <c r="H2619" t="s">
        <v>248</v>
      </c>
      <c r="Q2619">
        <v>2659.9080627500002</v>
      </c>
      <c r="R2619">
        <v>31238.684828199999</v>
      </c>
      <c r="S2619">
        <v>-20.731955315899999</v>
      </c>
      <c r="T2619">
        <v>143.590880451</v>
      </c>
      <c r="U2619">
        <v>0</v>
      </c>
      <c r="V2619">
        <v>0</v>
      </c>
    </row>
    <row r="2620" spans="1:22" x14ac:dyDescent="0.2">
      <c r="A2620"/>
      <c r="B2620">
        <v>54004</v>
      </c>
      <c r="C2620" t="s">
        <v>2272</v>
      </c>
      <c r="D2620" t="s">
        <v>1061</v>
      </c>
      <c r="E2620" t="s">
        <v>1200</v>
      </c>
      <c r="F2620" t="s">
        <v>2068</v>
      </c>
      <c r="G2620">
        <v>50</v>
      </c>
      <c r="H2620" t="s">
        <v>248</v>
      </c>
      <c r="Q2620">
        <v>2491.86120213</v>
      </c>
      <c r="R2620">
        <v>31340.528704100001</v>
      </c>
      <c r="S2620">
        <v>-25.4578828161</v>
      </c>
      <c r="T2620">
        <v>143.00887997999999</v>
      </c>
      <c r="U2620">
        <v>0</v>
      </c>
      <c r="V2620">
        <v>0</v>
      </c>
    </row>
    <row r="2621" spans="1:22" x14ac:dyDescent="0.2">
      <c r="A2621"/>
      <c r="B2621">
        <v>54005</v>
      </c>
      <c r="C2621" t="s">
        <v>2273</v>
      </c>
      <c r="D2621" t="s">
        <v>1061</v>
      </c>
      <c r="E2621" t="s">
        <v>1200</v>
      </c>
      <c r="F2621" t="s">
        <v>2185</v>
      </c>
      <c r="G2621">
        <v>35</v>
      </c>
      <c r="H2621" t="s">
        <v>248</v>
      </c>
      <c r="Q2621">
        <v>2466.1791542199999</v>
      </c>
      <c r="R2621">
        <v>31351.380771100001</v>
      </c>
      <c r="S2621">
        <v>-26.157384572600002</v>
      </c>
      <c r="T2621">
        <v>143.83011471899999</v>
      </c>
      <c r="U2621">
        <v>0</v>
      </c>
      <c r="V2621">
        <v>0</v>
      </c>
    </row>
    <row r="2622" spans="1:22" x14ac:dyDescent="0.2">
      <c r="A2622"/>
      <c r="B2622">
        <v>54006</v>
      </c>
      <c r="C2622" t="s">
        <v>2274</v>
      </c>
      <c r="D2622" t="s">
        <v>1061</v>
      </c>
      <c r="E2622" t="s">
        <v>1200</v>
      </c>
      <c r="F2622" t="s">
        <v>1937</v>
      </c>
      <c r="G2622">
        <v>42.12</v>
      </c>
      <c r="H2622" t="s">
        <v>248</v>
      </c>
      <c r="Q2622">
        <v>2436.5668105</v>
      </c>
      <c r="R2622">
        <v>31364.719392899999</v>
      </c>
      <c r="S2622">
        <v>-26.802856273700002</v>
      </c>
      <c r="T2622">
        <v>155.82462504099999</v>
      </c>
      <c r="U2622">
        <v>0</v>
      </c>
      <c r="V2622">
        <v>0</v>
      </c>
    </row>
    <row r="2623" spans="1:22" x14ac:dyDescent="0.2">
      <c r="A2623"/>
      <c r="B2623">
        <v>54007</v>
      </c>
      <c r="C2623" t="s">
        <v>2275</v>
      </c>
      <c r="D2623" t="s">
        <v>1061</v>
      </c>
      <c r="E2623" t="s">
        <v>1200</v>
      </c>
      <c r="F2623" t="s">
        <v>2072</v>
      </c>
      <c r="G2623">
        <v>25.88</v>
      </c>
      <c r="H2623" t="s">
        <v>248</v>
      </c>
      <c r="Q2623">
        <v>2425.0500227500002</v>
      </c>
      <c r="R2623">
        <v>31396.617536099999</v>
      </c>
      <c r="S2623">
        <v>-27.081396210800001</v>
      </c>
      <c r="T2623">
        <v>140.60626285500001</v>
      </c>
      <c r="U2623">
        <v>0</v>
      </c>
      <c r="V2623">
        <v>0</v>
      </c>
    </row>
    <row r="2624" spans="1:22" x14ac:dyDescent="0.2">
      <c r="A2624"/>
      <c r="B2624">
        <v>54008</v>
      </c>
      <c r="C2624" t="s">
        <v>2276</v>
      </c>
      <c r="D2624" t="s">
        <v>1061</v>
      </c>
      <c r="E2624" t="s">
        <v>1200</v>
      </c>
      <c r="F2624" t="s">
        <v>2036</v>
      </c>
      <c r="G2624">
        <v>33.409999999999997</v>
      </c>
      <c r="H2624" t="s">
        <v>248</v>
      </c>
      <c r="Q2624">
        <v>2430.1781768699998</v>
      </c>
      <c r="R2624">
        <v>31385.843033100002</v>
      </c>
      <c r="S2624">
        <v>-26.987890032700001</v>
      </c>
      <c r="T2624">
        <v>139.56402586999999</v>
      </c>
      <c r="U2624">
        <v>0</v>
      </c>
      <c r="V2624">
        <v>0</v>
      </c>
    </row>
    <row r="2625" spans="1:22" x14ac:dyDescent="0.2">
      <c r="A2625"/>
      <c r="B2625">
        <v>54009</v>
      </c>
      <c r="C2625" t="s">
        <v>2277</v>
      </c>
      <c r="D2625" t="s">
        <v>1061</v>
      </c>
      <c r="E2625" t="s">
        <v>1200</v>
      </c>
      <c r="F2625" t="s">
        <v>2074</v>
      </c>
      <c r="G2625">
        <v>53.75</v>
      </c>
      <c r="H2625" t="s">
        <v>248</v>
      </c>
      <c r="Q2625">
        <v>2406.2365021999999</v>
      </c>
      <c r="R2625">
        <v>31417.3471479</v>
      </c>
      <c r="S2625">
        <v>-27.395222988099999</v>
      </c>
      <c r="T2625">
        <v>139.96853650099999</v>
      </c>
      <c r="U2625">
        <v>0</v>
      </c>
      <c r="V2625">
        <v>0</v>
      </c>
    </row>
    <row r="2626" spans="1:22" x14ac:dyDescent="0.2">
      <c r="A2626"/>
      <c r="B2626">
        <v>54010</v>
      </c>
      <c r="C2626" t="s">
        <v>2278</v>
      </c>
      <c r="D2626" t="s">
        <v>1061</v>
      </c>
      <c r="E2626" t="s">
        <v>1200</v>
      </c>
      <c r="F2626" t="s">
        <v>2062</v>
      </c>
      <c r="G2626">
        <v>43</v>
      </c>
      <c r="H2626" t="s">
        <v>248</v>
      </c>
      <c r="Q2626">
        <v>2394.0041025199998</v>
      </c>
      <c r="R2626">
        <v>31411.002056699999</v>
      </c>
      <c r="S2626">
        <v>-27.506870790200001</v>
      </c>
      <c r="T2626">
        <v>140.629476313</v>
      </c>
      <c r="U2626">
        <v>0</v>
      </c>
      <c r="V2626">
        <v>0</v>
      </c>
    </row>
    <row r="2627" spans="1:22" x14ac:dyDescent="0.2">
      <c r="A2627"/>
      <c r="B2627">
        <v>54011</v>
      </c>
      <c r="C2627" t="s">
        <v>2279</v>
      </c>
      <c r="D2627" t="s">
        <v>1061</v>
      </c>
      <c r="E2627" t="s">
        <v>1200</v>
      </c>
      <c r="F2627" t="s">
        <v>2030</v>
      </c>
      <c r="G2627">
        <v>41.92</v>
      </c>
      <c r="H2627" t="s">
        <v>248</v>
      </c>
      <c r="Q2627">
        <v>2381.9075464900002</v>
      </c>
      <c r="R2627">
        <v>31408.166098500002</v>
      </c>
      <c r="S2627">
        <v>-27.640226069000001</v>
      </c>
      <c r="T2627">
        <v>156.186958336</v>
      </c>
      <c r="U2627">
        <v>0</v>
      </c>
      <c r="V2627">
        <v>0</v>
      </c>
    </row>
    <row r="2628" spans="1:22" x14ac:dyDescent="0.2">
      <c r="A2628"/>
      <c r="B2628">
        <v>54012</v>
      </c>
      <c r="C2628" t="s">
        <v>2280</v>
      </c>
      <c r="D2628" t="s">
        <v>1061</v>
      </c>
      <c r="E2628" t="s">
        <v>1200</v>
      </c>
      <c r="F2628" t="s">
        <v>1955</v>
      </c>
      <c r="G2628">
        <v>40</v>
      </c>
      <c r="H2628" t="s">
        <v>248</v>
      </c>
      <c r="Q2628">
        <v>2385.27660457</v>
      </c>
      <c r="R2628">
        <v>31374.885838900002</v>
      </c>
      <c r="S2628">
        <v>-27.434233643199999</v>
      </c>
      <c r="T2628">
        <v>155.16350361799999</v>
      </c>
      <c r="U2628">
        <v>0</v>
      </c>
      <c r="V2628">
        <v>0</v>
      </c>
    </row>
    <row r="2629" spans="1:22" x14ac:dyDescent="0.2">
      <c r="A2629"/>
      <c r="B2629">
        <v>54013</v>
      </c>
      <c r="C2629" t="s">
        <v>2281</v>
      </c>
      <c r="D2629" t="s">
        <v>1061</v>
      </c>
      <c r="E2629" t="s">
        <v>1200</v>
      </c>
      <c r="F2629" t="s">
        <v>2056</v>
      </c>
      <c r="G2629">
        <v>57.26</v>
      </c>
      <c r="H2629" t="s">
        <v>248</v>
      </c>
      <c r="Q2629">
        <v>2298.9857613300001</v>
      </c>
      <c r="R2629">
        <v>31471.641896000001</v>
      </c>
      <c r="S2629">
        <v>-28.9084743202</v>
      </c>
      <c r="T2629">
        <v>152.97022797299999</v>
      </c>
      <c r="U2629">
        <v>0</v>
      </c>
      <c r="V2629">
        <v>0</v>
      </c>
    </row>
    <row r="2630" spans="1:22" x14ac:dyDescent="0.2">
      <c r="A2630"/>
      <c r="B2630">
        <v>54014</v>
      </c>
      <c r="C2630" t="s">
        <v>2282</v>
      </c>
      <c r="D2630" t="s">
        <v>1061</v>
      </c>
      <c r="E2630" t="s">
        <v>1200</v>
      </c>
      <c r="F2630" t="s">
        <v>2044</v>
      </c>
      <c r="G2630">
        <v>52.54</v>
      </c>
      <c r="H2630" t="s">
        <v>248</v>
      </c>
      <c r="Q2630">
        <v>2302.3069873700001</v>
      </c>
      <c r="R2630">
        <v>31454.8715662</v>
      </c>
      <c r="S2630">
        <v>-28.780121292800001</v>
      </c>
      <c r="T2630">
        <v>152.45476765999999</v>
      </c>
      <c r="U2630">
        <v>0</v>
      </c>
      <c r="V2630">
        <v>0</v>
      </c>
    </row>
    <row r="2631" spans="1:22" x14ac:dyDescent="0.2">
      <c r="A2631"/>
      <c r="B2631">
        <v>54015</v>
      </c>
      <c r="C2631" t="s">
        <v>2283</v>
      </c>
      <c r="D2631" t="s">
        <v>1061</v>
      </c>
      <c r="E2631" t="s">
        <v>1200</v>
      </c>
      <c r="F2631" t="s">
        <v>2022</v>
      </c>
      <c r="G2631">
        <v>39</v>
      </c>
      <c r="H2631" t="s">
        <v>248</v>
      </c>
      <c r="Q2631">
        <v>2292.9691524999998</v>
      </c>
      <c r="R2631">
        <v>31440.4110439</v>
      </c>
      <c r="S2631">
        <v>-28.821615487500001</v>
      </c>
      <c r="T2631">
        <v>148.68930898799999</v>
      </c>
      <c r="U2631">
        <v>0</v>
      </c>
      <c r="V2631">
        <v>0</v>
      </c>
    </row>
    <row r="2632" spans="1:22" x14ac:dyDescent="0.2">
      <c r="A2632"/>
      <c r="B2632">
        <v>54016</v>
      </c>
      <c r="C2632" t="s">
        <v>2284</v>
      </c>
      <c r="D2632" t="s">
        <v>1061</v>
      </c>
      <c r="E2632" t="s">
        <v>1200</v>
      </c>
      <c r="F2632" t="s">
        <v>2005</v>
      </c>
      <c r="G2632">
        <v>3</v>
      </c>
      <c r="H2632" t="s">
        <v>248</v>
      </c>
      <c r="Q2632">
        <v>2288.07784739</v>
      </c>
      <c r="R2632">
        <v>31428.367144600001</v>
      </c>
      <c r="S2632">
        <v>-28.813298775100002</v>
      </c>
      <c r="T2632">
        <v>151.01928443200001</v>
      </c>
      <c r="U2632">
        <v>0</v>
      </c>
      <c r="V2632">
        <v>0</v>
      </c>
    </row>
    <row r="2633" spans="1:22" x14ac:dyDescent="0.2">
      <c r="A2633"/>
      <c r="B2633">
        <v>54017</v>
      </c>
      <c r="C2633" t="s">
        <v>2285</v>
      </c>
      <c r="D2633" t="s">
        <v>1061</v>
      </c>
      <c r="E2633" t="s">
        <v>1200</v>
      </c>
      <c r="F2633" t="s">
        <v>2082</v>
      </c>
      <c r="G2633">
        <v>174.32</v>
      </c>
      <c r="H2633" t="s">
        <v>248</v>
      </c>
      <c r="Q2633">
        <v>2339.04939216</v>
      </c>
      <c r="R2633">
        <v>31481.105653099999</v>
      </c>
      <c r="S2633">
        <v>-28.479707576500001</v>
      </c>
      <c r="T2633">
        <v>140.30908018900001</v>
      </c>
      <c r="U2633">
        <v>0</v>
      </c>
      <c r="V2633">
        <v>0</v>
      </c>
    </row>
    <row r="2634" spans="1:22" x14ac:dyDescent="0.2">
      <c r="A2634"/>
      <c r="B2634">
        <v>54018</v>
      </c>
      <c r="C2634" t="s">
        <v>2286</v>
      </c>
      <c r="D2634" t="s">
        <v>1061</v>
      </c>
      <c r="E2634" t="s">
        <v>1200</v>
      </c>
      <c r="F2634" t="s">
        <v>2087</v>
      </c>
      <c r="G2634">
        <v>6.1</v>
      </c>
      <c r="H2634" t="s">
        <v>248</v>
      </c>
      <c r="Q2634">
        <v>2267.72161594</v>
      </c>
      <c r="R2634">
        <v>31540.742573799998</v>
      </c>
      <c r="S2634">
        <v>-29.593701472500001</v>
      </c>
      <c r="T2634">
        <v>139.895625935</v>
      </c>
      <c r="U2634">
        <v>0</v>
      </c>
      <c r="V2634">
        <v>0</v>
      </c>
    </row>
    <row r="2635" spans="1:22" x14ac:dyDescent="0.2">
      <c r="A2635"/>
      <c r="B2635">
        <v>54019</v>
      </c>
      <c r="C2635" t="s">
        <v>2287</v>
      </c>
      <c r="D2635" t="s">
        <v>1061</v>
      </c>
      <c r="E2635" t="s">
        <v>1200</v>
      </c>
      <c r="F2635" t="s">
        <v>2011</v>
      </c>
      <c r="G2635">
        <v>43</v>
      </c>
      <c r="H2635" t="s">
        <v>248</v>
      </c>
      <c r="Q2635">
        <v>2253.7224494299999</v>
      </c>
      <c r="R2635">
        <v>31448.782133600002</v>
      </c>
      <c r="S2635">
        <v>-29.313620093299999</v>
      </c>
      <c r="T2635">
        <v>151.87825517900001</v>
      </c>
      <c r="U2635">
        <v>0</v>
      </c>
      <c r="V2635">
        <v>0</v>
      </c>
    </row>
    <row r="2636" spans="1:22" x14ac:dyDescent="0.2">
      <c r="A2636"/>
      <c r="B2636">
        <v>54020</v>
      </c>
      <c r="C2636" t="s">
        <v>2288</v>
      </c>
      <c r="D2636" t="s">
        <v>1061</v>
      </c>
      <c r="E2636" t="s">
        <v>1200</v>
      </c>
      <c r="F2636" t="s">
        <v>2000</v>
      </c>
      <c r="G2636">
        <v>30.3</v>
      </c>
      <c r="H2636" t="s">
        <v>248</v>
      </c>
      <c r="Q2636">
        <v>2232.2629414500002</v>
      </c>
      <c r="R2636">
        <v>31440.228756299999</v>
      </c>
      <c r="S2636">
        <v>-29.521055556299999</v>
      </c>
      <c r="T2636">
        <v>162.796295722</v>
      </c>
      <c r="U2636">
        <v>0</v>
      </c>
      <c r="V2636">
        <v>0</v>
      </c>
    </row>
    <row r="2637" spans="1:22" x14ac:dyDescent="0.2">
      <c r="A2637"/>
      <c r="B2637">
        <v>54021</v>
      </c>
      <c r="C2637" t="s">
        <v>2289</v>
      </c>
      <c r="D2637" t="s">
        <v>1061</v>
      </c>
      <c r="E2637" t="s">
        <v>1200</v>
      </c>
      <c r="F2637" t="s">
        <v>1985</v>
      </c>
      <c r="G2637">
        <v>32.93</v>
      </c>
      <c r="H2637" t="s">
        <v>248</v>
      </c>
      <c r="Q2637">
        <v>2235.4476166600002</v>
      </c>
      <c r="R2637">
        <v>31426.4582768</v>
      </c>
      <c r="S2637">
        <v>-29.416291105500001</v>
      </c>
      <c r="T2637">
        <v>170.008776055</v>
      </c>
      <c r="U2637">
        <v>0</v>
      </c>
      <c r="V2637">
        <v>0</v>
      </c>
    </row>
    <row r="2638" spans="1:22" x14ac:dyDescent="0.2">
      <c r="A2638"/>
      <c r="B2638">
        <v>54022</v>
      </c>
      <c r="C2638" t="s">
        <v>2290</v>
      </c>
      <c r="D2638" t="s">
        <v>1061</v>
      </c>
      <c r="E2638" t="s">
        <v>1200</v>
      </c>
      <c r="F2638" t="s">
        <v>1958</v>
      </c>
      <c r="G2638">
        <v>48.2</v>
      </c>
      <c r="H2638" t="s">
        <v>248</v>
      </c>
      <c r="Q2638">
        <v>2216.4581001299998</v>
      </c>
      <c r="R2638">
        <v>31449.713458099999</v>
      </c>
      <c r="S2638">
        <v>-29.744360113900001</v>
      </c>
      <c r="T2638">
        <v>156.87343048899999</v>
      </c>
      <c r="U2638">
        <v>0</v>
      </c>
      <c r="V2638">
        <v>0</v>
      </c>
    </row>
    <row r="2639" spans="1:22" x14ac:dyDescent="0.2">
      <c r="A2639"/>
      <c r="B2639">
        <v>54023</v>
      </c>
      <c r="C2639" t="s">
        <v>2291</v>
      </c>
      <c r="D2639" t="s">
        <v>1061</v>
      </c>
      <c r="E2639" t="s">
        <v>1200</v>
      </c>
      <c r="F2639" t="s">
        <v>1995</v>
      </c>
      <c r="G2639">
        <v>74.58</v>
      </c>
      <c r="H2639" t="s">
        <v>248</v>
      </c>
      <c r="Q2639">
        <v>2218.67519588</v>
      </c>
      <c r="R2639">
        <v>31439.493941500001</v>
      </c>
      <c r="S2639">
        <v>-29.679541396400001</v>
      </c>
      <c r="T2639">
        <v>161.51268509499999</v>
      </c>
      <c r="U2639">
        <v>0</v>
      </c>
      <c r="V2639">
        <v>0</v>
      </c>
    </row>
    <row r="2640" spans="1:22" x14ac:dyDescent="0.2">
      <c r="A2640"/>
      <c r="B2640">
        <v>54024</v>
      </c>
      <c r="C2640" t="s">
        <v>2292</v>
      </c>
      <c r="D2640" t="s">
        <v>1061</v>
      </c>
      <c r="E2640" t="s">
        <v>1200</v>
      </c>
      <c r="F2640" t="s">
        <v>1990</v>
      </c>
      <c r="G2640">
        <v>60.85</v>
      </c>
      <c r="H2640" t="s">
        <v>248</v>
      </c>
      <c r="Q2640">
        <v>2209.0724153699998</v>
      </c>
      <c r="R2640">
        <v>31437.553784</v>
      </c>
      <c r="S2640">
        <v>-29.771695512800001</v>
      </c>
      <c r="T2640">
        <v>160.68705960899999</v>
      </c>
      <c r="U2640">
        <v>0</v>
      </c>
      <c r="V2640">
        <v>0</v>
      </c>
    </row>
    <row r="2641" spans="1:22" x14ac:dyDescent="0.2">
      <c r="A2641"/>
      <c r="B2641">
        <v>54025</v>
      </c>
      <c r="C2641" t="s">
        <v>2293</v>
      </c>
      <c r="D2641" t="s">
        <v>1061</v>
      </c>
      <c r="E2641" t="s">
        <v>1200</v>
      </c>
      <c r="F2641" t="s">
        <v>1966</v>
      </c>
      <c r="G2641">
        <v>37.42</v>
      </c>
      <c r="H2641" t="s">
        <v>248</v>
      </c>
      <c r="Q2641">
        <v>2211.5437249199999</v>
      </c>
      <c r="R2641">
        <v>31427.058344100002</v>
      </c>
      <c r="S2641">
        <v>-29.694476502499999</v>
      </c>
      <c r="T2641">
        <v>161.924737956</v>
      </c>
      <c r="U2641">
        <v>0</v>
      </c>
      <c r="V2641">
        <v>0</v>
      </c>
    </row>
    <row r="2642" spans="1:22" x14ac:dyDescent="0.2">
      <c r="A2642"/>
      <c r="B2642">
        <v>54026</v>
      </c>
      <c r="C2642" t="s">
        <v>2294</v>
      </c>
      <c r="D2642" t="s">
        <v>1061</v>
      </c>
      <c r="E2642" t="s">
        <v>1200</v>
      </c>
      <c r="F2642" t="s">
        <v>2132</v>
      </c>
      <c r="G2642">
        <v>33</v>
      </c>
      <c r="H2642" t="s">
        <v>248</v>
      </c>
      <c r="Q2642">
        <v>2195.25638802</v>
      </c>
      <c r="R2642">
        <v>31424.4648237</v>
      </c>
      <c r="S2642">
        <v>-29.866074408999999</v>
      </c>
      <c r="T2642">
        <v>164.53054029899999</v>
      </c>
      <c r="U2642">
        <v>0</v>
      </c>
      <c r="V2642">
        <v>0</v>
      </c>
    </row>
    <row r="2643" spans="1:22" x14ac:dyDescent="0.2">
      <c r="A2643"/>
      <c r="B2643">
        <v>54027</v>
      </c>
      <c r="C2643" t="s">
        <v>2295</v>
      </c>
      <c r="D2643" t="s">
        <v>1061</v>
      </c>
      <c r="E2643" t="s">
        <v>1200</v>
      </c>
      <c r="F2643" t="s">
        <v>1965</v>
      </c>
      <c r="G2643">
        <v>4.1900000000000004</v>
      </c>
      <c r="H2643" t="s">
        <v>248</v>
      </c>
      <c r="Q2643">
        <v>2295.6789373699999</v>
      </c>
      <c r="R2643">
        <v>31373.471927099999</v>
      </c>
      <c r="S2643">
        <v>-28.4700506754</v>
      </c>
      <c r="T2643">
        <v>-175.226809715</v>
      </c>
      <c r="U2643">
        <v>0</v>
      </c>
      <c r="V2643">
        <v>0</v>
      </c>
    </row>
    <row r="2644" spans="1:22" x14ac:dyDescent="0.2">
      <c r="A2644"/>
      <c r="B2644">
        <v>54028</v>
      </c>
      <c r="C2644" t="s">
        <v>2296</v>
      </c>
      <c r="D2644" t="s">
        <v>1061</v>
      </c>
      <c r="E2644" t="s">
        <v>1200</v>
      </c>
      <c r="F2644" t="s">
        <v>2139</v>
      </c>
      <c r="G2644">
        <v>47.59</v>
      </c>
      <c r="H2644" t="s">
        <v>248</v>
      </c>
      <c r="Q2644">
        <v>2249.9171221900001</v>
      </c>
      <c r="R2644">
        <v>31356.4583814</v>
      </c>
      <c r="S2644">
        <v>-28.922267782599999</v>
      </c>
      <c r="T2644">
        <v>-165.39601196000001</v>
      </c>
      <c r="U2644">
        <v>0</v>
      </c>
      <c r="V2644">
        <v>0</v>
      </c>
    </row>
    <row r="2645" spans="1:22" x14ac:dyDescent="0.2">
      <c r="A2645"/>
      <c r="B2645">
        <v>54029</v>
      </c>
      <c r="C2645" t="s">
        <v>2297</v>
      </c>
      <c r="D2645" t="s">
        <v>1061</v>
      </c>
      <c r="E2645" t="s">
        <v>1200</v>
      </c>
      <c r="F2645" t="s">
        <v>1972</v>
      </c>
      <c r="G2645">
        <v>28</v>
      </c>
      <c r="H2645" t="s">
        <v>248</v>
      </c>
      <c r="Q2645">
        <v>2244.8579602200002</v>
      </c>
      <c r="R2645">
        <v>31368.838363899999</v>
      </c>
      <c r="S2645">
        <v>-29.029218588399999</v>
      </c>
      <c r="T2645">
        <v>-170.28333878500001</v>
      </c>
      <c r="U2645">
        <v>0</v>
      </c>
      <c r="V2645">
        <v>0</v>
      </c>
    </row>
    <row r="2646" spans="1:22" x14ac:dyDescent="0.2">
      <c r="A2646"/>
      <c r="B2646">
        <v>54030</v>
      </c>
      <c r="C2646" t="s">
        <v>2298</v>
      </c>
      <c r="D2646" t="s">
        <v>1061</v>
      </c>
      <c r="E2646" t="s">
        <v>1200</v>
      </c>
      <c r="F2646" t="s">
        <v>1921</v>
      </c>
      <c r="G2646">
        <v>288</v>
      </c>
      <c r="H2646" t="s">
        <v>248</v>
      </c>
      <c r="Q2646">
        <v>3312.8641835100002</v>
      </c>
      <c r="R2646">
        <v>31985.6363848</v>
      </c>
      <c r="S2646">
        <v>-10.7924920281</v>
      </c>
      <c r="T2646">
        <v>-103.97552144799999</v>
      </c>
      <c r="U2646">
        <v>0</v>
      </c>
      <c r="V2646">
        <v>0</v>
      </c>
    </row>
    <row r="2647" spans="1:22" x14ac:dyDescent="0.2">
      <c r="A2647"/>
      <c r="B2647">
        <v>54031</v>
      </c>
      <c r="C2647" t="s">
        <v>2299</v>
      </c>
      <c r="D2647" t="s">
        <v>1061</v>
      </c>
      <c r="E2647" t="s">
        <v>1200</v>
      </c>
      <c r="F2647" t="s">
        <v>128</v>
      </c>
      <c r="G2647">
        <v>45</v>
      </c>
      <c r="H2647" t="s">
        <v>248</v>
      </c>
      <c r="Q2647">
        <v>6832.8186488399997</v>
      </c>
      <c r="R2647">
        <v>36718.662368899997</v>
      </c>
      <c r="S2647">
        <v>-9.1598616581200005</v>
      </c>
      <c r="T2647">
        <v>53.224691811200003</v>
      </c>
      <c r="U2647">
        <v>0</v>
      </c>
      <c r="V2647">
        <v>0</v>
      </c>
    </row>
    <row r="2648" spans="1:22" x14ac:dyDescent="0.2">
      <c r="A2648"/>
      <c r="B2648">
        <v>54032</v>
      </c>
      <c r="C2648" t="s">
        <v>2300</v>
      </c>
      <c r="D2648" t="s">
        <v>1061</v>
      </c>
      <c r="E2648" t="s">
        <v>1200</v>
      </c>
      <c r="F2648" t="s">
        <v>1920</v>
      </c>
      <c r="G2648">
        <v>71</v>
      </c>
      <c r="H2648" t="s">
        <v>248</v>
      </c>
      <c r="Q2648">
        <v>6872.9580513000001</v>
      </c>
      <c r="R2648">
        <v>36772.375534500003</v>
      </c>
      <c r="S2648">
        <v>-9.1639562493700009</v>
      </c>
      <c r="T2648">
        <v>53.2089466722</v>
      </c>
      <c r="U2648">
        <v>0</v>
      </c>
      <c r="V2648">
        <v>0</v>
      </c>
    </row>
    <row r="2649" spans="1:22" x14ac:dyDescent="0.2">
      <c r="A2649"/>
      <c r="B2649">
        <v>54033</v>
      </c>
      <c r="C2649" t="s">
        <v>4344</v>
      </c>
      <c r="D2649" t="s">
        <v>1061</v>
      </c>
      <c r="E2649" t="s">
        <v>1200</v>
      </c>
      <c r="F2649" t="s">
        <v>2197</v>
      </c>
      <c r="G2649">
        <v>26</v>
      </c>
      <c r="H2649" t="s">
        <v>248</v>
      </c>
      <c r="Q2649">
        <v>2405.9351722800002</v>
      </c>
      <c r="R2649">
        <v>31398.3861941</v>
      </c>
      <c r="S2649">
        <v>-27.3249445772</v>
      </c>
      <c r="T2649">
        <v>145.93012889900001</v>
      </c>
      <c r="U2649">
        <v>0</v>
      </c>
      <c r="V2649">
        <v>0</v>
      </c>
    </row>
    <row r="2650" spans="1:22" x14ac:dyDescent="0.2">
      <c r="A2650"/>
      <c r="B2650">
        <v>70000</v>
      </c>
      <c r="C2650" t="s">
        <v>1277</v>
      </c>
      <c r="D2650" t="s">
        <v>919</v>
      </c>
      <c r="E2650" t="s">
        <v>1200</v>
      </c>
      <c r="F2650" t="s">
        <v>106</v>
      </c>
      <c r="G2650">
        <v>19.6178341481519</v>
      </c>
      <c r="H2650" t="s">
        <v>1270</v>
      </c>
      <c r="I2650">
        <v>0</v>
      </c>
      <c r="J2650">
        <v>0</v>
      </c>
      <c r="K2650">
        <v>0</v>
      </c>
      <c r="L2650">
        <v>0</v>
      </c>
      <c r="M2650" t="s">
        <v>188</v>
      </c>
      <c r="N2650">
        <v>19.6178341481519</v>
      </c>
      <c r="O2650" t="s">
        <v>12</v>
      </c>
      <c r="P2650" t="b">
        <v>0</v>
      </c>
      <c r="Q2650">
        <v>4857.0008685356524</v>
      </c>
      <c r="R2650">
        <v>21629.09330334721</v>
      </c>
      <c r="S2650">
        <v>-1.2979237087415599E-3</v>
      </c>
      <c r="T2650">
        <v>-104.46790712361441</v>
      </c>
      <c r="U2650">
        <v>0</v>
      </c>
      <c r="V2650">
        <v>0</v>
      </c>
    </row>
    <row r="2651" spans="1:22" x14ac:dyDescent="0.2">
      <c r="A2651"/>
      <c r="B2651">
        <v>70001</v>
      </c>
      <c r="C2651" t="s">
        <v>1278</v>
      </c>
      <c r="D2651" t="s">
        <v>1052</v>
      </c>
      <c r="E2651" t="s">
        <v>1269</v>
      </c>
      <c r="F2651" t="s">
        <v>106</v>
      </c>
      <c r="G2651">
        <v>229.90327144173401</v>
      </c>
      <c r="H2651" t="s">
        <v>12</v>
      </c>
      <c r="I2651">
        <v>-2.1</v>
      </c>
      <c r="J2651">
        <v>0</v>
      </c>
      <c r="K2651">
        <v>0</v>
      </c>
      <c r="L2651">
        <v>0</v>
      </c>
      <c r="M2651" t="s">
        <v>188</v>
      </c>
      <c r="N2651">
        <v>229.90327144173401</v>
      </c>
      <c r="O2651" t="s">
        <v>12</v>
      </c>
      <c r="P2651" t="b">
        <v>1</v>
      </c>
      <c r="Q2651">
        <v>4907.495569952087</v>
      </c>
      <c r="R2651">
        <v>21833.236444737999</v>
      </c>
      <c r="S2651">
        <v>-2.5104718140467542E-4</v>
      </c>
      <c r="T2651">
        <v>75.550009473956308</v>
      </c>
      <c r="U2651">
        <v>0</v>
      </c>
      <c r="V2651">
        <v>0</v>
      </c>
    </row>
    <row r="2652" spans="1:22" x14ac:dyDescent="0.2">
      <c r="A2652"/>
      <c r="B2652">
        <v>70002</v>
      </c>
      <c r="C2652" t="s">
        <v>1279</v>
      </c>
      <c r="D2652" t="s">
        <v>1044</v>
      </c>
      <c r="E2652" t="s">
        <v>1271</v>
      </c>
      <c r="F2652" t="s">
        <v>106</v>
      </c>
      <c r="G2652">
        <v>229.90327144173401</v>
      </c>
      <c r="H2652" t="s">
        <v>12</v>
      </c>
      <c r="I2652">
        <v>-2.1</v>
      </c>
      <c r="J2652">
        <v>3.2</v>
      </c>
      <c r="K2652">
        <v>0</v>
      </c>
      <c r="L2652">
        <v>0</v>
      </c>
      <c r="M2652" t="s">
        <v>188</v>
      </c>
      <c r="N2652">
        <v>229.90327144173401</v>
      </c>
      <c r="O2652" t="s">
        <v>12</v>
      </c>
      <c r="P2652" t="b">
        <v>1</v>
      </c>
      <c r="Q2652">
        <v>4907.495654192152</v>
      </c>
      <c r="R2652">
        <v>21833.236771647003</v>
      </c>
      <c r="S2652">
        <v>3.1997489350114261</v>
      </c>
      <c r="T2652">
        <v>75.550009473956308</v>
      </c>
      <c r="U2652">
        <v>0</v>
      </c>
      <c r="V2652">
        <v>0</v>
      </c>
    </row>
    <row r="2653" spans="1:22" x14ac:dyDescent="0.2">
      <c r="A2653"/>
      <c r="B2653">
        <v>70003</v>
      </c>
      <c r="C2653" t="s">
        <v>1280</v>
      </c>
      <c r="D2653" t="s">
        <v>1052</v>
      </c>
      <c r="E2653" t="s">
        <v>1269</v>
      </c>
      <c r="F2653" t="s">
        <v>122</v>
      </c>
      <c r="G2653">
        <v>70.326467941479336</v>
      </c>
      <c r="H2653" t="s">
        <v>1270</v>
      </c>
      <c r="I2653">
        <v>-2.2999999999999998</v>
      </c>
      <c r="J2653">
        <v>0</v>
      </c>
      <c r="K2653">
        <v>0</v>
      </c>
      <c r="L2653">
        <v>0</v>
      </c>
      <c r="M2653" t="s">
        <v>188</v>
      </c>
      <c r="N2653">
        <v>394.26125338817201</v>
      </c>
      <c r="O2653" t="s">
        <v>12</v>
      </c>
      <c r="P2653" t="b">
        <v>0</v>
      </c>
      <c r="Q2653">
        <v>4952.8485188234354</v>
      </c>
      <c r="R2653">
        <v>21991.287093967956</v>
      </c>
      <c r="S2653">
        <v>-4.0275987449511427E-3</v>
      </c>
      <c r="T2653">
        <v>-104.19654306446758</v>
      </c>
      <c r="U2653">
        <v>0</v>
      </c>
      <c r="V2653">
        <v>0</v>
      </c>
    </row>
    <row r="2654" spans="1:22" x14ac:dyDescent="0.2">
      <c r="A2654"/>
      <c r="B2654">
        <v>70004</v>
      </c>
      <c r="C2654" t="s">
        <v>1281</v>
      </c>
      <c r="D2654" t="s">
        <v>1044</v>
      </c>
      <c r="E2654" t="s">
        <v>1271</v>
      </c>
      <c r="F2654" t="s">
        <v>122</v>
      </c>
      <c r="G2654">
        <v>70.326467941479336</v>
      </c>
      <c r="H2654" t="s">
        <v>1270</v>
      </c>
      <c r="I2654">
        <v>-2.2999999999999998</v>
      </c>
      <c r="J2654">
        <v>3.2</v>
      </c>
      <c r="K2654">
        <v>0</v>
      </c>
      <c r="L2654">
        <v>0</v>
      </c>
      <c r="M2654" t="s">
        <v>188</v>
      </c>
      <c r="N2654">
        <v>394.26125338817201</v>
      </c>
      <c r="O2654" t="s">
        <v>12</v>
      </c>
      <c r="P2654" t="b">
        <v>0</v>
      </c>
      <c r="Q2654">
        <v>4952.848539704516</v>
      </c>
      <c r="R2654">
        <v>21991.287176510126</v>
      </c>
      <c r="S2654">
        <v>3.1959724001223573</v>
      </c>
      <c r="T2654">
        <v>-104.19654306446758</v>
      </c>
      <c r="U2654">
        <v>0</v>
      </c>
      <c r="V2654">
        <v>0</v>
      </c>
    </row>
    <row r="2655" spans="1:22" x14ac:dyDescent="0.2">
      <c r="A2655"/>
      <c r="B2655">
        <v>70005</v>
      </c>
      <c r="C2655" t="s">
        <v>1282</v>
      </c>
      <c r="D2655" t="s">
        <v>918</v>
      </c>
      <c r="E2655" t="s">
        <v>1269</v>
      </c>
      <c r="F2655" t="s">
        <v>122</v>
      </c>
      <c r="G2655">
        <v>273.4074560590883</v>
      </c>
      <c r="H2655" t="s">
        <v>12</v>
      </c>
      <c r="I2655">
        <v>-2.2999999999999998</v>
      </c>
      <c r="J2655">
        <v>0</v>
      </c>
      <c r="K2655">
        <v>0</v>
      </c>
      <c r="L2655">
        <v>0</v>
      </c>
      <c r="M2655" t="s">
        <v>188</v>
      </c>
      <c r="N2655">
        <v>597.34224150578098</v>
      </c>
      <c r="O2655" t="s">
        <v>12</v>
      </c>
      <c r="P2655" t="b">
        <v>1</v>
      </c>
      <c r="Q2655">
        <v>4988.0249296405082</v>
      </c>
      <c r="R2655">
        <v>22191.355316590056</v>
      </c>
      <c r="S2655">
        <v>-0.28531305286386988</v>
      </c>
      <c r="T2655">
        <v>79.920777403778629</v>
      </c>
      <c r="U2655">
        <v>0</v>
      </c>
      <c r="V2655">
        <v>0</v>
      </c>
    </row>
    <row r="2656" spans="1:22" x14ac:dyDescent="0.2">
      <c r="A2656"/>
      <c r="B2656">
        <v>70006</v>
      </c>
      <c r="C2656" t="s">
        <v>1283</v>
      </c>
      <c r="D2656" t="s">
        <v>1044</v>
      </c>
      <c r="E2656" t="s">
        <v>1271</v>
      </c>
      <c r="F2656" t="s">
        <v>122</v>
      </c>
      <c r="G2656">
        <v>273.4074560590883</v>
      </c>
      <c r="H2656" t="s">
        <v>12</v>
      </c>
      <c r="I2656">
        <v>-2.2999999999999998</v>
      </c>
      <c r="J2656">
        <v>5.2</v>
      </c>
      <c r="K2656">
        <v>0</v>
      </c>
      <c r="L2656">
        <v>0</v>
      </c>
      <c r="M2656" t="s">
        <v>188</v>
      </c>
      <c r="N2656">
        <v>597.34224150578098</v>
      </c>
      <c r="O2656" t="s">
        <v>12</v>
      </c>
      <c r="P2656" t="b">
        <v>1</v>
      </c>
      <c r="Q2656">
        <v>4988.0377562464419</v>
      </c>
      <c r="R2656">
        <v>22191.42747629997</v>
      </c>
      <c r="S2656">
        <v>4.9141704267180391</v>
      </c>
      <c r="T2656">
        <v>79.920777403778629</v>
      </c>
      <c r="U2656">
        <v>0</v>
      </c>
      <c r="V2656">
        <v>0</v>
      </c>
    </row>
    <row r="2657" spans="1:22" x14ac:dyDescent="0.2">
      <c r="A2657"/>
      <c r="B2657">
        <v>70007</v>
      </c>
      <c r="C2657" t="s">
        <v>1284</v>
      </c>
      <c r="D2657" t="s">
        <v>918</v>
      </c>
      <c r="E2657" t="s">
        <v>1269</v>
      </c>
      <c r="F2657" t="s">
        <v>123</v>
      </c>
      <c r="G2657">
        <v>74.650494335240069</v>
      </c>
      <c r="H2657" t="s">
        <v>1270</v>
      </c>
      <c r="I2657">
        <v>-2.5</v>
      </c>
      <c r="J2657">
        <v>0</v>
      </c>
      <c r="K2657">
        <v>0</v>
      </c>
      <c r="L2657">
        <v>0</v>
      </c>
      <c r="M2657" t="s">
        <v>188</v>
      </c>
      <c r="N2657">
        <v>775.43141344984599</v>
      </c>
      <c r="O2657" t="s">
        <v>12</v>
      </c>
      <c r="P2657" t="b">
        <v>0</v>
      </c>
      <c r="Q2657">
        <v>5024.1214434284584</v>
      </c>
      <c r="R2657">
        <v>22365.804618187296</v>
      </c>
      <c r="S2657">
        <v>-1.7112909953168243</v>
      </c>
      <c r="T2657">
        <v>-100.1312500231486</v>
      </c>
      <c r="U2657">
        <v>0</v>
      </c>
      <c r="V2657">
        <v>0</v>
      </c>
    </row>
    <row r="2658" spans="1:22" x14ac:dyDescent="0.2">
      <c r="A2658"/>
      <c r="B2658">
        <v>70008</v>
      </c>
      <c r="C2658" t="s">
        <v>1285</v>
      </c>
      <c r="D2658" t="s">
        <v>919</v>
      </c>
      <c r="E2658" t="s">
        <v>1200</v>
      </c>
      <c r="F2658" t="s">
        <v>82</v>
      </c>
      <c r="G2658">
        <v>19.6170556638961</v>
      </c>
      <c r="H2658" t="s">
        <v>1270</v>
      </c>
      <c r="I2658">
        <v>0</v>
      </c>
      <c r="J2658">
        <v>0</v>
      </c>
      <c r="K2658">
        <v>0</v>
      </c>
      <c r="L2658">
        <v>0</v>
      </c>
      <c r="M2658" t="s">
        <v>187</v>
      </c>
      <c r="N2658">
        <v>19.6170556638961</v>
      </c>
      <c r="O2658" t="s">
        <v>12</v>
      </c>
      <c r="P2658" t="b">
        <v>0</v>
      </c>
      <c r="Q2658">
        <v>4861.8049493589824</v>
      </c>
      <c r="R2658">
        <v>21627.677587071845</v>
      </c>
      <c r="S2658">
        <v>4.0544968221228411E-4</v>
      </c>
      <c r="T2658">
        <v>-104.4588914550458</v>
      </c>
      <c r="U2658">
        <v>0</v>
      </c>
      <c r="V2658">
        <v>0</v>
      </c>
    </row>
    <row r="2659" spans="1:22" x14ac:dyDescent="0.2">
      <c r="A2659"/>
      <c r="B2659">
        <v>70009</v>
      </c>
      <c r="C2659" t="s">
        <v>1286</v>
      </c>
      <c r="D2659" t="s">
        <v>1052</v>
      </c>
      <c r="E2659" t="s">
        <v>1269</v>
      </c>
      <c r="F2659" t="s">
        <v>82</v>
      </c>
      <c r="G2659">
        <v>229.89414831041299</v>
      </c>
      <c r="H2659" t="s">
        <v>12</v>
      </c>
      <c r="I2659">
        <v>-2.5</v>
      </c>
      <c r="J2659">
        <v>0</v>
      </c>
      <c r="K2659">
        <v>0</v>
      </c>
      <c r="L2659">
        <v>0</v>
      </c>
      <c r="M2659" t="s">
        <v>187</v>
      </c>
      <c r="N2659">
        <v>229.89414831041299</v>
      </c>
      <c r="O2659" t="s">
        <v>12</v>
      </c>
      <c r="P2659" t="b">
        <v>1</v>
      </c>
      <c r="Q2659">
        <v>4911.8944765466367</v>
      </c>
      <c r="R2659">
        <v>21831.916745074392</v>
      </c>
      <c r="S2659">
        <v>-1.4897395761912903E-2</v>
      </c>
      <c r="T2659">
        <v>75.545102083935248</v>
      </c>
      <c r="U2659">
        <v>0</v>
      </c>
      <c r="V2659">
        <v>0</v>
      </c>
    </row>
    <row r="2660" spans="1:22" x14ac:dyDescent="0.2">
      <c r="A2660"/>
      <c r="B2660">
        <v>70010</v>
      </c>
      <c r="C2660" t="s">
        <v>1287</v>
      </c>
      <c r="D2660" t="s">
        <v>1044</v>
      </c>
      <c r="E2660" t="s">
        <v>1271</v>
      </c>
      <c r="F2660" t="s">
        <v>82</v>
      </c>
      <c r="G2660">
        <v>229.89414831041299</v>
      </c>
      <c r="H2660" t="s">
        <v>12</v>
      </c>
      <c r="I2660">
        <v>-2.5</v>
      </c>
      <c r="J2660">
        <v>3.2</v>
      </c>
      <c r="K2660">
        <v>0</v>
      </c>
      <c r="L2660">
        <v>0</v>
      </c>
      <c r="M2660" t="s">
        <v>187</v>
      </c>
      <c r="N2660">
        <v>229.89414831041299</v>
      </c>
      <c r="O2660" t="s">
        <v>12</v>
      </c>
      <c r="P2660" t="b">
        <v>1</v>
      </c>
      <c r="Q2660">
        <v>4911.8944684668559</v>
      </c>
      <c r="R2660">
        <v>21831.916713730432</v>
      </c>
      <c r="S2660">
        <v>3.18510260407438</v>
      </c>
      <c r="T2660">
        <v>75.545102083935248</v>
      </c>
      <c r="U2660">
        <v>0</v>
      </c>
      <c r="V2660">
        <v>0</v>
      </c>
    </row>
    <row r="2661" spans="1:22" x14ac:dyDescent="0.2">
      <c r="A2661"/>
      <c r="B2661">
        <v>70011</v>
      </c>
      <c r="C2661" t="s">
        <v>1288</v>
      </c>
      <c r="D2661" t="s">
        <v>918</v>
      </c>
      <c r="E2661" t="s">
        <v>1269</v>
      </c>
      <c r="F2661" t="s">
        <v>84</v>
      </c>
      <c r="G2661">
        <v>70.380015649625776</v>
      </c>
      <c r="H2661" t="s">
        <v>1270</v>
      </c>
      <c r="I2661">
        <v>-2.2999999999999998</v>
      </c>
      <c r="J2661">
        <v>0</v>
      </c>
      <c r="K2661">
        <v>0</v>
      </c>
      <c r="L2661">
        <v>0</v>
      </c>
      <c r="M2661" t="s">
        <v>187</v>
      </c>
      <c r="N2661">
        <v>394.30881812018202</v>
      </c>
      <c r="O2661" t="s">
        <v>12</v>
      </c>
      <c r="P2661" t="b">
        <v>0</v>
      </c>
      <c r="Q2661">
        <v>4957.6741125489452</v>
      </c>
      <c r="R2661">
        <v>21989.915970129299</v>
      </c>
      <c r="S2661">
        <v>-4.6349553268555787E-3</v>
      </c>
      <c r="T2661">
        <v>-104.19055840865757</v>
      </c>
      <c r="U2661">
        <v>0</v>
      </c>
      <c r="V2661">
        <v>0</v>
      </c>
    </row>
    <row r="2662" spans="1:22" x14ac:dyDescent="0.2">
      <c r="A2662"/>
      <c r="B2662">
        <v>70012</v>
      </c>
      <c r="C2662" t="s">
        <v>1289</v>
      </c>
      <c r="D2662" t="s">
        <v>1044</v>
      </c>
      <c r="E2662" t="s">
        <v>1271</v>
      </c>
      <c r="F2662" t="s">
        <v>84</v>
      </c>
      <c r="G2662">
        <v>70.380015649625776</v>
      </c>
      <c r="H2662" t="s">
        <v>1270</v>
      </c>
      <c r="I2662">
        <v>-2.2999999999999998</v>
      </c>
      <c r="J2662">
        <v>5.2</v>
      </c>
      <c r="K2662">
        <v>0</v>
      </c>
      <c r="L2662">
        <v>0</v>
      </c>
      <c r="M2662" t="s">
        <v>187</v>
      </c>
      <c r="N2662">
        <v>394.30881812018202</v>
      </c>
      <c r="O2662" t="s">
        <v>12</v>
      </c>
      <c r="P2662" t="b">
        <v>0</v>
      </c>
      <c r="Q2662">
        <v>4957.6743014790582</v>
      </c>
      <c r="R2662">
        <v>21989.916717291544</v>
      </c>
      <c r="S2662">
        <v>5.195364987562952</v>
      </c>
      <c r="T2662">
        <v>-104.19055840865757</v>
      </c>
      <c r="U2662">
        <v>0</v>
      </c>
      <c r="V2662">
        <v>0</v>
      </c>
    </row>
    <row r="2663" spans="1:22" x14ac:dyDescent="0.2">
      <c r="A2663"/>
      <c r="B2663">
        <v>70013</v>
      </c>
      <c r="C2663" t="s">
        <v>1290</v>
      </c>
      <c r="D2663" t="s">
        <v>918</v>
      </c>
      <c r="E2663" t="s">
        <v>1269</v>
      </c>
      <c r="F2663" t="s">
        <v>84</v>
      </c>
      <c r="G2663">
        <v>276.02823645775584</v>
      </c>
      <c r="H2663" t="s">
        <v>12</v>
      </c>
      <c r="I2663">
        <v>-2.5</v>
      </c>
      <c r="J2663">
        <v>0</v>
      </c>
      <c r="K2663">
        <v>0</v>
      </c>
      <c r="L2663">
        <v>0</v>
      </c>
      <c r="M2663" t="s">
        <v>187</v>
      </c>
      <c r="N2663">
        <v>599.95703892831204</v>
      </c>
      <c r="O2663" t="s">
        <v>12</v>
      </c>
      <c r="P2663" t="b">
        <v>1</v>
      </c>
      <c r="Q2663">
        <v>4993.1071956751484</v>
      </c>
      <c r="R2663">
        <v>22192.547956536971</v>
      </c>
      <c r="S2663">
        <v>-0.32226583036857015</v>
      </c>
      <c r="T2663">
        <v>79.840448930128829</v>
      </c>
      <c r="U2663">
        <v>0</v>
      </c>
      <c r="V2663">
        <v>0</v>
      </c>
    </row>
    <row r="2664" spans="1:22" x14ac:dyDescent="0.2">
      <c r="A2664"/>
      <c r="B2664">
        <v>70014</v>
      </c>
      <c r="C2664" t="s">
        <v>1291</v>
      </c>
      <c r="D2664" t="s">
        <v>1052</v>
      </c>
      <c r="E2664" t="s">
        <v>1269</v>
      </c>
      <c r="F2664" t="s">
        <v>87</v>
      </c>
      <c r="G2664">
        <v>65.931201067751488</v>
      </c>
      <c r="H2664" t="s">
        <v>1270</v>
      </c>
      <c r="I2664">
        <v>-2.2999999999999998</v>
      </c>
      <c r="J2664">
        <v>0</v>
      </c>
      <c r="K2664">
        <v>0</v>
      </c>
      <c r="L2664">
        <v>0</v>
      </c>
      <c r="M2664" t="s">
        <v>187</v>
      </c>
      <c r="N2664">
        <v>844.68753300497997</v>
      </c>
      <c r="O2664" t="s">
        <v>12</v>
      </c>
      <c r="P2664" t="b">
        <v>0</v>
      </c>
      <c r="Q2664">
        <v>5041.3453948591596</v>
      </c>
      <c r="R2664">
        <v>22432.471466969055</v>
      </c>
      <c r="S2664">
        <v>-1.7277001072747205</v>
      </c>
      <c r="T2664">
        <v>-101.28103116328272</v>
      </c>
      <c r="U2664">
        <v>0</v>
      </c>
      <c r="V2664">
        <v>0</v>
      </c>
    </row>
    <row r="2665" spans="1:22" x14ac:dyDescent="0.2">
      <c r="A2665"/>
      <c r="B2665">
        <v>70015</v>
      </c>
      <c r="C2665" t="s">
        <v>1292</v>
      </c>
      <c r="D2665" t="s">
        <v>1044</v>
      </c>
      <c r="E2665" t="s">
        <v>1271</v>
      </c>
      <c r="F2665" t="s">
        <v>87</v>
      </c>
      <c r="G2665">
        <v>65.931201067751488</v>
      </c>
      <c r="H2665" t="s">
        <v>1270</v>
      </c>
      <c r="I2665">
        <v>-2.2999999999999998</v>
      </c>
      <c r="J2665">
        <v>3.2</v>
      </c>
      <c r="K2665">
        <v>0</v>
      </c>
      <c r="L2665">
        <v>0</v>
      </c>
      <c r="M2665" t="s">
        <v>187</v>
      </c>
      <c r="N2665">
        <v>844.68753300497997</v>
      </c>
      <c r="O2665" t="s">
        <v>12</v>
      </c>
      <c r="P2665" t="b">
        <v>0</v>
      </c>
      <c r="Q2665">
        <v>5041.3451529584518</v>
      </c>
      <c r="R2665">
        <v>22432.470254284966</v>
      </c>
      <c r="S2665">
        <v>1.4722996538004811</v>
      </c>
      <c r="T2665">
        <v>-101.28103116328272</v>
      </c>
      <c r="U2665">
        <v>0</v>
      </c>
      <c r="V2665">
        <v>0</v>
      </c>
    </row>
    <row r="2666" spans="1:22" x14ac:dyDescent="0.2">
      <c r="A2666"/>
      <c r="B2666">
        <v>70016</v>
      </c>
      <c r="C2666" t="s">
        <v>1293</v>
      </c>
      <c r="D2666" t="s">
        <v>1052</v>
      </c>
      <c r="E2666" t="s">
        <v>1269</v>
      </c>
      <c r="F2666" t="s">
        <v>123</v>
      </c>
      <c r="G2666">
        <v>5580.8646610333635</v>
      </c>
      <c r="H2666" t="s">
        <v>12</v>
      </c>
      <c r="I2666">
        <v>-2.1</v>
      </c>
      <c r="J2666">
        <v>0</v>
      </c>
      <c r="K2666">
        <v>0</v>
      </c>
      <c r="L2666">
        <v>0</v>
      </c>
      <c r="M2666" t="s">
        <v>188</v>
      </c>
      <c r="N2666">
        <v>6281.6455801479697</v>
      </c>
      <c r="O2666" t="s">
        <v>12</v>
      </c>
      <c r="P2666" t="b">
        <v>1</v>
      </c>
      <c r="Q2666">
        <v>5598.8294655662912</v>
      </c>
      <c r="R2666">
        <v>27774.111299478172</v>
      </c>
      <c r="S2666">
        <v>5.223615681582376</v>
      </c>
      <c r="T2666">
        <v>80.214612854788228</v>
      </c>
      <c r="U2666">
        <v>0</v>
      </c>
      <c r="V2666">
        <v>0</v>
      </c>
    </row>
    <row r="2667" spans="1:22" x14ac:dyDescent="0.2">
      <c r="A2667"/>
      <c r="B2667">
        <v>70017</v>
      </c>
      <c r="C2667" t="s">
        <v>1294</v>
      </c>
      <c r="D2667" t="s">
        <v>918</v>
      </c>
      <c r="E2667" t="s">
        <v>1269</v>
      </c>
      <c r="F2667" t="s">
        <v>124</v>
      </c>
      <c r="G2667">
        <v>23.117051827402065</v>
      </c>
      <c r="H2667" t="s">
        <v>1270</v>
      </c>
      <c r="I2667">
        <v>-2.2999999999999998</v>
      </c>
      <c r="J2667">
        <v>0</v>
      </c>
      <c r="K2667">
        <v>0</v>
      </c>
      <c r="L2667">
        <v>0</v>
      </c>
      <c r="M2667" t="s">
        <v>188</v>
      </c>
      <c r="N2667">
        <v>6436.7018967689801</v>
      </c>
      <c r="O2667" t="s">
        <v>12</v>
      </c>
      <c r="P2667" t="b">
        <v>0</v>
      </c>
      <c r="Q2667">
        <v>5628.2313620971063</v>
      </c>
      <c r="R2667">
        <v>27926.399650393432</v>
      </c>
      <c r="S2667">
        <v>5.2234163131895803</v>
      </c>
      <c r="T2667">
        <v>-99.290492455592329</v>
      </c>
      <c r="U2667">
        <v>0</v>
      </c>
      <c r="V2667">
        <v>0</v>
      </c>
    </row>
    <row r="2668" spans="1:22" x14ac:dyDescent="0.2">
      <c r="A2668"/>
      <c r="B2668">
        <v>70018</v>
      </c>
      <c r="C2668" t="s">
        <v>1295</v>
      </c>
      <c r="D2668" t="s">
        <v>1044</v>
      </c>
      <c r="E2668" t="s">
        <v>1271</v>
      </c>
      <c r="F2668" t="s">
        <v>124</v>
      </c>
      <c r="G2668">
        <v>23.117051827402065</v>
      </c>
      <c r="H2668" t="s">
        <v>1270</v>
      </c>
      <c r="I2668">
        <v>-2.2999999999999998</v>
      </c>
      <c r="J2668">
        <v>3.7</v>
      </c>
      <c r="K2668">
        <v>0</v>
      </c>
      <c r="L2668">
        <v>0</v>
      </c>
      <c r="M2668" t="s">
        <v>188</v>
      </c>
      <c r="N2668">
        <v>6436.7018967689801</v>
      </c>
      <c r="O2668" t="s">
        <v>12</v>
      </c>
      <c r="P2668" t="b">
        <v>0</v>
      </c>
      <c r="Q2668">
        <v>5628.2312042173699</v>
      </c>
      <c r="R2668">
        <v>27926.39868527517</v>
      </c>
      <c r="S2668">
        <v>8.9234161839491364</v>
      </c>
      <c r="T2668">
        <v>-99.290492455592329</v>
      </c>
      <c r="U2668">
        <v>0</v>
      </c>
      <c r="V2668">
        <v>0</v>
      </c>
    </row>
    <row r="2669" spans="1:22" x14ac:dyDescent="0.2">
      <c r="A2669"/>
      <c r="B2669">
        <v>70019</v>
      </c>
      <c r="C2669" t="s">
        <v>1296</v>
      </c>
      <c r="D2669" t="s">
        <v>918</v>
      </c>
      <c r="E2669" t="s">
        <v>1269</v>
      </c>
      <c r="F2669" t="s">
        <v>124</v>
      </c>
      <c r="G2669">
        <v>221.00059679899186</v>
      </c>
      <c r="H2669" t="s">
        <v>12</v>
      </c>
      <c r="I2669">
        <v>-2.2000000000000002</v>
      </c>
      <c r="J2669">
        <v>0</v>
      </c>
      <c r="K2669">
        <v>0</v>
      </c>
      <c r="L2669">
        <v>0</v>
      </c>
      <c r="M2669" t="s">
        <v>188</v>
      </c>
      <c r="N2669">
        <v>6634.5854417405699</v>
      </c>
      <c r="O2669" t="s">
        <v>12</v>
      </c>
      <c r="P2669" t="b">
        <v>1</v>
      </c>
      <c r="Q2669">
        <v>5655.7436796104485</v>
      </c>
      <c r="R2669">
        <v>28122.413042604941</v>
      </c>
      <c r="S2669">
        <v>5.2332025816281158</v>
      </c>
      <c r="T2669">
        <v>80.703325233193169</v>
      </c>
      <c r="U2669">
        <v>0</v>
      </c>
      <c r="V2669">
        <v>0</v>
      </c>
    </row>
    <row r="2670" spans="1:22" x14ac:dyDescent="0.2">
      <c r="A2670"/>
      <c r="B2670">
        <v>70020</v>
      </c>
      <c r="C2670" t="s">
        <v>1297</v>
      </c>
      <c r="D2670" t="s">
        <v>1044</v>
      </c>
      <c r="E2670" t="s">
        <v>1271</v>
      </c>
      <c r="F2670" t="s">
        <v>124</v>
      </c>
      <c r="G2670">
        <v>221.00059679899186</v>
      </c>
      <c r="H2670" t="s">
        <v>12</v>
      </c>
      <c r="I2670">
        <v>-2.2000000000000002</v>
      </c>
      <c r="J2670">
        <v>5.2</v>
      </c>
      <c r="K2670">
        <v>0</v>
      </c>
      <c r="L2670">
        <v>0</v>
      </c>
      <c r="M2670" t="s">
        <v>188</v>
      </c>
      <c r="N2670">
        <v>6634.5854417405699</v>
      </c>
      <c r="O2670" t="s">
        <v>12</v>
      </c>
      <c r="P2670" t="b">
        <v>1</v>
      </c>
      <c r="Q2670">
        <v>5655.7437460705896</v>
      </c>
      <c r="R2670">
        <v>28122.413448600579</v>
      </c>
      <c r="S2670">
        <v>10.433202565354135</v>
      </c>
      <c r="T2670">
        <v>80.703325233193169</v>
      </c>
      <c r="U2670">
        <v>0</v>
      </c>
      <c r="V2670">
        <v>0</v>
      </c>
    </row>
    <row r="2671" spans="1:22" x14ac:dyDescent="0.2">
      <c r="A2671"/>
      <c r="B2671">
        <v>70021</v>
      </c>
      <c r="C2671" t="s">
        <v>1298</v>
      </c>
      <c r="D2671" t="s">
        <v>1052</v>
      </c>
      <c r="E2671" t="s">
        <v>1269</v>
      </c>
      <c r="F2671" t="s">
        <v>125</v>
      </c>
      <c r="G2671">
        <v>127.80985572450945</v>
      </c>
      <c r="H2671" t="s">
        <v>1270</v>
      </c>
      <c r="I2671">
        <v>-2.2999999999999998</v>
      </c>
      <c r="J2671">
        <v>0</v>
      </c>
      <c r="K2671">
        <v>0</v>
      </c>
      <c r="L2671">
        <v>0</v>
      </c>
      <c r="M2671" t="s">
        <v>188</v>
      </c>
      <c r="N2671">
        <v>6788.4773409762201</v>
      </c>
      <c r="O2671" t="s">
        <v>12</v>
      </c>
      <c r="P2671" t="b">
        <v>0</v>
      </c>
      <c r="Q2671">
        <v>5684.7581074013251</v>
      </c>
      <c r="R2671">
        <v>28273.622340060949</v>
      </c>
      <c r="S2671">
        <v>5.1751979148702203</v>
      </c>
      <c r="T2671">
        <v>-98.810077901088491</v>
      </c>
      <c r="U2671">
        <v>0</v>
      </c>
      <c r="V2671">
        <v>0</v>
      </c>
    </row>
    <row r="2672" spans="1:22" x14ac:dyDescent="0.2">
      <c r="A2672"/>
      <c r="B2672">
        <v>70022</v>
      </c>
      <c r="C2672" t="s">
        <v>1299</v>
      </c>
      <c r="D2672" t="s">
        <v>1052</v>
      </c>
      <c r="E2672" t="s">
        <v>1269</v>
      </c>
      <c r="F2672" t="s">
        <v>87</v>
      </c>
      <c r="G2672">
        <v>5503.3560769475025</v>
      </c>
      <c r="H2672" t="s">
        <v>12</v>
      </c>
      <c r="I2672">
        <v>-2.5</v>
      </c>
      <c r="J2672">
        <v>0</v>
      </c>
      <c r="K2672">
        <v>0</v>
      </c>
      <c r="L2672">
        <v>0</v>
      </c>
      <c r="M2672" t="s">
        <v>187</v>
      </c>
      <c r="N2672">
        <v>6282.11240888473</v>
      </c>
      <c r="O2672" t="s">
        <v>12</v>
      </c>
      <c r="P2672" t="b">
        <v>1</v>
      </c>
      <c r="Q2672">
        <v>5603.3009646996452</v>
      </c>
      <c r="R2672">
        <v>27773.257628082356</v>
      </c>
      <c r="S2672">
        <v>5.2485212803017065</v>
      </c>
      <c r="T2672">
        <v>80.20733066585845</v>
      </c>
      <c r="U2672">
        <v>0</v>
      </c>
      <c r="V2672">
        <v>0</v>
      </c>
    </row>
    <row r="2673" spans="1:22" x14ac:dyDescent="0.2">
      <c r="A2673"/>
      <c r="B2673">
        <v>70023</v>
      </c>
      <c r="C2673" t="s">
        <v>1300</v>
      </c>
      <c r="D2673" t="s">
        <v>1052</v>
      </c>
      <c r="E2673" t="s">
        <v>1269</v>
      </c>
      <c r="F2673" t="s">
        <v>89</v>
      </c>
      <c r="G2673">
        <v>100.97574493959019</v>
      </c>
      <c r="H2673" t="s">
        <v>1270</v>
      </c>
      <c r="I2673">
        <v>-2.2999999999999998</v>
      </c>
      <c r="J2673">
        <v>0</v>
      </c>
      <c r="K2673">
        <v>0</v>
      </c>
      <c r="L2673">
        <v>0</v>
      </c>
      <c r="M2673" t="s">
        <v>187</v>
      </c>
      <c r="N2673">
        <v>6438.1948293436399</v>
      </c>
      <c r="O2673" t="s">
        <v>12</v>
      </c>
      <c r="P2673" t="b">
        <v>0</v>
      </c>
      <c r="Q2673">
        <v>5633.1546017155406</v>
      </c>
      <c r="R2673">
        <v>27926.507908086172</v>
      </c>
      <c r="S2673">
        <v>5.2595776670793422</v>
      </c>
      <c r="T2673">
        <v>-99.298931720912165</v>
      </c>
      <c r="U2673">
        <v>0</v>
      </c>
      <c r="V2673">
        <v>0</v>
      </c>
    </row>
    <row r="2674" spans="1:22" x14ac:dyDescent="0.2">
      <c r="A2674"/>
      <c r="B2674">
        <v>70024</v>
      </c>
      <c r="C2674" t="s">
        <v>1301</v>
      </c>
      <c r="D2674" t="s">
        <v>918</v>
      </c>
      <c r="E2674" t="s">
        <v>1269</v>
      </c>
      <c r="F2674" t="s">
        <v>89</v>
      </c>
      <c r="G2674">
        <v>299.27928132578018</v>
      </c>
      <c r="H2674" t="s">
        <v>12</v>
      </c>
      <c r="I2674">
        <v>-2.5</v>
      </c>
      <c r="J2674">
        <v>0</v>
      </c>
      <c r="K2674">
        <v>0</v>
      </c>
      <c r="L2674">
        <v>0</v>
      </c>
      <c r="M2674" t="s">
        <v>187</v>
      </c>
      <c r="N2674">
        <v>6636.4983657298299</v>
      </c>
      <c r="O2674" t="s">
        <v>12</v>
      </c>
      <c r="P2674" t="b">
        <v>1</v>
      </c>
      <c r="Q2674">
        <v>5660.5926655767644</v>
      </c>
      <c r="R2674">
        <v>28122.960317710487</v>
      </c>
      <c r="S2674">
        <v>5.2425196317904019</v>
      </c>
      <c r="T2674">
        <v>80.680856682818302</v>
      </c>
      <c r="U2674">
        <v>0</v>
      </c>
      <c r="V2674">
        <v>0</v>
      </c>
    </row>
    <row r="2675" spans="1:22" x14ac:dyDescent="0.2">
      <c r="A2675"/>
      <c r="B2675">
        <v>70025</v>
      </c>
      <c r="C2675" t="s">
        <v>1302</v>
      </c>
      <c r="D2675" t="s">
        <v>1052</v>
      </c>
      <c r="E2675" t="s">
        <v>1269</v>
      </c>
      <c r="F2675" t="s">
        <v>91</v>
      </c>
      <c r="G2675">
        <v>66.828535849874015</v>
      </c>
      <c r="H2675" t="s">
        <v>1270</v>
      </c>
      <c r="I2675">
        <v>-2.2999999999999998</v>
      </c>
      <c r="J2675">
        <v>0</v>
      </c>
      <c r="K2675">
        <v>0</v>
      </c>
      <c r="L2675">
        <v>0</v>
      </c>
      <c r="M2675" t="s">
        <v>187</v>
      </c>
      <c r="N2675">
        <v>6805.2832791787196</v>
      </c>
      <c r="O2675" t="s">
        <v>12</v>
      </c>
      <c r="P2675" t="b">
        <v>0</v>
      </c>
      <c r="Q2675">
        <v>5692.2186546176845</v>
      </c>
      <c r="R2675">
        <v>28288.845729865592</v>
      </c>
      <c r="S2675">
        <v>5.1277764762445681</v>
      </c>
      <c r="T2675">
        <v>-98.455964977723767</v>
      </c>
      <c r="U2675">
        <v>0</v>
      </c>
      <c r="V2675">
        <v>0</v>
      </c>
    </row>
    <row r="2676" spans="1:22" x14ac:dyDescent="0.2">
      <c r="A2676"/>
      <c r="B2676">
        <v>70026</v>
      </c>
      <c r="C2676" t="s">
        <v>1303</v>
      </c>
      <c r="D2676" t="s">
        <v>1044</v>
      </c>
      <c r="E2676" t="s">
        <v>1271</v>
      </c>
      <c r="F2676" t="s">
        <v>91</v>
      </c>
      <c r="G2676">
        <v>66.828535849874015</v>
      </c>
      <c r="H2676" t="s">
        <v>1270</v>
      </c>
      <c r="I2676">
        <v>-2.2999999999999998</v>
      </c>
      <c r="J2676">
        <v>3.2</v>
      </c>
      <c r="K2676">
        <v>0</v>
      </c>
      <c r="L2676">
        <v>0</v>
      </c>
      <c r="M2676" t="s">
        <v>187</v>
      </c>
      <c r="N2676">
        <v>6805.2832791787196</v>
      </c>
      <c r="O2676" t="s">
        <v>12</v>
      </c>
      <c r="P2676" t="b">
        <v>0</v>
      </c>
      <c r="Q2676">
        <v>5692.2212779763304</v>
      </c>
      <c r="R2676">
        <v>28288.863375929774</v>
      </c>
      <c r="S2676">
        <v>8.3277267468594545</v>
      </c>
      <c r="T2676">
        <v>-98.455964977723767</v>
      </c>
      <c r="U2676">
        <v>0</v>
      </c>
      <c r="V2676">
        <v>0</v>
      </c>
    </row>
    <row r="2677" spans="1:22" x14ac:dyDescent="0.2">
      <c r="A2677"/>
      <c r="B2677">
        <v>70027</v>
      </c>
      <c r="C2677" t="s">
        <v>1304</v>
      </c>
      <c r="D2677" t="s">
        <v>918</v>
      </c>
      <c r="E2677" t="s">
        <v>1269</v>
      </c>
      <c r="F2677" t="s">
        <v>126</v>
      </c>
      <c r="G2677">
        <v>7086.9722078383893</v>
      </c>
      <c r="H2677" t="s">
        <v>12</v>
      </c>
      <c r="I2677">
        <v>-2.2999999999999998</v>
      </c>
      <c r="J2677">
        <v>0</v>
      </c>
      <c r="K2677">
        <v>0</v>
      </c>
      <c r="L2677">
        <v>0</v>
      </c>
      <c r="M2677" t="s">
        <v>188</v>
      </c>
      <c r="N2677">
        <v>15102.2224165569</v>
      </c>
      <c r="O2677" t="s">
        <v>12</v>
      </c>
      <c r="P2677" t="b">
        <v>1</v>
      </c>
      <c r="Q2677">
        <v>6630.6605640182452</v>
      </c>
      <c r="R2677">
        <v>36136.659785322292</v>
      </c>
      <c r="S2677">
        <v>-3.9970519910527544</v>
      </c>
      <c r="T2677">
        <v>79.062479530295306</v>
      </c>
      <c r="U2677">
        <v>0</v>
      </c>
      <c r="V2677">
        <v>0</v>
      </c>
    </row>
    <row r="2678" spans="1:22" x14ac:dyDescent="0.2">
      <c r="A2678"/>
      <c r="B2678">
        <v>70028</v>
      </c>
      <c r="C2678" t="s">
        <v>1305</v>
      </c>
      <c r="D2678" t="s">
        <v>1044</v>
      </c>
      <c r="E2678" t="s">
        <v>1271</v>
      </c>
      <c r="F2678" t="s">
        <v>126</v>
      </c>
      <c r="G2678">
        <v>7086.9722078383893</v>
      </c>
      <c r="H2678" t="s">
        <v>12</v>
      </c>
      <c r="I2678">
        <v>-2.2999999999999998</v>
      </c>
      <c r="J2678">
        <v>5.2</v>
      </c>
      <c r="K2678">
        <v>0</v>
      </c>
      <c r="L2678">
        <v>0</v>
      </c>
      <c r="M2678" t="s">
        <v>188</v>
      </c>
      <c r="N2678">
        <v>15102.2224165569</v>
      </c>
      <c r="O2678" t="s">
        <v>12</v>
      </c>
      <c r="P2678" t="b">
        <v>1</v>
      </c>
      <c r="Q2678">
        <v>6630.6605605061241</v>
      </c>
      <c r="R2678">
        <v>36136.659767148209</v>
      </c>
      <c r="S2678">
        <v>1.2029480089143005</v>
      </c>
      <c r="T2678">
        <v>79.062479530295306</v>
      </c>
      <c r="U2678">
        <v>0</v>
      </c>
      <c r="V2678">
        <v>0</v>
      </c>
    </row>
    <row r="2679" spans="1:22" x14ac:dyDescent="0.2">
      <c r="A2679"/>
      <c r="B2679">
        <v>70029</v>
      </c>
      <c r="C2679" t="s">
        <v>1306</v>
      </c>
      <c r="D2679" t="s">
        <v>918</v>
      </c>
      <c r="E2679" t="s">
        <v>1269</v>
      </c>
      <c r="F2679" t="s">
        <v>92</v>
      </c>
      <c r="G2679">
        <v>7086.4238793176319</v>
      </c>
      <c r="H2679" t="s">
        <v>12</v>
      </c>
      <c r="I2679">
        <v>-2.5</v>
      </c>
      <c r="J2679">
        <v>0</v>
      </c>
      <c r="K2679">
        <v>0</v>
      </c>
      <c r="L2679">
        <v>0</v>
      </c>
      <c r="M2679" t="s">
        <v>187</v>
      </c>
      <c r="N2679">
        <v>15102.849690671401</v>
      </c>
      <c r="O2679" t="s">
        <v>12</v>
      </c>
      <c r="P2679" t="b">
        <v>1</v>
      </c>
      <c r="Q2679">
        <v>6635.3036029514733</v>
      </c>
      <c r="R2679">
        <v>36135.900382327913</v>
      </c>
      <c r="S2679">
        <v>-3.9553260935921646</v>
      </c>
      <c r="T2679">
        <v>79.040495400910189</v>
      </c>
      <c r="U2679">
        <v>0</v>
      </c>
      <c r="V2679">
        <v>0</v>
      </c>
    </row>
    <row r="2680" spans="1:22" x14ac:dyDescent="0.2">
      <c r="A2680"/>
      <c r="B2680">
        <v>70030</v>
      </c>
      <c r="C2680" t="s">
        <v>1307</v>
      </c>
      <c r="D2680" t="s">
        <v>1044</v>
      </c>
      <c r="E2680" t="s">
        <v>1271</v>
      </c>
      <c r="F2680" t="s">
        <v>92</v>
      </c>
      <c r="G2680">
        <v>7086.4238793176319</v>
      </c>
      <c r="H2680" t="s">
        <v>12</v>
      </c>
      <c r="I2680">
        <v>-2.5</v>
      </c>
      <c r="J2680">
        <v>5.2</v>
      </c>
      <c r="K2680">
        <v>0</v>
      </c>
      <c r="L2680">
        <v>0</v>
      </c>
      <c r="M2680" t="s">
        <v>187</v>
      </c>
      <c r="N2680">
        <v>15102.849690671401</v>
      </c>
      <c r="O2680" t="s">
        <v>12</v>
      </c>
      <c r="P2680" t="b">
        <v>1</v>
      </c>
      <c r="Q2680">
        <v>6635.3038185109435</v>
      </c>
      <c r="R2680">
        <v>36135.901495485108</v>
      </c>
      <c r="S2680">
        <v>1.2446737827939085</v>
      </c>
      <c r="T2680">
        <v>79.040495400910189</v>
      </c>
      <c r="U2680">
        <v>0</v>
      </c>
      <c r="V2680">
        <v>0</v>
      </c>
    </row>
    <row r="2681" spans="1:22" x14ac:dyDescent="0.2">
      <c r="A2681"/>
      <c r="B2681">
        <v>70031</v>
      </c>
      <c r="C2681" t="s">
        <v>1308</v>
      </c>
      <c r="D2681" t="s">
        <v>918</v>
      </c>
      <c r="E2681" t="s">
        <v>1269</v>
      </c>
      <c r="F2681" t="s">
        <v>127</v>
      </c>
      <c r="G2681">
        <v>74.485981307638212</v>
      </c>
      <c r="H2681" t="s">
        <v>1270</v>
      </c>
      <c r="I2681">
        <v>-2.5</v>
      </c>
      <c r="J2681">
        <v>0</v>
      </c>
      <c r="K2681">
        <v>0</v>
      </c>
      <c r="L2681">
        <v>0</v>
      </c>
      <c r="M2681" t="s">
        <v>188</v>
      </c>
      <c r="N2681">
        <v>15299.2348336185</v>
      </c>
      <c r="O2681" t="s">
        <v>12</v>
      </c>
      <c r="P2681" t="b">
        <v>0</v>
      </c>
      <c r="Q2681">
        <v>6671.9054361096159</v>
      </c>
      <c r="R2681">
        <v>36329.357474216034</v>
      </c>
      <c r="S2681">
        <v>-4.0127905160890158</v>
      </c>
      <c r="T2681">
        <v>-100.64158919553329</v>
      </c>
      <c r="U2681">
        <v>0</v>
      </c>
      <c r="V2681">
        <v>0</v>
      </c>
    </row>
    <row r="2682" spans="1:22" x14ac:dyDescent="0.2">
      <c r="A2682"/>
      <c r="B2682">
        <v>70032</v>
      </c>
      <c r="C2682" t="s">
        <v>1309</v>
      </c>
      <c r="D2682" t="s">
        <v>918</v>
      </c>
      <c r="E2682" t="s">
        <v>1269</v>
      </c>
      <c r="F2682" t="s">
        <v>127</v>
      </c>
      <c r="G2682">
        <v>407.90380906643804</v>
      </c>
      <c r="H2682" t="s">
        <v>12</v>
      </c>
      <c r="I2682">
        <v>-2.2999999999999998</v>
      </c>
      <c r="J2682">
        <v>0</v>
      </c>
      <c r="K2682">
        <v>0</v>
      </c>
      <c r="L2682">
        <v>0</v>
      </c>
      <c r="M2682" t="s">
        <v>188</v>
      </c>
      <c r="N2682">
        <v>15632.6526613773</v>
      </c>
      <c r="O2682" t="s">
        <v>12</v>
      </c>
      <c r="P2682" t="b">
        <v>1</v>
      </c>
      <c r="Q2682">
        <v>6772.8388750409367</v>
      </c>
      <c r="R2682">
        <v>36644.342825775457</v>
      </c>
      <c r="S2682">
        <v>-9.061196090744307</v>
      </c>
      <c r="T2682">
        <v>56.567676647532977</v>
      </c>
      <c r="U2682">
        <v>0</v>
      </c>
      <c r="V2682">
        <v>0</v>
      </c>
    </row>
    <row r="2683" spans="1:22" x14ac:dyDescent="0.2">
      <c r="A2683"/>
      <c r="B2683">
        <v>70033</v>
      </c>
      <c r="C2683" t="s">
        <v>1310</v>
      </c>
      <c r="D2683" t="s">
        <v>918</v>
      </c>
      <c r="E2683" t="s">
        <v>1269</v>
      </c>
      <c r="F2683" t="s">
        <v>118</v>
      </c>
      <c r="G2683">
        <v>54.77231292045559</v>
      </c>
      <c r="H2683" t="s">
        <v>1270</v>
      </c>
      <c r="I2683">
        <v>-2.1</v>
      </c>
      <c r="J2683">
        <v>0</v>
      </c>
      <c r="K2683">
        <v>0</v>
      </c>
      <c r="L2683">
        <v>0</v>
      </c>
      <c r="M2683" t="s">
        <v>187</v>
      </c>
      <c r="N2683">
        <v>15372.6652214846</v>
      </c>
      <c r="O2683" t="s">
        <v>12</v>
      </c>
      <c r="P2683" t="b">
        <v>0</v>
      </c>
      <c r="Q2683">
        <v>6689.7600036556159</v>
      </c>
      <c r="R2683">
        <v>36400.186835089196</v>
      </c>
      <c r="S2683">
        <v>-3.9646431220730496</v>
      </c>
      <c r="T2683">
        <v>-100.74546627563419</v>
      </c>
      <c r="U2683">
        <v>0</v>
      </c>
      <c r="V2683">
        <v>0</v>
      </c>
    </row>
    <row r="2684" spans="1:22" x14ac:dyDescent="0.2">
      <c r="A2684"/>
      <c r="B2684">
        <v>70034</v>
      </c>
      <c r="C2684" t="s">
        <v>1311</v>
      </c>
      <c r="D2684" t="s">
        <v>1044</v>
      </c>
      <c r="E2684" t="s">
        <v>1271</v>
      </c>
      <c r="F2684" t="s">
        <v>118</v>
      </c>
      <c r="G2684">
        <v>54.77231292045559</v>
      </c>
      <c r="H2684" t="s">
        <v>1270</v>
      </c>
      <c r="I2684">
        <v>-2.1</v>
      </c>
      <c r="J2684">
        <v>3.7</v>
      </c>
      <c r="K2684">
        <v>0</v>
      </c>
      <c r="L2684">
        <v>0</v>
      </c>
      <c r="M2684" t="s">
        <v>187</v>
      </c>
      <c r="N2684">
        <v>15372.6652214846</v>
      </c>
      <c r="O2684" t="s">
        <v>12</v>
      </c>
      <c r="P2684" t="b">
        <v>0</v>
      </c>
      <c r="Q2684">
        <v>6689.7600494796998</v>
      </c>
      <c r="R2684">
        <v>36400.187076555863</v>
      </c>
      <c r="S2684">
        <v>-0.26464313023602193</v>
      </c>
      <c r="T2684">
        <v>-100.74546627563419</v>
      </c>
      <c r="U2684">
        <v>0</v>
      </c>
      <c r="V2684">
        <v>0</v>
      </c>
    </row>
    <row r="2685" spans="1:22" x14ac:dyDescent="0.2">
      <c r="A2685"/>
      <c r="B2685">
        <v>70035</v>
      </c>
      <c r="C2685" t="s">
        <v>1312</v>
      </c>
      <c r="D2685" t="s">
        <v>918</v>
      </c>
      <c r="E2685" t="s">
        <v>1269</v>
      </c>
      <c r="F2685" t="s">
        <v>118</v>
      </c>
      <c r="G2685">
        <v>314.27634828395691</v>
      </c>
      <c r="H2685" t="s">
        <v>12</v>
      </c>
      <c r="I2685">
        <v>-2.5</v>
      </c>
      <c r="J2685">
        <v>0</v>
      </c>
      <c r="K2685">
        <v>0</v>
      </c>
      <c r="L2685">
        <v>0</v>
      </c>
      <c r="M2685" t="s">
        <v>187</v>
      </c>
      <c r="N2685">
        <v>15632.169256848099</v>
      </c>
      <c r="O2685" t="s">
        <v>12</v>
      </c>
      <c r="P2685" t="b">
        <v>1</v>
      </c>
      <c r="Q2685">
        <v>6777.4410807399145</v>
      </c>
      <c r="R2685">
        <v>36642.473002547602</v>
      </c>
      <c r="S2685">
        <v>-9.0753703377695807</v>
      </c>
      <c r="T2685">
        <v>56.499334268063976</v>
      </c>
      <c r="U2685">
        <v>0</v>
      </c>
      <c r="V2685">
        <v>0</v>
      </c>
    </row>
    <row r="2686" spans="1:22" x14ac:dyDescent="0.2">
      <c r="A2686"/>
      <c r="B2686">
        <v>70036</v>
      </c>
      <c r="C2686" t="s">
        <v>1313</v>
      </c>
      <c r="D2686" t="s">
        <v>1044</v>
      </c>
      <c r="E2686" t="s">
        <v>1271</v>
      </c>
      <c r="F2686" t="s">
        <v>118</v>
      </c>
      <c r="G2686">
        <v>314.27634828395691</v>
      </c>
      <c r="H2686" t="s">
        <v>12</v>
      </c>
      <c r="I2686">
        <v>-2.5</v>
      </c>
      <c r="J2686">
        <v>5.2</v>
      </c>
      <c r="K2686">
        <v>0</v>
      </c>
      <c r="L2686">
        <v>0</v>
      </c>
      <c r="M2686" t="s">
        <v>187</v>
      </c>
      <c r="N2686">
        <v>15632.169256848099</v>
      </c>
      <c r="O2686" t="s">
        <v>12</v>
      </c>
      <c r="P2686" t="b">
        <v>1</v>
      </c>
      <c r="Q2686">
        <v>6777.4628694180901</v>
      </c>
      <c r="R2686">
        <v>36642.505920818374</v>
      </c>
      <c r="S2686">
        <v>-3.8755201821446308</v>
      </c>
      <c r="T2686">
        <v>56.499334268063976</v>
      </c>
      <c r="U2686">
        <v>0</v>
      </c>
      <c r="V2686">
        <v>0</v>
      </c>
    </row>
    <row r="2687" spans="1:22" x14ac:dyDescent="0.2">
      <c r="A2687"/>
      <c r="B2687">
        <v>70037</v>
      </c>
      <c r="C2687" t="s">
        <v>1314</v>
      </c>
      <c r="D2687" t="s">
        <v>919</v>
      </c>
      <c r="E2687" t="s">
        <v>1200</v>
      </c>
      <c r="F2687" t="s">
        <v>1078</v>
      </c>
      <c r="G2687">
        <v>20</v>
      </c>
      <c r="H2687" t="s">
        <v>1270</v>
      </c>
      <c r="I2687">
        <v>0</v>
      </c>
      <c r="J2687">
        <v>0</v>
      </c>
      <c r="K2687">
        <v>0</v>
      </c>
      <c r="L2687">
        <v>0</v>
      </c>
      <c r="M2687" t="s">
        <v>1078</v>
      </c>
      <c r="N2687">
        <v>20</v>
      </c>
      <c r="O2687" t="s">
        <v>12</v>
      </c>
      <c r="P2687" t="b">
        <v>0</v>
      </c>
      <c r="Q2687">
        <v>6667.4119653478001</v>
      </c>
      <c r="R2687">
        <v>36265.378458164276</v>
      </c>
      <c r="S2687">
        <v>-3.964713344716861</v>
      </c>
      <c r="T2687">
        <v>-100.62750889251458</v>
      </c>
      <c r="U2687">
        <v>0</v>
      </c>
      <c r="V2687">
        <v>0</v>
      </c>
    </row>
    <row r="2688" spans="1:22" x14ac:dyDescent="0.2">
      <c r="A2688"/>
      <c r="B2688">
        <v>70038</v>
      </c>
      <c r="C2688" t="s">
        <v>1315</v>
      </c>
      <c r="D2688" t="s">
        <v>1052</v>
      </c>
      <c r="E2688" t="s">
        <v>1269</v>
      </c>
      <c r="F2688" t="s">
        <v>184</v>
      </c>
      <c r="G2688">
        <v>67</v>
      </c>
      <c r="H2688" t="s">
        <v>1270</v>
      </c>
      <c r="I2688">
        <v>-2.2000000000000002</v>
      </c>
      <c r="J2688">
        <v>0</v>
      </c>
      <c r="K2688">
        <v>0</v>
      </c>
      <c r="L2688">
        <v>0</v>
      </c>
      <c r="M2688" t="s">
        <v>184</v>
      </c>
      <c r="N2688">
        <v>67</v>
      </c>
      <c r="O2688" t="s">
        <v>12</v>
      </c>
      <c r="P2688" t="b">
        <v>0</v>
      </c>
      <c r="Q2688">
        <v>6698.1772601770372</v>
      </c>
      <c r="R2688">
        <v>36395.00862845168</v>
      </c>
      <c r="S2688">
        <v>-3.9606819921033161</v>
      </c>
      <c r="T2688">
        <v>-106.94228580856191</v>
      </c>
      <c r="U2688">
        <v>0</v>
      </c>
      <c r="V2688">
        <v>0</v>
      </c>
    </row>
    <row r="2689" spans="1:22" x14ac:dyDescent="0.2">
      <c r="A2689"/>
      <c r="B2689">
        <v>70039</v>
      </c>
      <c r="C2689" t="s">
        <v>1316</v>
      </c>
      <c r="D2689" t="s">
        <v>1044</v>
      </c>
      <c r="E2689" t="s">
        <v>1271</v>
      </c>
      <c r="F2689" t="s">
        <v>184</v>
      </c>
      <c r="G2689">
        <v>67</v>
      </c>
      <c r="H2689" t="s">
        <v>1270</v>
      </c>
      <c r="I2689">
        <v>-2.2000000000000002</v>
      </c>
      <c r="J2689">
        <v>3.2</v>
      </c>
      <c r="K2689">
        <v>0</v>
      </c>
      <c r="L2689">
        <v>0</v>
      </c>
      <c r="M2689" t="s">
        <v>184</v>
      </c>
      <c r="N2689">
        <v>67</v>
      </c>
      <c r="O2689" t="s">
        <v>12</v>
      </c>
      <c r="P2689" t="b">
        <v>0</v>
      </c>
      <c r="Q2689">
        <v>6698.1765445131796</v>
      </c>
      <c r="R2689">
        <v>36395.006279159483</v>
      </c>
      <c r="S2689">
        <v>-0.76068293450167346</v>
      </c>
      <c r="T2689">
        <v>-106.94228580856191</v>
      </c>
      <c r="U2689">
        <v>0</v>
      </c>
      <c r="V2689">
        <v>0</v>
      </c>
    </row>
    <row r="2690" spans="1:22" x14ac:dyDescent="0.2">
      <c r="A2690"/>
      <c r="B2690">
        <v>70040</v>
      </c>
      <c r="C2690" t="s">
        <v>1317</v>
      </c>
      <c r="D2690" t="s">
        <v>919</v>
      </c>
      <c r="E2690" t="s">
        <v>1200</v>
      </c>
      <c r="F2690" t="s">
        <v>184</v>
      </c>
      <c r="G2690">
        <v>386</v>
      </c>
      <c r="H2690" t="s">
        <v>12</v>
      </c>
      <c r="I2690">
        <v>0</v>
      </c>
      <c r="J2690">
        <v>0</v>
      </c>
      <c r="K2690">
        <v>0</v>
      </c>
      <c r="L2690">
        <v>0</v>
      </c>
      <c r="M2690" t="s">
        <v>184</v>
      </c>
      <c r="N2690">
        <v>386</v>
      </c>
      <c r="O2690" t="s">
        <v>12</v>
      </c>
      <c r="P2690" t="b">
        <v>1</v>
      </c>
      <c r="Q2690">
        <v>6853.9260423415517</v>
      </c>
      <c r="R2690">
        <v>36669.375694930306</v>
      </c>
      <c r="S2690">
        <v>-9.1493147601164928</v>
      </c>
      <c r="T2690">
        <v>52.996449032254425</v>
      </c>
      <c r="U2690">
        <v>0</v>
      </c>
      <c r="V2690">
        <v>0</v>
      </c>
    </row>
    <row r="2691" spans="1:22" x14ac:dyDescent="0.2">
      <c r="A2691"/>
      <c r="B2691">
        <v>70041</v>
      </c>
      <c r="C2691" t="s">
        <v>1318</v>
      </c>
      <c r="D2691" t="s">
        <v>918</v>
      </c>
      <c r="E2691" t="s">
        <v>1269</v>
      </c>
      <c r="F2691" t="s">
        <v>180</v>
      </c>
      <c r="G2691">
        <v>80</v>
      </c>
      <c r="H2691" t="s">
        <v>1270</v>
      </c>
      <c r="I2691">
        <v>-2.5</v>
      </c>
      <c r="J2691">
        <v>0</v>
      </c>
      <c r="K2691">
        <v>0</v>
      </c>
      <c r="L2691">
        <v>0</v>
      </c>
      <c r="M2691" t="s">
        <v>180</v>
      </c>
      <c r="N2691">
        <v>80</v>
      </c>
      <c r="O2691" t="s">
        <v>12</v>
      </c>
      <c r="P2691" t="b">
        <v>0</v>
      </c>
      <c r="Q2691">
        <v>6701.8500040589324</v>
      </c>
      <c r="R2691">
        <v>36422.919741164151</v>
      </c>
      <c r="S2691">
        <v>-3.9655727275473884</v>
      </c>
      <c r="T2691">
        <v>-107.22858293723307</v>
      </c>
      <c r="U2691">
        <v>0</v>
      </c>
      <c r="V2691">
        <v>0</v>
      </c>
    </row>
    <row r="2692" spans="1:22" x14ac:dyDescent="0.2">
      <c r="A2692"/>
      <c r="B2692">
        <v>70042</v>
      </c>
      <c r="C2692" t="s">
        <v>1319</v>
      </c>
      <c r="D2692" t="s">
        <v>1044</v>
      </c>
      <c r="E2692" t="s">
        <v>1271</v>
      </c>
      <c r="F2692" t="s">
        <v>180</v>
      </c>
      <c r="G2692">
        <v>80</v>
      </c>
      <c r="H2692" t="s">
        <v>1270</v>
      </c>
      <c r="I2692">
        <v>-2.5</v>
      </c>
      <c r="J2692">
        <v>3.7</v>
      </c>
      <c r="K2692">
        <v>0</v>
      </c>
      <c r="L2692">
        <v>0</v>
      </c>
      <c r="M2692" t="s">
        <v>180</v>
      </c>
      <c r="N2692">
        <v>80</v>
      </c>
      <c r="O2692" t="s">
        <v>12</v>
      </c>
      <c r="P2692" t="b">
        <v>0</v>
      </c>
      <c r="Q2692">
        <v>6701.8505371090132</v>
      </c>
      <c r="R2692">
        <v>36422.921460134559</v>
      </c>
      <c r="S2692">
        <v>-0.26557316525033992</v>
      </c>
      <c r="T2692">
        <v>-107.22858293723307</v>
      </c>
      <c r="U2692">
        <v>0</v>
      </c>
      <c r="V2692">
        <v>0</v>
      </c>
    </row>
    <row r="2693" spans="1:22" x14ac:dyDescent="0.2">
      <c r="A2693"/>
      <c r="B2693">
        <v>70043</v>
      </c>
      <c r="C2693" t="s">
        <v>1320</v>
      </c>
      <c r="D2693" t="s">
        <v>919</v>
      </c>
      <c r="E2693" t="s">
        <v>1200</v>
      </c>
      <c r="F2693" t="s">
        <v>180</v>
      </c>
      <c r="G2693">
        <v>374</v>
      </c>
      <c r="H2693" t="s">
        <v>12</v>
      </c>
      <c r="I2693">
        <v>0</v>
      </c>
      <c r="J2693">
        <v>0</v>
      </c>
      <c r="K2693">
        <v>0</v>
      </c>
      <c r="L2693">
        <v>0</v>
      </c>
      <c r="M2693" t="s">
        <v>180</v>
      </c>
      <c r="N2693">
        <v>374</v>
      </c>
      <c r="O2693" t="s">
        <v>12</v>
      </c>
      <c r="P2693" t="b">
        <v>1</v>
      </c>
      <c r="Q2693">
        <v>6850.6615914016711</v>
      </c>
      <c r="R2693">
        <v>36673.128746358954</v>
      </c>
      <c r="S2693">
        <v>-9.1501060553060434</v>
      </c>
      <c r="T2693">
        <v>53.027299487132957</v>
      </c>
      <c r="U2693">
        <v>0</v>
      </c>
      <c r="V2693">
        <v>0</v>
      </c>
    </row>
    <row r="2694" spans="1:22" x14ac:dyDescent="0.2">
      <c r="A2694"/>
      <c r="B2694">
        <v>70044</v>
      </c>
      <c r="C2694" t="s">
        <v>1321</v>
      </c>
      <c r="D2694" t="s">
        <v>1044</v>
      </c>
      <c r="E2694" t="s">
        <v>1271</v>
      </c>
      <c r="F2694" t="s">
        <v>87</v>
      </c>
      <c r="G2694">
        <v>5503.3560769475025</v>
      </c>
      <c r="H2694" t="s">
        <v>12</v>
      </c>
      <c r="I2694">
        <v>-2.5</v>
      </c>
      <c r="J2694">
        <v>3.2</v>
      </c>
      <c r="K2694">
        <v>0</v>
      </c>
      <c r="L2694">
        <v>0</v>
      </c>
      <c r="M2694" t="s">
        <v>187</v>
      </c>
      <c r="N2694">
        <v>6282.11240888473</v>
      </c>
      <c r="O2694" t="s">
        <v>12</v>
      </c>
      <c r="P2694" t="b">
        <v>1</v>
      </c>
      <c r="Q2694">
        <v>5603.3009556987517</v>
      </c>
      <c r="R2694">
        <v>27773.257575932959</v>
      </c>
      <c r="S2694">
        <v>8.4485212798641172</v>
      </c>
      <c r="T2694">
        <v>80.20733066585845</v>
      </c>
      <c r="U2694">
        <v>0</v>
      </c>
      <c r="V2694">
        <v>0</v>
      </c>
    </row>
    <row r="2695" spans="1:22" x14ac:dyDescent="0.2">
      <c r="A2695"/>
      <c r="B2695">
        <v>70045</v>
      </c>
      <c r="C2695" t="s">
        <v>1322</v>
      </c>
      <c r="D2695" t="s">
        <v>919</v>
      </c>
      <c r="E2695" t="s">
        <v>1200</v>
      </c>
      <c r="F2695" t="s">
        <v>180</v>
      </c>
      <c r="G2695">
        <v>70</v>
      </c>
      <c r="H2695" t="s">
        <v>12</v>
      </c>
      <c r="I2695">
        <v>0</v>
      </c>
      <c r="J2695">
        <v>0</v>
      </c>
      <c r="K2695">
        <v>0</v>
      </c>
      <c r="L2695">
        <v>0</v>
      </c>
      <c r="M2695" t="s">
        <v>180</v>
      </c>
      <c r="N2695">
        <v>70</v>
      </c>
      <c r="O2695" t="s">
        <v>12</v>
      </c>
      <c r="P2695" t="b">
        <v>1</v>
      </c>
      <c r="Q2695">
        <v>6696.5120851355377</v>
      </c>
      <c r="R2695">
        <v>36414.105261649871</v>
      </c>
      <c r="S2695">
        <v>-3.9621601538399238</v>
      </c>
      <c r="T2695">
        <v>72.908686704239898</v>
      </c>
      <c r="U2695">
        <v>0</v>
      </c>
      <c r="V2695">
        <v>0</v>
      </c>
    </row>
    <row r="2696" spans="1:22" x14ac:dyDescent="0.2">
      <c r="A2696"/>
      <c r="B2696">
        <v>71000</v>
      </c>
      <c r="C2696" t="s">
        <v>194</v>
      </c>
      <c r="D2696" t="s">
        <v>192</v>
      </c>
      <c r="E2696" t="s">
        <v>1272</v>
      </c>
      <c r="F2696" t="s">
        <v>106</v>
      </c>
      <c r="G2696">
        <v>19.7164162292984</v>
      </c>
      <c r="H2696" t="s">
        <v>248</v>
      </c>
      <c r="I2696">
        <v>0</v>
      </c>
      <c r="J2696">
        <v>0</v>
      </c>
      <c r="K2696">
        <v>0</v>
      </c>
      <c r="L2696">
        <v>0</v>
      </c>
      <c r="M2696" t="s">
        <v>188</v>
      </c>
      <c r="N2696">
        <v>19.7164162292984</v>
      </c>
      <c r="O2696" t="s">
        <v>248</v>
      </c>
      <c r="P2696" t="b">
        <v>1</v>
      </c>
      <c r="Q2696">
        <v>4857.025498066273</v>
      </c>
      <c r="R2696">
        <v>21629.188759163742</v>
      </c>
      <c r="S2696">
        <v>-1.3038371414290809E-3</v>
      </c>
      <c r="T2696">
        <v>75.532078184768849</v>
      </c>
      <c r="U2696">
        <v>0</v>
      </c>
      <c r="V2696">
        <v>0</v>
      </c>
    </row>
    <row r="2697" spans="1:22" x14ac:dyDescent="0.2">
      <c r="A2697"/>
      <c r="B2697">
        <v>71000</v>
      </c>
      <c r="C2697" t="s">
        <v>194</v>
      </c>
      <c r="D2697" t="s">
        <v>192</v>
      </c>
      <c r="E2697" t="s">
        <v>1272</v>
      </c>
      <c r="F2697" t="s">
        <v>106</v>
      </c>
      <c r="G2697">
        <v>231.87491306466401</v>
      </c>
      <c r="H2697" t="s">
        <v>248</v>
      </c>
      <c r="M2697" t="s">
        <v>188</v>
      </c>
      <c r="N2697">
        <v>19.7164162292984</v>
      </c>
      <c r="O2697" t="s">
        <v>248</v>
      </c>
      <c r="P2697" t="b">
        <v>1</v>
      </c>
      <c r="Q2697">
        <v>4857.025498066273</v>
      </c>
      <c r="R2697">
        <v>21629.188759163742</v>
      </c>
      <c r="S2697">
        <v>-1.3038371414290809E-3</v>
      </c>
      <c r="T2697">
        <v>75.532078184768849</v>
      </c>
      <c r="U2697">
        <v>0</v>
      </c>
      <c r="V2697">
        <v>0</v>
      </c>
    </row>
    <row r="2698" spans="1:22" x14ac:dyDescent="0.2">
      <c r="A2698"/>
      <c r="B2698">
        <v>71001</v>
      </c>
      <c r="C2698" t="s">
        <v>195</v>
      </c>
      <c r="D2698" t="s">
        <v>192</v>
      </c>
      <c r="E2698" t="s">
        <v>1272</v>
      </c>
      <c r="F2698" t="s">
        <v>106</v>
      </c>
      <c r="G2698">
        <v>231.87491306466401</v>
      </c>
      <c r="H2698" t="s">
        <v>248</v>
      </c>
      <c r="I2698">
        <v>0</v>
      </c>
      <c r="J2698">
        <v>0</v>
      </c>
      <c r="K2698">
        <v>0</v>
      </c>
      <c r="L2698">
        <v>0</v>
      </c>
      <c r="M2698" t="s">
        <v>188</v>
      </c>
      <c r="N2698">
        <v>231.87491306466401</v>
      </c>
      <c r="O2698" t="s">
        <v>248</v>
      </c>
      <c r="P2698" t="b">
        <v>1</v>
      </c>
      <c r="Q2698">
        <v>4910.0211257931405</v>
      </c>
      <c r="R2698">
        <v>21834.621693289235</v>
      </c>
      <c r="S2698">
        <v>-4.6412051513000863E-4</v>
      </c>
      <c r="T2698">
        <v>75.550352216477677</v>
      </c>
      <c r="U2698">
        <v>0</v>
      </c>
      <c r="V2698">
        <v>0</v>
      </c>
    </row>
    <row r="2699" spans="1:22" x14ac:dyDescent="0.2">
      <c r="A2699"/>
      <c r="B2699">
        <v>71001</v>
      </c>
      <c r="C2699" t="s">
        <v>195</v>
      </c>
      <c r="D2699" t="s">
        <v>192</v>
      </c>
      <c r="E2699" t="s">
        <v>1272</v>
      </c>
      <c r="F2699" t="s">
        <v>122</v>
      </c>
      <c r="G2699">
        <v>11.941300151027349</v>
      </c>
      <c r="H2699" t="s">
        <v>248</v>
      </c>
      <c r="M2699" t="s">
        <v>188</v>
      </c>
      <c r="N2699">
        <v>231.87491306466401</v>
      </c>
      <c r="O2699" t="s">
        <v>248</v>
      </c>
      <c r="P2699" t="b">
        <v>1</v>
      </c>
      <c r="Q2699">
        <v>4910.0211257931405</v>
      </c>
      <c r="R2699">
        <v>21834.621693289235</v>
      </c>
      <c r="S2699">
        <v>-4.6412051513000863E-4</v>
      </c>
      <c r="T2699">
        <v>75.550352216477677</v>
      </c>
      <c r="U2699">
        <v>0</v>
      </c>
      <c r="V2699">
        <v>0</v>
      </c>
    </row>
    <row r="2700" spans="1:22" x14ac:dyDescent="0.2">
      <c r="A2700"/>
      <c r="B2700">
        <v>71001</v>
      </c>
      <c r="C2700" t="s">
        <v>195</v>
      </c>
      <c r="D2700" t="s">
        <v>192</v>
      </c>
      <c r="E2700" t="s">
        <v>1272</v>
      </c>
      <c r="F2700" t="s">
        <v>196</v>
      </c>
      <c r="G2700">
        <v>35</v>
      </c>
      <c r="H2700" t="s">
        <v>248</v>
      </c>
      <c r="M2700" t="s">
        <v>188</v>
      </c>
      <c r="N2700">
        <v>231.87491306466401</v>
      </c>
      <c r="O2700" t="s">
        <v>248</v>
      </c>
      <c r="P2700" t="b">
        <v>1</v>
      </c>
      <c r="Q2700">
        <v>4910.0211257931405</v>
      </c>
      <c r="R2700">
        <v>21834.621693289235</v>
      </c>
      <c r="S2700">
        <v>-4.6412051513000863E-4</v>
      </c>
      <c r="T2700">
        <v>75.550352216477677</v>
      </c>
      <c r="U2700">
        <v>0</v>
      </c>
      <c r="V2700">
        <v>0</v>
      </c>
    </row>
    <row r="2701" spans="1:22" x14ac:dyDescent="0.2">
      <c r="A2701"/>
      <c r="B2701">
        <v>71001</v>
      </c>
      <c r="C2701" t="s">
        <v>195</v>
      </c>
      <c r="D2701" t="s">
        <v>192</v>
      </c>
      <c r="E2701" t="s">
        <v>1272</v>
      </c>
      <c r="F2701" t="s">
        <v>197</v>
      </c>
      <c r="G2701">
        <v>45</v>
      </c>
      <c r="H2701" t="s">
        <v>248</v>
      </c>
      <c r="M2701" t="s">
        <v>188</v>
      </c>
      <c r="N2701">
        <v>231.87491306466401</v>
      </c>
      <c r="O2701" t="s">
        <v>248</v>
      </c>
      <c r="P2701" t="b">
        <v>1</v>
      </c>
      <c r="Q2701">
        <v>4910.0211257931405</v>
      </c>
      <c r="R2701">
        <v>21834.621693289235</v>
      </c>
      <c r="S2701">
        <v>-4.6412051513000863E-4</v>
      </c>
      <c r="T2701">
        <v>75.550352216477677</v>
      </c>
      <c r="U2701">
        <v>0</v>
      </c>
      <c r="V2701">
        <v>0</v>
      </c>
    </row>
    <row r="2702" spans="1:22" x14ac:dyDescent="0.2">
      <c r="A2702"/>
      <c r="B2702">
        <v>71002</v>
      </c>
      <c r="C2702" t="s">
        <v>198</v>
      </c>
      <c r="D2702" t="s">
        <v>192</v>
      </c>
      <c r="E2702" t="s">
        <v>1272</v>
      </c>
      <c r="F2702" t="s">
        <v>122</v>
      </c>
      <c r="G2702">
        <v>11.941300151027349</v>
      </c>
      <c r="H2702" t="s">
        <v>248</v>
      </c>
      <c r="I2702">
        <v>0</v>
      </c>
      <c r="J2702">
        <v>0</v>
      </c>
      <c r="K2702">
        <v>0</v>
      </c>
      <c r="L2702">
        <v>0</v>
      </c>
      <c r="M2702" t="s">
        <v>188</v>
      </c>
      <c r="N2702">
        <v>335.87608559772002</v>
      </c>
      <c r="O2702" t="s">
        <v>248</v>
      </c>
      <c r="P2702" t="b">
        <v>1</v>
      </c>
      <c r="Q2702">
        <v>4936.0232826190677</v>
      </c>
      <c r="R2702">
        <v>21935.319889056795</v>
      </c>
      <c r="S2702">
        <v>-3.6016444230234875E-3</v>
      </c>
      <c r="T2702">
        <v>75.43026691372441</v>
      </c>
      <c r="U2702">
        <v>0</v>
      </c>
      <c r="V2702">
        <v>0</v>
      </c>
    </row>
    <row r="2703" spans="1:22" x14ac:dyDescent="0.2">
      <c r="A2703"/>
      <c r="B2703">
        <v>71002</v>
      </c>
      <c r="C2703" t="s">
        <v>198</v>
      </c>
      <c r="D2703" t="s">
        <v>192</v>
      </c>
      <c r="E2703" t="s">
        <v>1272</v>
      </c>
      <c r="F2703" t="s">
        <v>122</v>
      </c>
      <c r="G2703">
        <v>61.244768982687333</v>
      </c>
      <c r="H2703" t="s">
        <v>248</v>
      </c>
      <c r="M2703" t="s">
        <v>188</v>
      </c>
      <c r="N2703">
        <v>335.87608559772002</v>
      </c>
      <c r="O2703" t="s">
        <v>248</v>
      </c>
      <c r="P2703" t="b">
        <v>1</v>
      </c>
      <c r="Q2703">
        <v>4936.0232826190677</v>
      </c>
      <c r="R2703">
        <v>21935.319889056795</v>
      </c>
      <c r="S2703">
        <v>-3.6016444230234875E-3</v>
      </c>
      <c r="T2703">
        <v>75.43026691372441</v>
      </c>
      <c r="U2703">
        <v>0</v>
      </c>
      <c r="V2703">
        <v>0</v>
      </c>
    </row>
    <row r="2704" spans="1:22" x14ac:dyDescent="0.2">
      <c r="A2704"/>
      <c r="B2704">
        <v>71003</v>
      </c>
      <c r="C2704" t="s">
        <v>199</v>
      </c>
      <c r="D2704" t="s">
        <v>192</v>
      </c>
      <c r="E2704" t="s">
        <v>1272</v>
      </c>
      <c r="F2704" t="s">
        <v>122</v>
      </c>
      <c r="G2704">
        <v>61.244768982687333</v>
      </c>
      <c r="H2704" t="s">
        <v>248</v>
      </c>
      <c r="I2704">
        <v>0</v>
      </c>
      <c r="J2704">
        <v>0</v>
      </c>
      <c r="K2704">
        <v>0</v>
      </c>
      <c r="L2704">
        <v>0</v>
      </c>
      <c r="M2704" t="s">
        <v>188</v>
      </c>
      <c r="N2704">
        <v>385.17955442938</v>
      </c>
      <c r="O2704" t="s">
        <v>248</v>
      </c>
      <c r="P2704" t="b">
        <v>1</v>
      </c>
      <c r="Q2704">
        <v>4948.381484469367</v>
      </c>
      <c r="R2704">
        <v>21983.049358735978</v>
      </c>
      <c r="S2704">
        <v>-3.7450800121739836E-3</v>
      </c>
      <c r="T2704">
        <v>75.67714437949455</v>
      </c>
      <c r="U2704">
        <v>0</v>
      </c>
      <c r="V2704">
        <v>0</v>
      </c>
    </row>
    <row r="2705" spans="1:22" x14ac:dyDescent="0.2">
      <c r="A2705"/>
      <c r="B2705">
        <v>71003</v>
      </c>
      <c r="C2705" t="s">
        <v>199</v>
      </c>
      <c r="D2705" t="s">
        <v>192</v>
      </c>
      <c r="E2705" t="s">
        <v>1272</v>
      </c>
      <c r="F2705" t="s">
        <v>122</v>
      </c>
      <c r="G2705">
        <v>277.35173356562132</v>
      </c>
      <c r="H2705" t="s">
        <v>248</v>
      </c>
      <c r="M2705" t="s">
        <v>188</v>
      </c>
      <c r="N2705">
        <v>385.17955442938</v>
      </c>
      <c r="O2705" t="s">
        <v>248</v>
      </c>
      <c r="P2705" t="b">
        <v>1</v>
      </c>
      <c r="Q2705">
        <v>4948.381484469367</v>
      </c>
      <c r="R2705">
        <v>21983.049358735978</v>
      </c>
      <c r="S2705">
        <v>-3.7450800121739836E-3</v>
      </c>
      <c r="T2705">
        <v>75.67714437949455</v>
      </c>
      <c r="U2705">
        <v>0</v>
      </c>
      <c r="V2705">
        <v>0</v>
      </c>
    </row>
    <row r="2706" spans="1:22" x14ac:dyDescent="0.2">
      <c r="A2706"/>
      <c r="B2706">
        <v>71004</v>
      </c>
      <c r="C2706" t="s">
        <v>200</v>
      </c>
      <c r="D2706" t="s">
        <v>192</v>
      </c>
      <c r="E2706" t="s">
        <v>1272</v>
      </c>
      <c r="F2706" t="s">
        <v>122</v>
      </c>
      <c r="G2706">
        <v>277.35173356562132</v>
      </c>
      <c r="H2706" t="s">
        <v>248</v>
      </c>
      <c r="I2706">
        <v>0</v>
      </c>
      <c r="J2706">
        <v>0</v>
      </c>
      <c r="K2706">
        <v>0</v>
      </c>
      <c r="L2706">
        <v>0</v>
      </c>
      <c r="M2706" t="s">
        <v>188</v>
      </c>
      <c r="N2706">
        <v>601.28651901231399</v>
      </c>
      <c r="O2706" t="s">
        <v>248</v>
      </c>
      <c r="P2706" t="b">
        <v>1</v>
      </c>
      <c r="Q2706">
        <v>4990.9795735692278</v>
      </c>
      <c r="R2706">
        <v>22194.835787895157</v>
      </c>
      <c r="S2706">
        <v>-0.34353180554452911</v>
      </c>
      <c r="T2706">
        <v>79.922724317285144</v>
      </c>
      <c r="U2706">
        <v>0</v>
      </c>
      <c r="V2706">
        <v>0</v>
      </c>
    </row>
    <row r="2707" spans="1:22" x14ac:dyDescent="0.2">
      <c r="A2707"/>
      <c r="B2707">
        <v>71004</v>
      </c>
      <c r="C2707" t="s">
        <v>200</v>
      </c>
      <c r="D2707" t="s">
        <v>192</v>
      </c>
      <c r="E2707" t="s">
        <v>1272</v>
      </c>
      <c r="F2707" t="s">
        <v>122</v>
      </c>
      <c r="G2707">
        <v>322.76022835958031</v>
      </c>
      <c r="H2707" t="s">
        <v>248</v>
      </c>
      <c r="M2707" t="s">
        <v>188</v>
      </c>
      <c r="N2707">
        <v>601.28651901231399</v>
      </c>
      <c r="O2707" t="s">
        <v>248</v>
      </c>
      <c r="P2707" t="b">
        <v>1</v>
      </c>
      <c r="Q2707">
        <v>4990.9795735692278</v>
      </c>
      <c r="R2707">
        <v>22194.835787895157</v>
      </c>
      <c r="S2707">
        <v>-0.34353180554452911</v>
      </c>
      <c r="T2707">
        <v>79.922724317285144</v>
      </c>
      <c r="U2707">
        <v>0</v>
      </c>
      <c r="V2707">
        <v>0</v>
      </c>
    </row>
    <row r="2708" spans="1:22" x14ac:dyDescent="0.2">
      <c r="A2708"/>
      <c r="B2708">
        <v>71005</v>
      </c>
      <c r="C2708" t="s">
        <v>201</v>
      </c>
      <c r="D2708" t="s">
        <v>192</v>
      </c>
      <c r="E2708" t="s">
        <v>1272</v>
      </c>
      <c r="F2708" t="s">
        <v>122</v>
      </c>
      <c r="G2708">
        <v>322.76022835958031</v>
      </c>
      <c r="H2708" t="s">
        <v>248</v>
      </c>
      <c r="I2708">
        <v>0</v>
      </c>
      <c r="J2708">
        <v>0</v>
      </c>
      <c r="K2708">
        <v>0</v>
      </c>
      <c r="L2708">
        <v>0</v>
      </c>
      <c r="M2708" t="s">
        <v>188</v>
      </c>
      <c r="N2708">
        <v>646.69501380627298</v>
      </c>
      <c r="O2708" t="s">
        <v>248</v>
      </c>
      <c r="P2708" t="b">
        <v>1</v>
      </c>
      <c r="Q2708">
        <v>4998.9261231631399</v>
      </c>
      <c r="R2708">
        <v>22239.534027806072</v>
      </c>
      <c r="S2708">
        <v>-1.2603765712895991</v>
      </c>
      <c r="T2708">
        <v>79.903216789621354</v>
      </c>
      <c r="U2708">
        <v>0</v>
      </c>
      <c r="V2708">
        <v>0</v>
      </c>
    </row>
    <row r="2709" spans="1:22" x14ac:dyDescent="0.2">
      <c r="A2709"/>
      <c r="B2709">
        <v>71005</v>
      </c>
      <c r="C2709" t="s">
        <v>201</v>
      </c>
      <c r="D2709" t="s">
        <v>192</v>
      </c>
      <c r="E2709" t="s">
        <v>1272</v>
      </c>
      <c r="F2709" t="s">
        <v>202</v>
      </c>
      <c r="G2709">
        <v>39.7899999999999</v>
      </c>
      <c r="H2709" t="s">
        <v>248</v>
      </c>
      <c r="M2709" t="s">
        <v>188</v>
      </c>
      <c r="N2709">
        <v>646.69501380627298</v>
      </c>
      <c r="O2709" t="s">
        <v>248</v>
      </c>
      <c r="P2709" t="b">
        <v>1</v>
      </c>
      <c r="Q2709">
        <v>4998.9261231631399</v>
      </c>
      <c r="R2709">
        <v>22239.534027806072</v>
      </c>
      <c r="S2709">
        <v>-1.2603765712895991</v>
      </c>
      <c r="T2709">
        <v>79.903216789621354</v>
      </c>
      <c r="U2709">
        <v>0</v>
      </c>
      <c r="V2709">
        <v>0</v>
      </c>
    </row>
    <row r="2710" spans="1:22" x14ac:dyDescent="0.2">
      <c r="A2710"/>
      <c r="B2710">
        <v>71005</v>
      </c>
      <c r="C2710" t="s">
        <v>201</v>
      </c>
      <c r="D2710" t="s">
        <v>192</v>
      </c>
      <c r="E2710" t="s">
        <v>1272</v>
      </c>
      <c r="F2710" t="s">
        <v>123</v>
      </c>
      <c r="G2710">
        <v>72.683160184884059</v>
      </c>
      <c r="H2710" t="s">
        <v>248</v>
      </c>
      <c r="M2710" t="s">
        <v>188</v>
      </c>
      <c r="N2710">
        <v>646.69501380627298</v>
      </c>
      <c r="O2710" t="s">
        <v>248</v>
      </c>
      <c r="P2710" t="b">
        <v>1</v>
      </c>
      <c r="Q2710">
        <v>4998.9261231631399</v>
      </c>
      <c r="R2710">
        <v>22239.534027806072</v>
      </c>
      <c r="S2710">
        <v>-1.2603765712895991</v>
      </c>
      <c r="T2710">
        <v>79.903216789621354</v>
      </c>
      <c r="U2710">
        <v>0</v>
      </c>
      <c r="V2710">
        <v>0</v>
      </c>
    </row>
    <row r="2711" spans="1:22" x14ac:dyDescent="0.2">
      <c r="A2711"/>
      <c r="B2711">
        <v>71006</v>
      </c>
      <c r="C2711" t="s">
        <v>209</v>
      </c>
      <c r="D2711" t="s">
        <v>192</v>
      </c>
      <c r="E2711" t="s">
        <v>1272</v>
      </c>
      <c r="F2711" t="s">
        <v>123</v>
      </c>
      <c r="G2711">
        <v>72.683160184884059</v>
      </c>
      <c r="H2711" t="s">
        <v>248</v>
      </c>
      <c r="I2711">
        <v>0</v>
      </c>
      <c r="J2711">
        <v>0</v>
      </c>
      <c r="K2711">
        <v>0</v>
      </c>
      <c r="L2711">
        <v>0</v>
      </c>
      <c r="M2711" t="s">
        <v>188</v>
      </c>
      <c r="N2711">
        <v>773.46407929948998</v>
      </c>
      <c r="O2711" t="s">
        <v>248</v>
      </c>
      <c r="P2711" t="b">
        <v>1</v>
      </c>
      <c r="Q2711">
        <v>5021.3143729173707</v>
      </c>
      <c r="R2711">
        <v>22364.307717685013</v>
      </c>
      <c r="S2711">
        <v>-1.7122878562579105</v>
      </c>
      <c r="T2711">
        <v>79.869085125835667</v>
      </c>
      <c r="U2711">
        <v>0</v>
      </c>
      <c r="V2711">
        <v>0</v>
      </c>
    </row>
    <row r="2712" spans="1:22" x14ac:dyDescent="0.2">
      <c r="A2712"/>
      <c r="B2712">
        <v>71006</v>
      </c>
      <c r="C2712" t="s">
        <v>209</v>
      </c>
      <c r="D2712" t="s">
        <v>192</v>
      </c>
      <c r="E2712" t="s">
        <v>1272</v>
      </c>
      <c r="F2712" t="s">
        <v>123</v>
      </c>
      <c r="G2712">
        <v>1259.0938562275442</v>
      </c>
      <c r="H2712" t="s">
        <v>248</v>
      </c>
      <c r="M2712" t="s">
        <v>188</v>
      </c>
      <c r="N2712">
        <v>773.46407929948998</v>
      </c>
      <c r="O2712" t="s">
        <v>248</v>
      </c>
      <c r="P2712" t="b">
        <v>1</v>
      </c>
      <c r="Q2712">
        <v>5021.3143729173707</v>
      </c>
      <c r="R2712">
        <v>22364.307717685013</v>
      </c>
      <c r="S2712">
        <v>-1.7122878562579105</v>
      </c>
      <c r="T2712">
        <v>79.869085125835667</v>
      </c>
      <c r="U2712">
        <v>0</v>
      </c>
      <c r="V2712">
        <v>0</v>
      </c>
    </row>
    <row r="2713" spans="1:22" x14ac:dyDescent="0.2">
      <c r="A2713"/>
      <c r="B2713">
        <v>71007</v>
      </c>
      <c r="C2713" t="s">
        <v>210</v>
      </c>
      <c r="D2713" t="s">
        <v>192</v>
      </c>
      <c r="E2713" t="s">
        <v>1272</v>
      </c>
      <c r="F2713" t="s">
        <v>123</v>
      </c>
      <c r="G2713">
        <v>1259.0938562275442</v>
      </c>
      <c r="H2713" t="s">
        <v>248</v>
      </c>
      <c r="I2713">
        <v>0</v>
      </c>
      <c r="J2713">
        <v>0</v>
      </c>
      <c r="K2713">
        <v>0</v>
      </c>
      <c r="L2713">
        <v>0</v>
      </c>
      <c r="M2713" t="s">
        <v>188</v>
      </c>
      <c r="N2713">
        <v>1959.8747753421501</v>
      </c>
      <c r="O2713" t="s">
        <v>248</v>
      </c>
      <c r="P2713" t="b">
        <v>1</v>
      </c>
      <c r="Q2713">
        <v>5067.2956760479265</v>
      </c>
      <c r="R2713">
        <v>23511.226251170203</v>
      </c>
      <c r="S2713">
        <v>7.3993904094989311</v>
      </c>
      <c r="T2713">
        <v>88.222286940600043</v>
      </c>
      <c r="U2713">
        <v>0</v>
      </c>
      <c r="V2713">
        <v>0</v>
      </c>
    </row>
    <row r="2714" spans="1:22" x14ac:dyDescent="0.2">
      <c r="A2714"/>
      <c r="B2714">
        <v>71007</v>
      </c>
      <c r="C2714" t="s">
        <v>210</v>
      </c>
      <c r="D2714" t="s">
        <v>192</v>
      </c>
      <c r="E2714" t="s">
        <v>1272</v>
      </c>
      <c r="F2714" t="s">
        <v>123</v>
      </c>
      <c r="G2714">
        <v>1453.0926767941041</v>
      </c>
      <c r="H2714" t="s">
        <v>248</v>
      </c>
      <c r="M2714" t="s">
        <v>188</v>
      </c>
      <c r="N2714">
        <v>1959.8747753421501</v>
      </c>
      <c r="O2714" t="s">
        <v>248</v>
      </c>
      <c r="P2714" t="b">
        <v>1</v>
      </c>
      <c r="Q2714">
        <v>5067.2956760479265</v>
      </c>
      <c r="R2714">
        <v>23511.226251170203</v>
      </c>
      <c r="S2714">
        <v>7.3993904094989311</v>
      </c>
      <c r="T2714">
        <v>88.222286940600043</v>
      </c>
      <c r="U2714">
        <v>0</v>
      </c>
      <c r="V2714">
        <v>0</v>
      </c>
    </row>
    <row r="2715" spans="1:22" x14ac:dyDescent="0.2">
      <c r="A2715"/>
      <c r="B2715">
        <v>71008</v>
      </c>
      <c r="C2715" t="s">
        <v>211</v>
      </c>
      <c r="D2715" t="s">
        <v>192</v>
      </c>
      <c r="E2715" t="s">
        <v>1272</v>
      </c>
      <c r="F2715" t="s">
        <v>123</v>
      </c>
      <c r="G2715">
        <v>1453.0926767941041</v>
      </c>
      <c r="H2715" t="s">
        <v>248</v>
      </c>
      <c r="I2715">
        <v>0</v>
      </c>
      <c r="J2715">
        <v>0</v>
      </c>
      <c r="K2715">
        <v>0</v>
      </c>
      <c r="L2715">
        <v>0</v>
      </c>
      <c r="M2715" t="s">
        <v>188</v>
      </c>
      <c r="N2715">
        <v>2153.8735959087098</v>
      </c>
      <c r="O2715" t="s">
        <v>248</v>
      </c>
      <c r="P2715" t="b">
        <v>1</v>
      </c>
      <c r="Q2715">
        <v>5073.2434058613972</v>
      </c>
      <c r="R2715">
        <v>23705.133558827412</v>
      </c>
      <c r="S2715">
        <v>7.4219356021712599</v>
      </c>
      <c r="T2715">
        <v>88.429526184712259</v>
      </c>
      <c r="U2715">
        <v>0</v>
      </c>
      <c r="V2715">
        <v>0</v>
      </c>
    </row>
    <row r="2716" spans="1:22" x14ac:dyDescent="0.2">
      <c r="A2716"/>
      <c r="B2716">
        <v>71008</v>
      </c>
      <c r="C2716" t="s">
        <v>211</v>
      </c>
      <c r="D2716" t="s">
        <v>192</v>
      </c>
      <c r="E2716" t="s">
        <v>1272</v>
      </c>
      <c r="F2716" t="s">
        <v>123</v>
      </c>
      <c r="G2716">
        <v>2825.6820401556738</v>
      </c>
      <c r="H2716" t="s">
        <v>248</v>
      </c>
      <c r="M2716" t="s">
        <v>188</v>
      </c>
      <c r="N2716">
        <v>2153.8735959087098</v>
      </c>
      <c r="O2716" t="s">
        <v>248</v>
      </c>
      <c r="P2716" t="b">
        <v>1</v>
      </c>
      <c r="Q2716">
        <v>5073.2434058613972</v>
      </c>
      <c r="R2716">
        <v>23705.133558827412</v>
      </c>
      <c r="S2716">
        <v>7.4219356021712599</v>
      </c>
      <c r="T2716">
        <v>88.429526184712259</v>
      </c>
      <c r="U2716">
        <v>0</v>
      </c>
      <c r="V2716">
        <v>0</v>
      </c>
    </row>
    <row r="2717" spans="1:22" x14ac:dyDescent="0.2">
      <c r="A2717"/>
      <c r="B2717">
        <v>71009</v>
      </c>
      <c r="C2717" t="s">
        <v>212</v>
      </c>
      <c r="D2717" t="s">
        <v>192</v>
      </c>
      <c r="E2717" t="s">
        <v>1272</v>
      </c>
      <c r="F2717" t="s">
        <v>123</v>
      </c>
      <c r="G2717">
        <v>2825.6820401556738</v>
      </c>
      <c r="H2717" t="s">
        <v>248</v>
      </c>
      <c r="I2717">
        <v>0</v>
      </c>
      <c r="J2717">
        <v>0</v>
      </c>
      <c r="K2717">
        <v>0</v>
      </c>
      <c r="L2717">
        <v>0</v>
      </c>
      <c r="M2717" t="s">
        <v>188</v>
      </c>
      <c r="N2717">
        <v>3526.46295927028</v>
      </c>
      <c r="O2717" t="s">
        <v>248</v>
      </c>
      <c r="P2717" t="b">
        <v>1</v>
      </c>
      <c r="Q2717">
        <v>5087.732644320251</v>
      </c>
      <c r="R2717">
        <v>25072.504401806196</v>
      </c>
      <c r="S2717">
        <v>-2.6199381840565872</v>
      </c>
      <c r="T2717">
        <v>70.157266362323938</v>
      </c>
      <c r="U2717">
        <v>0</v>
      </c>
      <c r="V2717">
        <v>0</v>
      </c>
    </row>
    <row r="2718" spans="1:22" x14ac:dyDescent="0.2">
      <c r="A2718"/>
      <c r="B2718">
        <v>71009</v>
      </c>
      <c r="C2718" t="s">
        <v>212</v>
      </c>
      <c r="D2718" t="s">
        <v>192</v>
      </c>
      <c r="E2718" t="s">
        <v>1272</v>
      </c>
      <c r="F2718" t="s">
        <v>123</v>
      </c>
      <c r="G2718">
        <v>3018.6971936470541</v>
      </c>
      <c r="H2718" t="s">
        <v>248</v>
      </c>
      <c r="M2718" t="s">
        <v>188</v>
      </c>
      <c r="N2718">
        <v>3526.46295927028</v>
      </c>
      <c r="O2718" t="s">
        <v>248</v>
      </c>
      <c r="P2718" t="b">
        <v>1</v>
      </c>
      <c r="Q2718">
        <v>5087.732644320251</v>
      </c>
      <c r="R2718">
        <v>25072.504401806196</v>
      </c>
      <c r="S2718">
        <v>-2.6199381840565872</v>
      </c>
      <c r="T2718">
        <v>70.157266362323938</v>
      </c>
      <c r="U2718">
        <v>0</v>
      </c>
      <c r="V2718">
        <v>0</v>
      </c>
    </row>
    <row r="2719" spans="1:22" x14ac:dyDescent="0.2">
      <c r="A2719"/>
      <c r="B2719">
        <v>71010</v>
      </c>
      <c r="C2719" t="s">
        <v>228</v>
      </c>
      <c r="D2719" t="s">
        <v>192</v>
      </c>
      <c r="E2719" t="s">
        <v>1272</v>
      </c>
      <c r="F2719" t="s">
        <v>123</v>
      </c>
      <c r="G2719">
        <v>3018.6971936470541</v>
      </c>
      <c r="H2719" t="s">
        <v>248</v>
      </c>
      <c r="I2719">
        <v>0</v>
      </c>
      <c r="J2719">
        <v>0</v>
      </c>
      <c r="K2719">
        <v>0</v>
      </c>
      <c r="L2719">
        <v>0</v>
      </c>
      <c r="M2719" t="s">
        <v>188</v>
      </c>
      <c r="N2719">
        <v>3719.4781127616602</v>
      </c>
      <c r="O2719" t="s">
        <v>248</v>
      </c>
      <c r="P2719" t="b">
        <v>1</v>
      </c>
      <c r="Q2719">
        <v>5153.7380092117501</v>
      </c>
      <c r="R2719">
        <v>25253.88271876593</v>
      </c>
      <c r="S2719">
        <v>-2.629728485459605</v>
      </c>
      <c r="T2719">
        <v>70.012122558271898</v>
      </c>
      <c r="U2719">
        <v>0</v>
      </c>
      <c r="V2719">
        <v>0</v>
      </c>
    </row>
    <row r="2720" spans="1:22" x14ac:dyDescent="0.2">
      <c r="A2720"/>
      <c r="B2720">
        <v>71010</v>
      </c>
      <c r="C2720" t="s">
        <v>228</v>
      </c>
      <c r="D2720" t="s">
        <v>192</v>
      </c>
      <c r="E2720" t="s">
        <v>1272</v>
      </c>
      <c r="F2720" t="s">
        <v>123</v>
      </c>
      <c r="G2720">
        <v>3020.6645277974139</v>
      </c>
      <c r="H2720" t="s">
        <v>248</v>
      </c>
      <c r="M2720" t="s">
        <v>188</v>
      </c>
      <c r="N2720">
        <v>3719.4781127616602</v>
      </c>
      <c r="O2720" t="s">
        <v>248</v>
      </c>
      <c r="P2720" t="b">
        <v>1</v>
      </c>
      <c r="Q2720">
        <v>5153.7380092117501</v>
      </c>
      <c r="R2720">
        <v>25253.88271876593</v>
      </c>
      <c r="S2720">
        <v>-2.629728485459605</v>
      </c>
      <c r="T2720">
        <v>70.012122558271898</v>
      </c>
      <c r="U2720">
        <v>0</v>
      </c>
      <c r="V2720">
        <v>0</v>
      </c>
    </row>
    <row r="2721" spans="1:22" x14ac:dyDescent="0.2">
      <c r="A2721"/>
      <c r="B2721">
        <v>71011</v>
      </c>
      <c r="C2721" t="s">
        <v>213</v>
      </c>
      <c r="D2721" t="s">
        <v>192</v>
      </c>
      <c r="E2721" t="s">
        <v>1272</v>
      </c>
      <c r="F2721" t="s">
        <v>123</v>
      </c>
      <c r="G2721">
        <v>3020.6645277974139</v>
      </c>
      <c r="H2721" t="s">
        <v>248</v>
      </c>
      <c r="I2721">
        <v>0</v>
      </c>
      <c r="J2721">
        <v>0</v>
      </c>
      <c r="K2721">
        <v>0</v>
      </c>
      <c r="L2721">
        <v>0</v>
      </c>
      <c r="M2721" t="s">
        <v>188</v>
      </c>
      <c r="N2721">
        <v>3721.4454469120201</v>
      </c>
      <c r="O2721" t="s">
        <v>248</v>
      </c>
      <c r="P2721" t="b">
        <v>1</v>
      </c>
      <c r="Q2721">
        <v>5154.4104160721736</v>
      </c>
      <c r="R2721">
        <v>25255.73156178667</v>
      </c>
      <c r="S2721">
        <v>-2.6369410985326844</v>
      </c>
      <c r="T2721">
        <v>70.0161982662095</v>
      </c>
      <c r="U2721">
        <v>0</v>
      </c>
      <c r="V2721">
        <v>0</v>
      </c>
    </row>
    <row r="2722" spans="1:22" x14ac:dyDescent="0.2">
      <c r="A2722"/>
      <c r="B2722">
        <v>71011</v>
      </c>
      <c r="C2722" t="s">
        <v>213</v>
      </c>
      <c r="D2722" t="s">
        <v>192</v>
      </c>
      <c r="E2722" t="s">
        <v>1272</v>
      </c>
      <c r="F2722" t="s">
        <v>123</v>
      </c>
      <c r="G2722">
        <v>3869.4216636145534</v>
      </c>
      <c r="H2722" t="s">
        <v>248</v>
      </c>
      <c r="M2722" t="s">
        <v>188</v>
      </c>
      <c r="N2722">
        <v>3721.4454469120201</v>
      </c>
      <c r="O2722" t="s">
        <v>248</v>
      </c>
      <c r="P2722" t="b">
        <v>1</v>
      </c>
      <c r="Q2722">
        <v>5154.4104160721736</v>
      </c>
      <c r="R2722">
        <v>25255.73156178667</v>
      </c>
      <c r="S2722">
        <v>-2.6369410985326844</v>
      </c>
      <c r="T2722">
        <v>70.0161982662095</v>
      </c>
      <c r="U2722">
        <v>0</v>
      </c>
      <c r="V2722">
        <v>0</v>
      </c>
    </row>
    <row r="2723" spans="1:22" x14ac:dyDescent="0.2">
      <c r="A2723"/>
      <c r="B2723">
        <v>71012</v>
      </c>
      <c r="C2723" t="s">
        <v>214</v>
      </c>
      <c r="D2723" t="s">
        <v>192</v>
      </c>
      <c r="E2723" t="s">
        <v>1272</v>
      </c>
      <c r="F2723" t="s">
        <v>123</v>
      </c>
      <c r="G2723">
        <v>3869.4216636145534</v>
      </c>
      <c r="H2723" t="s">
        <v>248</v>
      </c>
      <c r="I2723">
        <v>0</v>
      </c>
      <c r="J2723">
        <v>0</v>
      </c>
      <c r="K2723">
        <v>0</v>
      </c>
      <c r="L2723">
        <v>0</v>
      </c>
      <c r="M2723" t="s">
        <v>188</v>
      </c>
      <c r="N2723">
        <v>4570.20258272916</v>
      </c>
      <c r="O2723" t="s">
        <v>248</v>
      </c>
      <c r="P2723" t="b">
        <v>1</v>
      </c>
      <c r="Q2723">
        <v>5304.8339581736864</v>
      </c>
      <c r="R2723">
        <v>26088.71239916046</v>
      </c>
      <c r="S2723">
        <v>-2.3394135029859298</v>
      </c>
      <c r="T2723">
        <v>82.366440474701008</v>
      </c>
      <c r="U2723">
        <v>0</v>
      </c>
      <c r="V2723">
        <v>0</v>
      </c>
    </row>
    <row r="2724" spans="1:22" x14ac:dyDescent="0.2">
      <c r="A2724"/>
      <c r="B2724">
        <v>71012</v>
      </c>
      <c r="C2724" t="s">
        <v>214</v>
      </c>
      <c r="D2724" t="s">
        <v>192</v>
      </c>
      <c r="E2724" t="s">
        <v>1272</v>
      </c>
      <c r="F2724" t="s">
        <v>123</v>
      </c>
      <c r="G2724">
        <v>4063.4204841811138</v>
      </c>
      <c r="H2724" t="s">
        <v>248</v>
      </c>
      <c r="M2724" t="s">
        <v>188</v>
      </c>
      <c r="N2724">
        <v>4570.20258272916</v>
      </c>
      <c r="O2724" t="s">
        <v>248</v>
      </c>
      <c r="P2724" t="b">
        <v>1</v>
      </c>
      <c r="Q2724">
        <v>5304.8339581736864</v>
      </c>
      <c r="R2724">
        <v>26088.71239916046</v>
      </c>
      <c r="S2724">
        <v>-2.3394135029859298</v>
      </c>
      <c r="T2724">
        <v>82.366440474701008</v>
      </c>
      <c r="U2724">
        <v>0</v>
      </c>
      <c r="V2724">
        <v>0</v>
      </c>
    </row>
    <row r="2725" spans="1:22" x14ac:dyDescent="0.2">
      <c r="A2725"/>
      <c r="B2725">
        <v>71013</v>
      </c>
      <c r="C2725" t="s">
        <v>215</v>
      </c>
      <c r="D2725" t="s">
        <v>192</v>
      </c>
      <c r="E2725" t="s">
        <v>1272</v>
      </c>
      <c r="F2725" t="s">
        <v>123</v>
      </c>
      <c r="G2725">
        <v>4063.4204841811138</v>
      </c>
      <c r="H2725" t="s">
        <v>248</v>
      </c>
      <c r="I2725">
        <v>0</v>
      </c>
      <c r="J2725">
        <v>0</v>
      </c>
      <c r="K2725">
        <v>0</v>
      </c>
      <c r="L2725">
        <v>0</v>
      </c>
      <c r="M2725" t="s">
        <v>188</v>
      </c>
      <c r="N2725">
        <v>4764.2014032957204</v>
      </c>
      <c r="O2725" t="s">
        <v>248</v>
      </c>
      <c r="P2725" t="b">
        <v>1</v>
      </c>
      <c r="Q2725">
        <v>5330.5451760608039</v>
      </c>
      <c r="R2725">
        <v>26280.999870395819</v>
      </c>
      <c r="S2725">
        <v>-2.3455082438406034</v>
      </c>
      <c r="T2725">
        <v>82.338614790736031</v>
      </c>
      <c r="U2725">
        <v>0</v>
      </c>
      <c r="V2725">
        <v>0</v>
      </c>
    </row>
    <row r="2726" spans="1:22" x14ac:dyDescent="0.2">
      <c r="A2726"/>
      <c r="B2726">
        <v>71013</v>
      </c>
      <c r="C2726" t="s">
        <v>215</v>
      </c>
      <c r="D2726" t="s">
        <v>192</v>
      </c>
      <c r="E2726" t="s">
        <v>1272</v>
      </c>
      <c r="F2726" t="s">
        <v>123</v>
      </c>
      <c r="G2726">
        <v>5585.7829964092534</v>
      </c>
      <c r="H2726" t="s">
        <v>248</v>
      </c>
      <c r="M2726" t="s">
        <v>188</v>
      </c>
      <c r="N2726">
        <v>4764.2014032957204</v>
      </c>
      <c r="O2726" t="s">
        <v>248</v>
      </c>
      <c r="P2726" t="b">
        <v>1</v>
      </c>
      <c r="Q2726">
        <v>5330.5451760608039</v>
      </c>
      <c r="R2726">
        <v>26280.999870395819</v>
      </c>
      <c r="S2726">
        <v>-2.3455082438406034</v>
      </c>
      <c r="T2726">
        <v>82.338614790736031</v>
      </c>
      <c r="U2726">
        <v>0</v>
      </c>
      <c r="V2726">
        <v>0</v>
      </c>
    </row>
    <row r="2727" spans="1:22" x14ac:dyDescent="0.2">
      <c r="A2727"/>
      <c r="B2727">
        <v>71014</v>
      </c>
      <c r="C2727" t="s">
        <v>216</v>
      </c>
      <c r="D2727" t="s">
        <v>192</v>
      </c>
      <c r="E2727" t="s">
        <v>1272</v>
      </c>
      <c r="F2727" t="s">
        <v>123</v>
      </c>
      <c r="G2727">
        <v>5585.7829964092534</v>
      </c>
      <c r="H2727" t="s">
        <v>248</v>
      </c>
      <c r="I2727">
        <v>0</v>
      </c>
      <c r="J2727">
        <v>0</v>
      </c>
      <c r="K2727">
        <v>0</v>
      </c>
      <c r="L2727">
        <v>0</v>
      </c>
      <c r="M2727" t="s">
        <v>188</v>
      </c>
      <c r="N2727">
        <v>6286.5639155238596</v>
      </c>
      <c r="O2727" t="s">
        <v>248</v>
      </c>
      <c r="P2727" t="b">
        <v>1</v>
      </c>
      <c r="Q2727">
        <v>5601.7325540633274</v>
      </c>
      <c r="R2727">
        <v>27778.601558007183</v>
      </c>
      <c r="S2727">
        <v>5.2230079670160903</v>
      </c>
      <c r="T2727">
        <v>80.268289543141037</v>
      </c>
      <c r="U2727">
        <v>0</v>
      </c>
      <c r="V2727">
        <v>0</v>
      </c>
    </row>
    <row r="2728" spans="1:22" x14ac:dyDescent="0.2">
      <c r="A2728"/>
      <c r="B2728">
        <v>71014</v>
      </c>
      <c r="C2728" t="s">
        <v>216</v>
      </c>
      <c r="D2728" t="s">
        <v>192</v>
      </c>
      <c r="E2728" t="s">
        <v>1272</v>
      </c>
      <c r="F2728" t="s">
        <v>123</v>
      </c>
      <c r="G2728">
        <v>5620.2113440404737</v>
      </c>
      <c r="H2728" t="s">
        <v>248</v>
      </c>
      <c r="M2728" t="s">
        <v>188</v>
      </c>
      <c r="N2728">
        <v>6286.5639155238596</v>
      </c>
      <c r="O2728" t="s">
        <v>248</v>
      </c>
      <c r="P2728" t="b">
        <v>1</v>
      </c>
      <c r="Q2728">
        <v>5601.7325540633274</v>
      </c>
      <c r="R2728">
        <v>27778.601558007183</v>
      </c>
      <c r="S2728">
        <v>5.2230079670160903</v>
      </c>
      <c r="T2728">
        <v>80.268289543141037</v>
      </c>
      <c r="U2728">
        <v>0</v>
      </c>
      <c r="V2728">
        <v>0</v>
      </c>
    </row>
    <row r="2729" spans="1:22" x14ac:dyDescent="0.2">
      <c r="A2729"/>
      <c r="B2729">
        <v>71015</v>
      </c>
      <c r="C2729" t="s">
        <v>217</v>
      </c>
      <c r="D2729" t="s">
        <v>192</v>
      </c>
      <c r="E2729" t="s">
        <v>1272</v>
      </c>
      <c r="F2729" t="s">
        <v>123</v>
      </c>
      <c r="G2729">
        <v>5620.2113440404737</v>
      </c>
      <c r="H2729" t="s">
        <v>248</v>
      </c>
      <c r="I2729">
        <v>0</v>
      </c>
      <c r="J2729">
        <v>0</v>
      </c>
      <c r="K2729">
        <v>0</v>
      </c>
      <c r="L2729">
        <v>0</v>
      </c>
      <c r="M2729" t="s">
        <v>188</v>
      </c>
      <c r="N2729">
        <v>6320.9922631550799</v>
      </c>
      <c r="O2729" t="s">
        <v>248</v>
      </c>
      <c r="P2729" t="b">
        <v>1</v>
      </c>
      <c r="Q2729">
        <v>5607.4408692390653</v>
      </c>
      <c r="R2729">
        <v>27812.553317196427</v>
      </c>
      <c r="S2729">
        <v>5.2289482463428412</v>
      </c>
      <c r="T2729">
        <v>80.643892979042519</v>
      </c>
      <c r="U2729">
        <v>0</v>
      </c>
      <c r="V2729">
        <v>0</v>
      </c>
    </row>
    <row r="2730" spans="1:22" x14ac:dyDescent="0.2">
      <c r="A2730"/>
      <c r="B2730">
        <v>71015</v>
      </c>
      <c r="C2730" t="s">
        <v>217</v>
      </c>
      <c r="D2730" t="s">
        <v>192</v>
      </c>
      <c r="E2730" t="s">
        <v>1272</v>
      </c>
      <c r="F2730" t="s">
        <v>124</v>
      </c>
      <c r="G2730">
        <v>21.140390704921629</v>
      </c>
      <c r="H2730" t="s">
        <v>248</v>
      </c>
      <c r="M2730" t="s">
        <v>188</v>
      </c>
      <c r="N2730">
        <v>6320.9922631550799</v>
      </c>
      <c r="O2730" t="s">
        <v>248</v>
      </c>
      <c r="P2730" t="b">
        <v>1</v>
      </c>
      <c r="Q2730">
        <v>5607.4408692390653</v>
      </c>
      <c r="R2730">
        <v>27812.553317196427</v>
      </c>
      <c r="S2730">
        <v>5.2289482463428412</v>
      </c>
      <c r="T2730">
        <v>80.643892979042519</v>
      </c>
      <c r="U2730">
        <v>0</v>
      </c>
      <c r="V2730">
        <v>0</v>
      </c>
    </row>
    <row r="2731" spans="1:22" x14ac:dyDescent="0.2">
      <c r="A2731"/>
      <c r="B2731">
        <v>71015</v>
      </c>
      <c r="C2731" t="s">
        <v>217</v>
      </c>
      <c r="D2731" t="s">
        <v>192</v>
      </c>
      <c r="E2731" t="s">
        <v>1272</v>
      </c>
      <c r="F2731" t="s">
        <v>218</v>
      </c>
      <c r="G2731">
        <v>39.7899999999999</v>
      </c>
      <c r="H2731" t="s">
        <v>248</v>
      </c>
      <c r="M2731" t="s">
        <v>188</v>
      </c>
      <c r="N2731">
        <v>6320.9922631550799</v>
      </c>
      <c r="O2731" t="s">
        <v>248</v>
      </c>
      <c r="P2731" t="b">
        <v>1</v>
      </c>
      <c r="Q2731">
        <v>5607.4408692390653</v>
      </c>
      <c r="R2731">
        <v>27812.553317196427</v>
      </c>
      <c r="S2731">
        <v>5.2289482463428412</v>
      </c>
      <c r="T2731">
        <v>80.643892979042519</v>
      </c>
      <c r="U2731">
        <v>0</v>
      </c>
      <c r="V2731">
        <v>0</v>
      </c>
    </row>
    <row r="2732" spans="1:22" x14ac:dyDescent="0.2">
      <c r="A2732"/>
      <c r="B2732">
        <v>71016</v>
      </c>
      <c r="C2732" t="s">
        <v>219</v>
      </c>
      <c r="D2732" t="s">
        <v>192</v>
      </c>
      <c r="E2732" t="s">
        <v>1272</v>
      </c>
      <c r="F2732" t="s">
        <v>124</v>
      </c>
      <c r="G2732">
        <v>21.140390704921629</v>
      </c>
      <c r="H2732" t="s">
        <v>248</v>
      </c>
      <c r="I2732">
        <v>0</v>
      </c>
      <c r="J2732">
        <v>0</v>
      </c>
      <c r="K2732">
        <v>0</v>
      </c>
      <c r="L2732">
        <v>0</v>
      </c>
      <c r="M2732" t="s">
        <v>188</v>
      </c>
      <c r="N2732">
        <v>6434.7252356464996</v>
      </c>
      <c r="O2732" t="s">
        <v>248</v>
      </c>
      <c r="P2732" t="b">
        <v>1</v>
      </c>
      <c r="Q2732">
        <v>5625.6424226585204</v>
      </c>
      <c r="R2732">
        <v>27924.820229866073</v>
      </c>
      <c r="S2732">
        <v>5.2228895273390554</v>
      </c>
      <c r="T2732">
        <v>80.709663109417704</v>
      </c>
      <c r="U2732">
        <v>0</v>
      </c>
      <c r="V2732">
        <v>0</v>
      </c>
    </row>
    <row r="2733" spans="1:22" x14ac:dyDescent="0.2">
      <c r="A2733"/>
      <c r="B2733">
        <v>71016</v>
      </c>
      <c r="C2733" t="s">
        <v>219</v>
      </c>
      <c r="D2733" t="s">
        <v>192</v>
      </c>
      <c r="E2733" t="s">
        <v>1272</v>
      </c>
      <c r="F2733" t="s">
        <v>124</v>
      </c>
      <c r="G2733">
        <v>222.9772579214723</v>
      </c>
      <c r="H2733" t="s">
        <v>248</v>
      </c>
      <c r="M2733" t="s">
        <v>188</v>
      </c>
      <c r="N2733">
        <v>6434.7252356464996</v>
      </c>
      <c r="O2733" t="s">
        <v>248</v>
      </c>
      <c r="P2733" t="b">
        <v>1</v>
      </c>
      <c r="Q2733">
        <v>5625.6424226585204</v>
      </c>
      <c r="R2733">
        <v>27924.820229866073</v>
      </c>
      <c r="S2733">
        <v>5.2228895273390554</v>
      </c>
      <c r="T2733">
        <v>80.709663109417704</v>
      </c>
      <c r="U2733">
        <v>0</v>
      </c>
      <c r="V2733">
        <v>0</v>
      </c>
    </row>
    <row r="2734" spans="1:22" x14ac:dyDescent="0.2">
      <c r="A2734"/>
      <c r="B2734">
        <v>71017</v>
      </c>
      <c r="C2734" t="s">
        <v>220</v>
      </c>
      <c r="D2734" t="s">
        <v>192</v>
      </c>
      <c r="E2734" t="s">
        <v>1272</v>
      </c>
      <c r="F2734" t="s">
        <v>124</v>
      </c>
      <c r="G2734">
        <v>222.9772579214723</v>
      </c>
      <c r="H2734" t="s">
        <v>248</v>
      </c>
      <c r="I2734">
        <v>0</v>
      </c>
      <c r="J2734">
        <v>0</v>
      </c>
      <c r="K2734">
        <v>0</v>
      </c>
      <c r="L2734">
        <v>0</v>
      </c>
      <c r="M2734" t="s">
        <v>188</v>
      </c>
      <c r="N2734">
        <v>6636.5621028630503</v>
      </c>
      <c r="O2734" t="s">
        <v>248</v>
      </c>
      <c r="P2734" t="b">
        <v>1</v>
      </c>
      <c r="Q2734">
        <v>5658.2341331073612</v>
      </c>
      <c r="R2734">
        <v>28124.008333554732</v>
      </c>
      <c r="S2734">
        <v>5.2330514982309024</v>
      </c>
      <c r="T2734">
        <v>80.70167975385931</v>
      </c>
      <c r="U2734">
        <v>0</v>
      </c>
      <c r="V2734">
        <v>0</v>
      </c>
    </row>
    <row r="2735" spans="1:22" x14ac:dyDescent="0.2">
      <c r="A2735"/>
      <c r="B2735">
        <v>71017</v>
      </c>
      <c r="C2735" t="s">
        <v>220</v>
      </c>
      <c r="D2735" t="s">
        <v>192</v>
      </c>
      <c r="E2735" t="s">
        <v>1272</v>
      </c>
      <c r="F2735" t="s">
        <v>125</v>
      </c>
      <c r="G2735">
        <v>75.874929588108984</v>
      </c>
      <c r="H2735" t="s">
        <v>248</v>
      </c>
      <c r="M2735" t="s">
        <v>188</v>
      </c>
      <c r="N2735">
        <v>6636.5621028630503</v>
      </c>
      <c r="O2735" t="s">
        <v>248</v>
      </c>
      <c r="P2735" t="b">
        <v>1</v>
      </c>
      <c r="Q2735">
        <v>5658.2341331073612</v>
      </c>
      <c r="R2735">
        <v>28124.008333554732</v>
      </c>
      <c r="S2735">
        <v>5.2330514982309024</v>
      </c>
      <c r="T2735">
        <v>80.70167975385931</v>
      </c>
      <c r="U2735">
        <v>0</v>
      </c>
      <c r="V2735">
        <v>0</v>
      </c>
    </row>
    <row r="2736" spans="1:22" x14ac:dyDescent="0.2">
      <c r="A2736"/>
      <c r="B2736">
        <v>71017</v>
      </c>
      <c r="C2736" t="s">
        <v>220</v>
      </c>
      <c r="D2736" t="s">
        <v>192</v>
      </c>
      <c r="E2736" t="s">
        <v>1272</v>
      </c>
      <c r="F2736" t="s">
        <v>221</v>
      </c>
      <c r="G2736">
        <v>39.7899999999999</v>
      </c>
      <c r="H2736" t="s">
        <v>248</v>
      </c>
      <c r="M2736" t="s">
        <v>188</v>
      </c>
      <c r="N2736">
        <v>6636.5621028630503</v>
      </c>
      <c r="O2736" t="s">
        <v>248</v>
      </c>
      <c r="P2736" t="b">
        <v>1</v>
      </c>
      <c r="Q2736">
        <v>5658.2341331073612</v>
      </c>
      <c r="R2736">
        <v>28124.008333554732</v>
      </c>
      <c r="S2736">
        <v>5.2330514982309024</v>
      </c>
      <c r="T2736">
        <v>80.70167975385931</v>
      </c>
      <c r="U2736">
        <v>0</v>
      </c>
      <c r="V2736">
        <v>0</v>
      </c>
    </row>
    <row r="2737" spans="1:22" x14ac:dyDescent="0.2">
      <c r="A2737"/>
      <c r="B2737">
        <v>71018</v>
      </c>
      <c r="C2737" t="s">
        <v>222</v>
      </c>
      <c r="D2737" t="s">
        <v>192</v>
      </c>
      <c r="E2737" t="s">
        <v>1272</v>
      </c>
      <c r="F2737" t="s">
        <v>125</v>
      </c>
      <c r="G2737">
        <v>75.874929588108984</v>
      </c>
      <c r="H2737" t="s">
        <v>248</v>
      </c>
      <c r="I2737">
        <v>0</v>
      </c>
      <c r="J2737">
        <v>0</v>
      </c>
      <c r="K2737">
        <v>0</v>
      </c>
      <c r="L2737">
        <v>0</v>
      </c>
      <c r="M2737" t="s">
        <v>188</v>
      </c>
      <c r="N2737">
        <v>6736.5424148398197</v>
      </c>
      <c r="O2737" t="s">
        <v>248</v>
      </c>
      <c r="P2737" t="b">
        <v>1</v>
      </c>
      <c r="Q2737">
        <v>5674.3953973298594</v>
      </c>
      <c r="R2737">
        <v>28222.673730839495</v>
      </c>
      <c r="S2737">
        <v>5.2302253261759786</v>
      </c>
      <c r="T2737">
        <v>80.885451686055319</v>
      </c>
      <c r="U2737">
        <v>0</v>
      </c>
      <c r="V2737">
        <v>0</v>
      </c>
    </row>
    <row r="2738" spans="1:22" x14ac:dyDescent="0.2">
      <c r="A2738"/>
      <c r="B2738">
        <v>71018</v>
      </c>
      <c r="C2738" t="s">
        <v>222</v>
      </c>
      <c r="D2738" t="s">
        <v>192</v>
      </c>
      <c r="E2738" t="s">
        <v>1272</v>
      </c>
      <c r="F2738" t="s">
        <v>125</v>
      </c>
      <c r="G2738">
        <v>125.81235856541943</v>
      </c>
      <c r="H2738" t="s">
        <v>248</v>
      </c>
      <c r="M2738" t="s">
        <v>188</v>
      </c>
      <c r="N2738">
        <v>6736.5424148398197</v>
      </c>
      <c r="O2738" t="s">
        <v>248</v>
      </c>
      <c r="P2738" t="b">
        <v>1</v>
      </c>
      <c r="Q2738">
        <v>5674.3953973298594</v>
      </c>
      <c r="R2738">
        <v>28222.673730839495</v>
      </c>
      <c r="S2738">
        <v>5.2302253261759786</v>
      </c>
      <c r="T2738">
        <v>80.885451686055319</v>
      </c>
      <c r="U2738">
        <v>0</v>
      </c>
      <c r="V2738">
        <v>0</v>
      </c>
    </row>
    <row r="2739" spans="1:22" x14ac:dyDescent="0.2">
      <c r="A2739"/>
      <c r="B2739">
        <v>71019</v>
      </c>
      <c r="C2739" t="s">
        <v>223</v>
      </c>
      <c r="D2739" t="s">
        <v>192</v>
      </c>
      <c r="E2739" t="s">
        <v>1272</v>
      </c>
      <c r="F2739" t="s">
        <v>125</v>
      </c>
      <c r="G2739">
        <v>125.81235856541943</v>
      </c>
      <c r="H2739" t="s">
        <v>248</v>
      </c>
      <c r="I2739">
        <v>0</v>
      </c>
      <c r="J2739">
        <v>0</v>
      </c>
      <c r="K2739">
        <v>0</v>
      </c>
      <c r="L2739">
        <v>0</v>
      </c>
      <c r="M2739" t="s">
        <v>188</v>
      </c>
      <c r="N2739">
        <v>6786.4798438171301</v>
      </c>
      <c r="O2739" t="s">
        <v>248</v>
      </c>
      <c r="P2739" t="b">
        <v>1</v>
      </c>
      <c r="Q2739">
        <v>5682.1791072561391</v>
      </c>
      <c r="R2739">
        <v>28272.000715818976</v>
      </c>
      <c r="S2739">
        <v>5.1804594730710205</v>
      </c>
      <c r="T2739">
        <v>81.178204994645085</v>
      </c>
      <c r="U2739">
        <v>0</v>
      </c>
      <c r="V2739">
        <v>0</v>
      </c>
    </row>
    <row r="2740" spans="1:22" x14ac:dyDescent="0.2">
      <c r="A2740"/>
      <c r="B2740">
        <v>71019</v>
      </c>
      <c r="C2740" t="s">
        <v>223</v>
      </c>
      <c r="D2740" t="s">
        <v>192</v>
      </c>
      <c r="E2740" t="s">
        <v>1272</v>
      </c>
      <c r="F2740" t="s">
        <v>125</v>
      </c>
      <c r="G2740">
        <v>929.05590366537956</v>
      </c>
      <c r="H2740" t="s">
        <v>248</v>
      </c>
      <c r="M2740" t="s">
        <v>188</v>
      </c>
      <c r="N2740">
        <v>6786.4798438171301</v>
      </c>
      <c r="O2740" t="s">
        <v>248</v>
      </c>
      <c r="P2740" t="b">
        <v>1</v>
      </c>
      <c r="Q2740">
        <v>5682.1791072561391</v>
      </c>
      <c r="R2740">
        <v>28272.000715818976</v>
      </c>
      <c r="S2740">
        <v>5.1804594730710205</v>
      </c>
      <c r="T2740">
        <v>81.178204994645085</v>
      </c>
      <c r="U2740">
        <v>0</v>
      </c>
      <c r="V2740">
        <v>0</v>
      </c>
    </row>
    <row r="2741" spans="1:22" x14ac:dyDescent="0.2">
      <c r="A2741"/>
      <c r="B2741">
        <v>71020</v>
      </c>
      <c r="C2741" t="s">
        <v>224</v>
      </c>
      <c r="D2741" t="s">
        <v>192</v>
      </c>
      <c r="E2741" t="s">
        <v>1272</v>
      </c>
      <c r="F2741" t="s">
        <v>125</v>
      </c>
      <c r="G2741">
        <v>929.05590366537956</v>
      </c>
      <c r="H2741" t="s">
        <v>248</v>
      </c>
      <c r="I2741">
        <v>0</v>
      </c>
      <c r="J2741">
        <v>0</v>
      </c>
      <c r="K2741">
        <v>0</v>
      </c>
      <c r="L2741">
        <v>0</v>
      </c>
      <c r="M2741" t="s">
        <v>188</v>
      </c>
      <c r="N2741">
        <v>7589.7233889170902</v>
      </c>
      <c r="O2741" t="s">
        <v>248</v>
      </c>
      <c r="P2741" t="b">
        <v>1</v>
      </c>
      <c r="Q2741">
        <v>5644.2166864289693</v>
      </c>
      <c r="R2741">
        <v>29063.194098947035</v>
      </c>
      <c r="S2741">
        <v>17.273863948681878</v>
      </c>
      <c r="T2741">
        <v>88.020253598130694</v>
      </c>
      <c r="U2741">
        <v>0</v>
      </c>
      <c r="V2741">
        <v>0</v>
      </c>
    </row>
    <row r="2742" spans="1:22" x14ac:dyDescent="0.2">
      <c r="A2742"/>
      <c r="B2742">
        <v>71020</v>
      </c>
      <c r="C2742" t="s">
        <v>224</v>
      </c>
      <c r="D2742" t="s">
        <v>192</v>
      </c>
      <c r="E2742" t="s">
        <v>1272</v>
      </c>
      <c r="F2742" t="s">
        <v>125</v>
      </c>
      <c r="G2742">
        <v>1126.0290985234597</v>
      </c>
      <c r="H2742" t="s">
        <v>248</v>
      </c>
      <c r="M2742" t="s">
        <v>188</v>
      </c>
      <c r="N2742">
        <v>7589.7233889170902</v>
      </c>
      <c r="O2742" t="s">
        <v>248</v>
      </c>
      <c r="P2742" t="b">
        <v>1</v>
      </c>
      <c r="Q2742">
        <v>5644.2166864289693</v>
      </c>
      <c r="R2742">
        <v>29063.194098947035</v>
      </c>
      <c r="S2742">
        <v>17.273863948681878</v>
      </c>
      <c r="T2742">
        <v>88.020253598130694</v>
      </c>
      <c r="U2742">
        <v>0</v>
      </c>
      <c r="V2742">
        <v>0</v>
      </c>
    </row>
    <row r="2743" spans="1:22" x14ac:dyDescent="0.2">
      <c r="A2743"/>
      <c r="B2743">
        <v>71021</v>
      </c>
      <c r="C2743" t="s">
        <v>225</v>
      </c>
      <c r="D2743" t="s">
        <v>192</v>
      </c>
      <c r="E2743" t="s">
        <v>1272</v>
      </c>
      <c r="F2743" t="s">
        <v>125</v>
      </c>
      <c r="G2743">
        <v>1126.0290985234597</v>
      </c>
      <c r="H2743" t="s">
        <v>248</v>
      </c>
      <c r="I2743">
        <v>0</v>
      </c>
      <c r="J2743">
        <v>0</v>
      </c>
      <c r="K2743">
        <v>0</v>
      </c>
      <c r="L2743">
        <v>0</v>
      </c>
      <c r="M2743" t="s">
        <v>188</v>
      </c>
      <c r="N2743">
        <v>7786.6965837751704</v>
      </c>
      <c r="O2743" t="s">
        <v>248</v>
      </c>
      <c r="P2743" t="b">
        <v>1</v>
      </c>
      <c r="Q2743">
        <v>5651.6393895739438</v>
      </c>
      <c r="R2743">
        <v>29260.027215504797</v>
      </c>
      <c r="S2743">
        <v>17.266327337152109</v>
      </c>
      <c r="T2743">
        <v>87.384837086547947</v>
      </c>
      <c r="U2743">
        <v>0</v>
      </c>
      <c r="V2743">
        <v>0</v>
      </c>
    </row>
    <row r="2744" spans="1:22" x14ac:dyDescent="0.2">
      <c r="A2744"/>
      <c r="B2744">
        <v>71021</v>
      </c>
      <c r="C2744" t="s">
        <v>225</v>
      </c>
      <c r="D2744" t="s">
        <v>192</v>
      </c>
      <c r="E2744" t="s">
        <v>1272</v>
      </c>
      <c r="F2744" t="s">
        <v>126</v>
      </c>
      <c r="G2744">
        <v>399.08890787330756</v>
      </c>
      <c r="H2744" t="s">
        <v>248</v>
      </c>
      <c r="M2744" t="s">
        <v>188</v>
      </c>
      <c r="N2744">
        <v>7786.6965837751704</v>
      </c>
      <c r="O2744" t="s">
        <v>248</v>
      </c>
      <c r="P2744" t="b">
        <v>1</v>
      </c>
      <c r="Q2744">
        <v>5651.6393895739438</v>
      </c>
      <c r="R2744">
        <v>29260.027215504797</v>
      </c>
      <c r="S2744">
        <v>17.266327337152109</v>
      </c>
      <c r="T2744">
        <v>87.384837086547947</v>
      </c>
      <c r="U2744">
        <v>0</v>
      </c>
      <c r="V2744">
        <v>0</v>
      </c>
    </row>
    <row r="2745" spans="1:22" x14ac:dyDescent="0.2">
      <c r="A2745"/>
      <c r="B2745">
        <v>71022</v>
      </c>
      <c r="C2745" t="s">
        <v>226</v>
      </c>
      <c r="D2745" t="s">
        <v>192</v>
      </c>
      <c r="E2745" t="s">
        <v>1272</v>
      </c>
      <c r="F2745" t="s">
        <v>126</v>
      </c>
      <c r="G2745">
        <v>399.08890787330756</v>
      </c>
      <c r="H2745" t="s">
        <v>248</v>
      </c>
      <c r="I2745">
        <v>0</v>
      </c>
      <c r="J2745">
        <v>0</v>
      </c>
      <c r="K2745">
        <v>0</v>
      </c>
      <c r="L2745">
        <v>0</v>
      </c>
      <c r="M2745" t="s">
        <v>188</v>
      </c>
      <c r="N2745">
        <v>8414.3391165918201</v>
      </c>
      <c r="O2745" t="s">
        <v>248</v>
      </c>
      <c r="P2745" t="b">
        <v>1</v>
      </c>
      <c r="Q2745">
        <v>5706.5329344581105</v>
      </c>
      <c r="R2745">
        <v>29884.53036032091</v>
      </c>
      <c r="S2745">
        <v>8.8009430132865223</v>
      </c>
      <c r="T2745">
        <v>87.886857795404254</v>
      </c>
      <c r="U2745">
        <v>0</v>
      </c>
      <c r="V2745">
        <v>0</v>
      </c>
    </row>
    <row r="2746" spans="1:22" x14ac:dyDescent="0.2">
      <c r="A2746"/>
      <c r="B2746">
        <v>71022</v>
      </c>
      <c r="C2746" t="s">
        <v>226</v>
      </c>
      <c r="D2746" t="s">
        <v>192</v>
      </c>
      <c r="E2746" t="s">
        <v>1272</v>
      </c>
      <c r="F2746" t="s">
        <v>126</v>
      </c>
      <c r="G2746">
        <v>591.57999853477804</v>
      </c>
      <c r="H2746" t="s">
        <v>248</v>
      </c>
      <c r="M2746" t="s">
        <v>188</v>
      </c>
      <c r="N2746">
        <v>8414.3391165918201</v>
      </c>
      <c r="O2746" t="s">
        <v>248</v>
      </c>
      <c r="P2746" t="b">
        <v>1</v>
      </c>
      <c r="Q2746">
        <v>5706.5329344581105</v>
      </c>
      <c r="R2746">
        <v>29884.53036032091</v>
      </c>
      <c r="S2746">
        <v>8.8009430132865223</v>
      </c>
      <c r="T2746">
        <v>87.886857795404254</v>
      </c>
      <c r="U2746">
        <v>0</v>
      </c>
      <c r="V2746">
        <v>0</v>
      </c>
    </row>
    <row r="2747" spans="1:22" x14ac:dyDescent="0.2">
      <c r="A2747"/>
      <c r="B2747">
        <v>71023</v>
      </c>
      <c r="C2747" t="s">
        <v>227</v>
      </c>
      <c r="D2747" t="s">
        <v>192</v>
      </c>
      <c r="E2747" t="s">
        <v>1272</v>
      </c>
      <c r="F2747" t="s">
        <v>126</v>
      </c>
      <c r="G2747">
        <v>591.57999853477804</v>
      </c>
      <c r="H2747" t="s">
        <v>248</v>
      </c>
      <c r="I2747">
        <v>0</v>
      </c>
      <c r="J2747">
        <v>0</v>
      </c>
      <c r="K2747">
        <v>0</v>
      </c>
      <c r="L2747">
        <v>0</v>
      </c>
      <c r="M2747" t="s">
        <v>188</v>
      </c>
      <c r="N2747">
        <v>8606.8302072532897</v>
      </c>
      <c r="O2747" t="s">
        <v>248</v>
      </c>
      <c r="P2747" t="b">
        <v>1</v>
      </c>
      <c r="Q2747">
        <v>5713.096658208774</v>
      </c>
      <c r="R2747">
        <v>30076.907606305711</v>
      </c>
      <c r="S2747">
        <v>8.4770125295875403</v>
      </c>
      <c r="T2747">
        <v>88.191298781047749</v>
      </c>
      <c r="U2747">
        <v>0</v>
      </c>
      <c r="V2747">
        <v>0</v>
      </c>
    </row>
    <row r="2748" spans="1:22" x14ac:dyDescent="0.2">
      <c r="A2748"/>
      <c r="B2748">
        <v>71023</v>
      </c>
      <c r="C2748" t="s">
        <v>227</v>
      </c>
      <c r="D2748" t="s">
        <v>192</v>
      </c>
      <c r="E2748" t="s">
        <v>1272</v>
      </c>
      <c r="F2748" t="s">
        <v>126</v>
      </c>
      <c r="G2748">
        <v>593.54199110089894</v>
      </c>
      <c r="H2748" t="s">
        <v>248</v>
      </c>
      <c r="M2748" t="s">
        <v>188</v>
      </c>
      <c r="N2748">
        <v>8606.8302072532897</v>
      </c>
      <c r="O2748" t="s">
        <v>248</v>
      </c>
      <c r="P2748" t="b">
        <v>1</v>
      </c>
      <c r="Q2748">
        <v>5713.096658208774</v>
      </c>
      <c r="R2748">
        <v>30076.907606305711</v>
      </c>
      <c r="S2748">
        <v>8.4770125295875403</v>
      </c>
      <c r="T2748">
        <v>88.191298781047749</v>
      </c>
      <c r="U2748">
        <v>0</v>
      </c>
      <c r="V2748">
        <v>0</v>
      </c>
    </row>
    <row r="2749" spans="1:22" x14ac:dyDescent="0.2">
      <c r="A2749"/>
      <c r="B2749">
        <v>71024</v>
      </c>
      <c r="C2749" t="s">
        <v>229</v>
      </c>
      <c r="D2749" t="s">
        <v>192</v>
      </c>
      <c r="E2749" t="s">
        <v>1272</v>
      </c>
      <c r="F2749" t="s">
        <v>126</v>
      </c>
      <c r="G2749">
        <v>593.54199110089894</v>
      </c>
      <c r="H2749" t="s">
        <v>248</v>
      </c>
      <c r="I2749">
        <v>0</v>
      </c>
      <c r="J2749">
        <v>0</v>
      </c>
      <c r="K2749">
        <v>0</v>
      </c>
      <c r="L2749">
        <v>0</v>
      </c>
      <c r="M2749" t="s">
        <v>188</v>
      </c>
      <c r="N2749">
        <v>8608.7921998194106</v>
      </c>
      <c r="O2749" t="s">
        <v>248</v>
      </c>
      <c r="P2749" t="b">
        <v>1</v>
      </c>
      <c r="Q2749">
        <v>5713.1585424725181</v>
      </c>
      <c r="R2749">
        <v>30078.8683832063</v>
      </c>
      <c r="S2749">
        <v>8.4463701346388405</v>
      </c>
      <c r="T2749">
        <v>88.193257243673003</v>
      </c>
      <c r="U2749">
        <v>0</v>
      </c>
      <c r="V2749">
        <v>0</v>
      </c>
    </row>
    <row r="2750" spans="1:22" x14ac:dyDescent="0.2">
      <c r="A2750"/>
      <c r="B2750">
        <v>71024</v>
      </c>
      <c r="C2750" t="s">
        <v>229</v>
      </c>
      <c r="D2750" t="s">
        <v>192</v>
      </c>
      <c r="E2750" t="s">
        <v>1272</v>
      </c>
      <c r="F2750" t="s">
        <v>126</v>
      </c>
      <c r="G2750">
        <v>1645.4544954602466</v>
      </c>
      <c r="H2750" t="s">
        <v>248</v>
      </c>
      <c r="M2750" t="s">
        <v>188</v>
      </c>
      <c r="N2750">
        <v>8608.7921998194106</v>
      </c>
      <c r="O2750" t="s">
        <v>248</v>
      </c>
      <c r="P2750" t="b">
        <v>1</v>
      </c>
      <c r="Q2750">
        <v>5713.1585424725181</v>
      </c>
      <c r="R2750">
        <v>30078.8683832063</v>
      </c>
      <c r="S2750">
        <v>8.4463701346388405</v>
      </c>
      <c r="T2750">
        <v>88.193257243673003</v>
      </c>
      <c r="U2750">
        <v>0</v>
      </c>
      <c r="V2750">
        <v>0</v>
      </c>
    </row>
    <row r="2751" spans="1:22" x14ac:dyDescent="0.2">
      <c r="A2751"/>
      <c r="B2751">
        <v>71025</v>
      </c>
      <c r="C2751" t="s">
        <v>230</v>
      </c>
      <c r="D2751" t="s">
        <v>192</v>
      </c>
      <c r="E2751" t="s">
        <v>1272</v>
      </c>
      <c r="F2751" t="s">
        <v>126</v>
      </c>
      <c r="G2751">
        <v>1645.4544954602466</v>
      </c>
      <c r="H2751" t="s">
        <v>248</v>
      </c>
      <c r="I2751">
        <v>0</v>
      </c>
      <c r="J2751">
        <v>0</v>
      </c>
      <c r="K2751">
        <v>0</v>
      </c>
      <c r="L2751">
        <v>0</v>
      </c>
      <c r="M2751" t="s">
        <v>188</v>
      </c>
      <c r="N2751">
        <v>9660.7047041787591</v>
      </c>
      <c r="O2751" t="s">
        <v>248</v>
      </c>
      <c r="P2751" t="b">
        <v>1</v>
      </c>
      <c r="Q2751">
        <v>5976.9065612412369</v>
      </c>
      <c r="R2751">
        <v>31070.777125219112</v>
      </c>
      <c r="S2751">
        <v>8.9880885046466297</v>
      </c>
      <c r="T2751">
        <v>76.881302016993303</v>
      </c>
      <c r="U2751">
        <v>0</v>
      </c>
      <c r="V2751">
        <v>0</v>
      </c>
    </row>
    <row r="2752" spans="1:22" x14ac:dyDescent="0.2">
      <c r="A2752"/>
      <c r="B2752">
        <v>71025</v>
      </c>
      <c r="C2752" t="s">
        <v>230</v>
      </c>
      <c r="D2752" t="s">
        <v>192</v>
      </c>
      <c r="E2752" t="s">
        <v>1272</v>
      </c>
      <c r="F2752" t="s">
        <v>126</v>
      </c>
      <c r="G2752">
        <v>1838.9265824047766</v>
      </c>
      <c r="H2752" t="s">
        <v>248</v>
      </c>
      <c r="M2752" t="s">
        <v>188</v>
      </c>
      <c r="N2752">
        <v>9660.7047041787591</v>
      </c>
      <c r="O2752" t="s">
        <v>248</v>
      </c>
      <c r="P2752" t="b">
        <v>1</v>
      </c>
      <c r="Q2752">
        <v>5976.9065612412369</v>
      </c>
      <c r="R2752">
        <v>31070.777125219112</v>
      </c>
      <c r="S2752">
        <v>8.9880885046466297</v>
      </c>
      <c r="T2752">
        <v>76.881302016993303</v>
      </c>
      <c r="U2752">
        <v>0</v>
      </c>
      <c r="V2752">
        <v>0</v>
      </c>
    </row>
    <row r="2753" spans="1:22" x14ac:dyDescent="0.2">
      <c r="A2753"/>
      <c r="B2753">
        <v>71026</v>
      </c>
      <c r="C2753" t="s">
        <v>231</v>
      </c>
      <c r="D2753" t="s">
        <v>192</v>
      </c>
      <c r="E2753" t="s">
        <v>1272</v>
      </c>
      <c r="F2753" t="s">
        <v>126</v>
      </c>
      <c r="G2753">
        <v>1838.9265824047766</v>
      </c>
      <c r="H2753" t="s">
        <v>248</v>
      </c>
      <c r="I2753">
        <v>0</v>
      </c>
      <c r="J2753">
        <v>0</v>
      </c>
      <c r="K2753">
        <v>0</v>
      </c>
      <c r="L2753">
        <v>0</v>
      </c>
      <c r="M2753" t="s">
        <v>188</v>
      </c>
      <c r="N2753">
        <v>9854.1767911232891</v>
      </c>
      <c r="O2753" t="s">
        <v>248</v>
      </c>
      <c r="P2753" t="b">
        <v>1</v>
      </c>
      <c r="Q2753">
        <v>6020.6648087700405</v>
      </c>
      <c r="R2753">
        <v>31259.235658209702</v>
      </c>
      <c r="S2753">
        <v>8.9814957109201075</v>
      </c>
      <c r="T2753">
        <v>76.75647017215509</v>
      </c>
      <c r="U2753">
        <v>0</v>
      </c>
      <c r="V2753">
        <v>0</v>
      </c>
    </row>
    <row r="2754" spans="1:22" x14ac:dyDescent="0.2">
      <c r="A2754"/>
      <c r="B2754">
        <v>71026</v>
      </c>
      <c r="C2754" t="s">
        <v>231</v>
      </c>
      <c r="D2754" t="s">
        <v>192</v>
      </c>
      <c r="E2754" t="s">
        <v>1272</v>
      </c>
      <c r="F2754" t="s">
        <v>126</v>
      </c>
      <c r="G2754">
        <v>2339.7153749425875</v>
      </c>
      <c r="H2754" t="s">
        <v>248</v>
      </c>
      <c r="M2754" t="s">
        <v>188</v>
      </c>
      <c r="N2754">
        <v>9854.1767911232891</v>
      </c>
      <c r="O2754" t="s">
        <v>248</v>
      </c>
      <c r="P2754" t="b">
        <v>1</v>
      </c>
      <c r="Q2754">
        <v>6020.6648087700405</v>
      </c>
      <c r="R2754">
        <v>31259.235658209702</v>
      </c>
      <c r="S2754">
        <v>8.9814957109201075</v>
      </c>
      <c r="T2754">
        <v>76.75647017215509</v>
      </c>
      <c r="U2754">
        <v>0</v>
      </c>
      <c r="V2754">
        <v>0</v>
      </c>
    </row>
    <row r="2755" spans="1:22" x14ac:dyDescent="0.2">
      <c r="A2755"/>
      <c r="B2755">
        <v>71027</v>
      </c>
      <c r="C2755" t="s">
        <v>232</v>
      </c>
      <c r="D2755" t="s">
        <v>192</v>
      </c>
      <c r="E2755" t="s">
        <v>1272</v>
      </c>
      <c r="F2755" t="s">
        <v>126</v>
      </c>
      <c r="G2755">
        <v>2339.7153749425875</v>
      </c>
      <c r="H2755" t="s">
        <v>248</v>
      </c>
      <c r="I2755">
        <v>0</v>
      </c>
      <c r="J2755">
        <v>0</v>
      </c>
      <c r="K2755">
        <v>0</v>
      </c>
      <c r="L2755">
        <v>0</v>
      </c>
      <c r="M2755" t="s">
        <v>188</v>
      </c>
      <c r="N2755">
        <v>10354.9655836611</v>
      </c>
      <c r="O2755" t="s">
        <v>248</v>
      </c>
      <c r="P2755" t="b">
        <v>1</v>
      </c>
      <c r="Q2755">
        <v>6253.6176260152906</v>
      </c>
      <c r="R2755">
        <v>31695.288085365937</v>
      </c>
      <c r="S2755">
        <v>0.97136927399132511</v>
      </c>
      <c r="T2755">
        <v>44.458795985549436</v>
      </c>
      <c r="U2755">
        <v>0</v>
      </c>
      <c r="V2755">
        <v>0</v>
      </c>
    </row>
    <row r="2756" spans="1:22" x14ac:dyDescent="0.2">
      <c r="A2756"/>
      <c r="B2756">
        <v>71027</v>
      </c>
      <c r="C2756" t="s">
        <v>232</v>
      </c>
      <c r="D2756" t="s">
        <v>192</v>
      </c>
      <c r="E2756" t="s">
        <v>1272</v>
      </c>
      <c r="F2756" t="s">
        <v>126</v>
      </c>
      <c r="G2756">
        <v>2533.1874618870866</v>
      </c>
      <c r="H2756" t="s">
        <v>248</v>
      </c>
      <c r="M2756" t="s">
        <v>188</v>
      </c>
      <c r="N2756">
        <v>10354.9655836611</v>
      </c>
      <c r="O2756" t="s">
        <v>248</v>
      </c>
      <c r="P2756" t="b">
        <v>1</v>
      </c>
      <c r="Q2756">
        <v>6253.6176260152906</v>
      </c>
      <c r="R2756">
        <v>31695.288085365937</v>
      </c>
      <c r="S2756">
        <v>0.97136927399132511</v>
      </c>
      <c r="T2756">
        <v>44.458795985549436</v>
      </c>
      <c r="U2756">
        <v>0</v>
      </c>
      <c r="V2756">
        <v>0</v>
      </c>
    </row>
    <row r="2757" spans="1:22" x14ac:dyDescent="0.2">
      <c r="A2757"/>
      <c r="B2757">
        <v>71028</v>
      </c>
      <c r="C2757" t="s">
        <v>233</v>
      </c>
      <c r="D2757" t="s">
        <v>192</v>
      </c>
      <c r="E2757" t="s">
        <v>1272</v>
      </c>
      <c r="F2757" t="s">
        <v>126</v>
      </c>
      <c r="G2757">
        <v>2533.1874618870866</v>
      </c>
      <c r="H2757" t="s">
        <v>248</v>
      </c>
      <c r="I2757">
        <v>0</v>
      </c>
      <c r="J2757">
        <v>0</v>
      </c>
      <c r="K2757">
        <v>0</v>
      </c>
      <c r="L2757">
        <v>0</v>
      </c>
      <c r="M2757" t="s">
        <v>188</v>
      </c>
      <c r="N2757">
        <v>10548.437670605599</v>
      </c>
      <c r="O2757" t="s">
        <v>248</v>
      </c>
      <c r="P2757" t="b">
        <v>1</v>
      </c>
      <c r="Q2757">
        <v>6391.8616955766747</v>
      </c>
      <c r="R2757">
        <v>31830.639137511149</v>
      </c>
      <c r="S2757">
        <v>0.87512414065106492</v>
      </c>
      <c r="T2757">
        <v>44.349367048412184</v>
      </c>
      <c r="U2757">
        <v>0</v>
      </c>
      <c r="V2757">
        <v>0</v>
      </c>
    </row>
    <row r="2758" spans="1:22" x14ac:dyDescent="0.2">
      <c r="A2758"/>
      <c r="B2758">
        <v>71028</v>
      </c>
      <c r="C2758" t="s">
        <v>233</v>
      </c>
      <c r="D2758" t="s">
        <v>192</v>
      </c>
      <c r="E2758" t="s">
        <v>1272</v>
      </c>
      <c r="F2758" t="s">
        <v>126</v>
      </c>
      <c r="G2758">
        <v>3983.7866656436877</v>
      </c>
      <c r="H2758" t="s">
        <v>248</v>
      </c>
      <c r="M2758" t="s">
        <v>188</v>
      </c>
      <c r="N2758">
        <v>10548.437670605599</v>
      </c>
      <c r="O2758" t="s">
        <v>248</v>
      </c>
      <c r="P2758" t="b">
        <v>1</v>
      </c>
      <c r="Q2758">
        <v>6391.8616955766747</v>
      </c>
      <c r="R2758">
        <v>31830.639137511149</v>
      </c>
      <c r="S2758">
        <v>0.87512414065106492</v>
      </c>
      <c r="T2758">
        <v>44.349367048412184</v>
      </c>
      <c r="U2758">
        <v>0</v>
      </c>
      <c r="V2758">
        <v>0</v>
      </c>
    </row>
    <row r="2759" spans="1:22" x14ac:dyDescent="0.2">
      <c r="A2759"/>
      <c r="B2759">
        <v>71029</v>
      </c>
      <c r="C2759" t="s">
        <v>234</v>
      </c>
      <c r="D2759" t="s">
        <v>192</v>
      </c>
      <c r="E2759" t="s">
        <v>1272</v>
      </c>
      <c r="F2759" t="s">
        <v>126</v>
      </c>
      <c r="G2759">
        <v>3983.7866656436877</v>
      </c>
      <c r="H2759" t="s">
        <v>248</v>
      </c>
      <c r="I2759">
        <v>0</v>
      </c>
      <c r="J2759">
        <v>0</v>
      </c>
      <c r="K2759">
        <v>0</v>
      </c>
      <c r="L2759">
        <v>0</v>
      </c>
      <c r="M2759" t="s">
        <v>188</v>
      </c>
      <c r="N2759">
        <v>11999.0368743622</v>
      </c>
      <c r="O2759" t="s">
        <v>248</v>
      </c>
      <c r="P2759" t="b">
        <v>1</v>
      </c>
      <c r="Q2759">
        <v>6753.4852318054373</v>
      </c>
      <c r="R2759">
        <v>33094.556595693371</v>
      </c>
      <c r="S2759">
        <v>1.8711081870346276</v>
      </c>
      <c r="T2759">
        <v>105.55449384387187</v>
      </c>
      <c r="U2759">
        <v>0</v>
      </c>
      <c r="V2759">
        <v>0</v>
      </c>
    </row>
    <row r="2760" spans="1:22" x14ac:dyDescent="0.2">
      <c r="A2760"/>
      <c r="B2760">
        <v>71029</v>
      </c>
      <c r="C2760" t="s">
        <v>234</v>
      </c>
      <c r="D2760" t="s">
        <v>192</v>
      </c>
      <c r="E2760" t="s">
        <v>1272</v>
      </c>
      <c r="F2760" t="s">
        <v>126</v>
      </c>
      <c r="G2760">
        <v>4177.2881824766864</v>
      </c>
      <c r="H2760" t="s">
        <v>248</v>
      </c>
      <c r="M2760" t="s">
        <v>188</v>
      </c>
      <c r="N2760">
        <v>11999.0368743622</v>
      </c>
      <c r="O2760" t="s">
        <v>248</v>
      </c>
      <c r="P2760" t="b">
        <v>1</v>
      </c>
      <c r="Q2760">
        <v>6753.4852318054373</v>
      </c>
      <c r="R2760">
        <v>33094.556595693371</v>
      </c>
      <c r="S2760">
        <v>1.8711081870346276</v>
      </c>
      <c r="T2760">
        <v>105.55449384387187</v>
      </c>
      <c r="U2760">
        <v>0</v>
      </c>
      <c r="V2760">
        <v>0</v>
      </c>
    </row>
    <row r="2761" spans="1:22" x14ac:dyDescent="0.2">
      <c r="A2761"/>
      <c r="B2761">
        <v>71030</v>
      </c>
      <c r="C2761" t="s">
        <v>235</v>
      </c>
      <c r="D2761" t="s">
        <v>192</v>
      </c>
      <c r="E2761" t="s">
        <v>1272</v>
      </c>
      <c r="F2761" t="s">
        <v>126</v>
      </c>
      <c r="G2761">
        <v>4177.2881824766864</v>
      </c>
      <c r="H2761" t="s">
        <v>248</v>
      </c>
      <c r="I2761">
        <v>0</v>
      </c>
      <c r="J2761">
        <v>0</v>
      </c>
      <c r="K2761">
        <v>0</v>
      </c>
      <c r="L2761">
        <v>0</v>
      </c>
      <c r="M2761" t="s">
        <v>188</v>
      </c>
      <c r="N2761">
        <v>12192.538391195199</v>
      </c>
      <c r="O2761" t="s">
        <v>248</v>
      </c>
      <c r="P2761" t="b">
        <v>1</v>
      </c>
      <c r="Q2761">
        <v>6701.7501364088885</v>
      </c>
      <c r="R2761">
        <v>33281.013500503148</v>
      </c>
      <c r="S2761">
        <v>1.8487308883385434</v>
      </c>
      <c r="T2761">
        <v>105.80070915299733</v>
      </c>
      <c r="U2761">
        <v>0</v>
      </c>
      <c r="V2761">
        <v>0</v>
      </c>
    </row>
    <row r="2762" spans="1:22" x14ac:dyDescent="0.2">
      <c r="A2762"/>
      <c r="B2762">
        <v>71030</v>
      </c>
      <c r="C2762" t="s">
        <v>235</v>
      </c>
      <c r="D2762" t="s">
        <v>192</v>
      </c>
      <c r="E2762" t="s">
        <v>1272</v>
      </c>
      <c r="F2762" t="s">
        <v>126</v>
      </c>
      <c r="G2762">
        <v>4804.7824549342877</v>
      </c>
      <c r="H2762" t="s">
        <v>248</v>
      </c>
      <c r="M2762" t="s">
        <v>188</v>
      </c>
      <c r="N2762">
        <v>12192.538391195199</v>
      </c>
      <c r="O2762" t="s">
        <v>248</v>
      </c>
      <c r="P2762" t="b">
        <v>1</v>
      </c>
      <c r="Q2762">
        <v>6701.7501364088885</v>
      </c>
      <c r="R2762">
        <v>33281.013500503148</v>
      </c>
      <c r="S2762">
        <v>1.8487308883385434</v>
      </c>
      <c r="T2762">
        <v>105.80070915299733</v>
      </c>
      <c r="U2762">
        <v>0</v>
      </c>
      <c r="V2762">
        <v>0</v>
      </c>
    </row>
    <row r="2763" spans="1:22" x14ac:dyDescent="0.2">
      <c r="A2763"/>
      <c r="B2763">
        <v>71031</v>
      </c>
      <c r="C2763" t="s">
        <v>236</v>
      </c>
      <c r="D2763" t="s">
        <v>192</v>
      </c>
      <c r="E2763" t="s">
        <v>1272</v>
      </c>
      <c r="F2763" t="s">
        <v>126</v>
      </c>
      <c r="G2763">
        <v>4804.7824549342877</v>
      </c>
      <c r="H2763" t="s">
        <v>248</v>
      </c>
      <c r="I2763">
        <v>0</v>
      </c>
      <c r="J2763">
        <v>0</v>
      </c>
      <c r="K2763">
        <v>0</v>
      </c>
      <c r="L2763">
        <v>0</v>
      </c>
      <c r="M2763" t="s">
        <v>188</v>
      </c>
      <c r="N2763">
        <v>12820.032663652801</v>
      </c>
      <c r="O2763" t="s">
        <v>248</v>
      </c>
      <c r="P2763" t="b">
        <v>1</v>
      </c>
      <c r="Q2763">
        <v>6531.4916887848703</v>
      </c>
      <c r="R2763">
        <v>33884.810950001163</v>
      </c>
      <c r="S2763">
        <v>4.3159057162397989</v>
      </c>
      <c r="T2763">
        <v>105.0164046485268</v>
      </c>
      <c r="U2763">
        <v>0</v>
      </c>
      <c r="V2763">
        <v>0</v>
      </c>
    </row>
    <row r="2764" spans="1:22" x14ac:dyDescent="0.2">
      <c r="A2764"/>
      <c r="B2764">
        <v>71031</v>
      </c>
      <c r="C2764" t="s">
        <v>236</v>
      </c>
      <c r="D2764" t="s">
        <v>192</v>
      </c>
      <c r="E2764" t="s">
        <v>1272</v>
      </c>
      <c r="F2764" t="s">
        <v>126</v>
      </c>
      <c r="G2764">
        <v>4997.2735455956863</v>
      </c>
      <c r="H2764" t="s">
        <v>248</v>
      </c>
      <c r="M2764" t="s">
        <v>188</v>
      </c>
      <c r="N2764">
        <v>12820.032663652801</v>
      </c>
      <c r="O2764" t="s">
        <v>248</v>
      </c>
      <c r="P2764" t="b">
        <v>1</v>
      </c>
      <c r="Q2764">
        <v>6531.4916887848703</v>
      </c>
      <c r="R2764">
        <v>33884.810950001163</v>
      </c>
      <c r="S2764">
        <v>4.3159057162397989</v>
      </c>
      <c r="T2764">
        <v>105.0164046485268</v>
      </c>
      <c r="U2764">
        <v>0</v>
      </c>
      <c r="V2764">
        <v>0</v>
      </c>
    </row>
    <row r="2765" spans="1:22" x14ac:dyDescent="0.2">
      <c r="A2765"/>
      <c r="B2765">
        <v>71032</v>
      </c>
      <c r="C2765" t="s">
        <v>237</v>
      </c>
      <c r="D2765" t="s">
        <v>192</v>
      </c>
      <c r="E2765" t="s">
        <v>1272</v>
      </c>
      <c r="F2765" t="s">
        <v>126</v>
      </c>
      <c r="G2765">
        <v>4997.2735455956863</v>
      </c>
      <c r="H2765" t="s">
        <v>248</v>
      </c>
      <c r="I2765">
        <v>0</v>
      </c>
      <c r="J2765">
        <v>0</v>
      </c>
      <c r="K2765">
        <v>0</v>
      </c>
      <c r="L2765">
        <v>0</v>
      </c>
      <c r="M2765" t="s">
        <v>188</v>
      </c>
      <c r="N2765">
        <v>13012.523754314199</v>
      </c>
      <c r="O2765" t="s">
        <v>248</v>
      </c>
      <c r="P2765" t="b">
        <v>1</v>
      </c>
      <c r="Q2765">
        <v>6481.68193140927</v>
      </c>
      <c r="R2765">
        <v>34070.745892304411</v>
      </c>
      <c r="S2765">
        <v>4.3122185473026224</v>
      </c>
      <c r="T2765">
        <v>104.94665566761104</v>
      </c>
      <c r="U2765">
        <v>0</v>
      </c>
      <c r="V2765">
        <v>0</v>
      </c>
    </row>
    <row r="2766" spans="1:22" x14ac:dyDescent="0.2">
      <c r="A2766"/>
      <c r="B2766">
        <v>71032</v>
      </c>
      <c r="C2766" t="s">
        <v>237</v>
      </c>
      <c r="D2766" t="s">
        <v>192</v>
      </c>
      <c r="E2766" t="s">
        <v>1272</v>
      </c>
      <c r="F2766" t="s">
        <v>126</v>
      </c>
      <c r="G2766">
        <v>4999.2355381617872</v>
      </c>
      <c r="H2766" t="s">
        <v>248</v>
      </c>
      <c r="M2766" t="s">
        <v>188</v>
      </c>
      <c r="N2766">
        <v>13012.523754314199</v>
      </c>
      <c r="O2766" t="s">
        <v>248</v>
      </c>
      <c r="P2766" t="b">
        <v>1</v>
      </c>
      <c r="Q2766">
        <v>6481.68193140927</v>
      </c>
      <c r="R2766">
        <v>34070.745892304411</v>
      </c>
      <c r="S2766">
        <v>4.3122185473026224</v>
      </c>
      <c r="T2766">
        <v>104.94665566761104</v>
      </c>
      <c r="U2766">
        <v>0</v>
      </c>
      <c r="V2766">
        <v>0</v>
      </c>
    </row>
    <row r="2767" spans="1:22" x14ac:dyDescent="0.2">
      <c r="A2767"/>
      <c r="B2767">
        <v>71033</v>
      </c>
      <c r="C2767" t="s">
        <v>238</v>
      </c>
      <c r="D2767" t="s">
        <v>192</v>
      </c>
      <c r="E2767" t="s">
        <v>1272</v>
      </c>
      <c r="F2767" t="s">
        <v>126</v>
      </c>
      <c r="G2767">
        <v>4999.2355381617872</v>
      </c>
      <c r="H2767" t="s">
        <v>248</v>
      </c>
      <c r="I2767">
        <v>0</v>
      </c>
      <c r="J2767">
        <v>0</v>
      </c>
      <c r="K2767">
        <v>0</v>
      </c>
      <c r="L2767">
        <v>0</v>
      </c>
      <c r="M2767" t="s">
        <v>188</v>
      </c>
      <c r="N2767">
        <v>13014.4857468803</v>
      </c>
      <c r="O2767" t="s">
        <v>248</v>
      </c>
      <c r="P2767" t="b">
        <v>1</v>
      </c>
      <c r="Q2767">
        <v>6481.1759222769642</v>
      </c>
      <c r="R2767">
        <v>34072.641510808455</v>
      </c>
      <c r="S2767">
        <v>4.3119459477880486</v>
      </c>
      <c r="T2767">
        <v>104.94500547330618</v>
      </c>
      <c r="U2767">
        <v>0</v>
      </c>
      <c r="V2767">
        <v>0</v>
      </c>
    </row>
    <row r="2768" spans="1:22" x14ac:dyDescent="0.2">
      <c r="A2768"/>
      <c r="B2768">
        <v>71033</v>
      </c>
      <c r="C2768" t="s">
        <v>238</v>
      </c>
      <c r="D2768" t="s">
        <v>192</v>
      </c>
      <c r="E2768" t="s">
        <v>1272</v>
      </c>
      <c r="F2768" t="s">
        <v>126</v>
      </c>
      <c r="G2768">
        <v>5946.4561191932862</v>
      </c>
      <c r="H2768" t="s">
        <v>248</v>
      </c>
      <c r="M2768" t="s">
        <v>188</v>
      </c>
      <c r="N2768">
        <v>13014.4857468803</v>
      </c>
      <c r="O2768" t="s">
        <v>248</v>
      </c>
      <c r="P2768" t="b">
        <v>1</v>
      </c>
      <c r="Q2768">
        <v>6481.1759222769642</v>
      </c>
      <c r="R2768">
        <v>34072.641510808455</v>
      </c>
      <c r="S2768">
        <v>4.3119459477880486</v>
      </c>
      <c r="T2768">
        <v>104.94500547330618</v>
      </c>
      <c r="U2768">
        <v>0</v>
      </c>
      <c r="V2768">
        <v>0</v>
      </c>
    </row>
    <row r="2769" spans="1:22" x14ac:dyDescent="0.2">
      <c r="A2769"/>
      <c r="B2769">
        <v>71034</v>
      </c>
      <c r="C2769" t="s">
        <v>239</v>
      </c>
      <c r="D2769" t="s">
        <v>192</v>
      </c>
      <c r="E2769" t="s">
        <v>1272</v>
      </c>
      <c r="F2769" t="s">
        <v>126</v>
      </c>
      <c r="G2769">
        <v>5946.4561191932862</v>
      </c>
      <c r="H2769" t="s">
        <v>248</v>
      </c>
      <c r="I2769">
        <v>0</v>
      </c>
      <c r="J2769">
        <v>0</v>
      </c>
      <c r="K2769">
        <v>0</v>
      </c>
      <c r="L2769">
        <v>0</v>
      </c>
      <c r="M2769" t="s">
        <v>188</v>
      </c>
      <c r="N2769">
        <v>13961.706327911799</v>
      </c>
      <c r="O2769" t="s">
        <v>248</v>
      </c>
      <c r="P2769" t="b">
        <v>1</v>
      </c>
      <c r="Q2769">
        <v>6452.4512030780334</v>
      </c>
      <c r="R2769">
        <v>35012.676409126943</v>
      </c>
      <c r="S2769">
        <v>-2.0867364763466436</v>
      </c>
      <c r="T2769">
        <v>88.126286252885066</v>
      </c>
      <c r="U2769">
        <v>0</v>
      </c>
      <c r="V2769">
        <v>0</v>
      </c>
    </row>
    <row r="2770" spans="1:22" x14ac:dyDescent="0.2">
      <c r="A2770"/>
      <c r="B2770">
        <v>71034</v>
      </c>
      <c r="C2770" t="s">
        <v>239</v>
      </c>
      <c r="D2770" t="s">
        <v>192</v>
      </c>
      <c r="E2770" t="s">
        <v>1272</v>
      </c>
      <c r="F2770" t="s">
        <v>126</v>
      </c>
      <c r="G2770">
        <v>6139.9282061378872</v>
      </c>
      <c r="H2770" t="s">
        <v>248</v>
      </c>
      <c r="M2770" t="s">
        <v>188</v>
      </c>
      <c r="N2770">
        <v>13961.706327911799</v>
      </c>
      <c r="O2770" t="s">
        <v>248</v>
      </c>
      <c r="P2770" t="b">
        <v>1</v>
      </c>
      <c r="Q2770">
        <v>6452.4512030780334</v>
      </c>
      <c r="R2770">
        <v>35012.676409126943</v>
      </c>
      <c r="S2770">
        <v>-2.0867364763466436</v>
      </c>
      <c r="T2770">
        <v>88.126286252885066</v>
      </c>
      <c r="U2770">
        <v>0</v>
      </c>
      <c r="V2770">
        <v>0</v>
      </c>
    </row>
    <row r="2771" spans="1:22" x14ac:dyDescent="0.2">
      <c r="A2771"/>
      <c r="B2771">
        <v>71035</v>
      </c>
      <c r="C2771" t="s">
        <v>240</v>
      </c>
      <c r="D2771" t="s">
        <v>192</v>
      </c>
      <c r="E2771" t="s">
        <v>1272</v>
      </c>
      <c r="F2771" t="s">
        <v>126</v>
      </c>
      <c r="G2771">
        <v>6139.9282061378872</v>
      </c>
      <c r="H2771" t="s">
        <v>248</v>
      </c>
      <c r="I2771">
        <v>0</v>
      </c>
      <c r="J2771">
        <v>0</v>
      </c>
      <c r="K2771">
        <v>0</v>
      </c>
      <c r="L2771">
        <v>0</v>
      </c>
      <c r="M2771" t="s">
        <v>188</v>
      </c>
      <c r="N2771">
        <v>14155.1784148564</v>
      </c>
      <c r="O2771" t="s">
        <v>248</v>
      </c>
      <c r="P2771" t="b">
        <v>1</v>
      </c>
      <c r="Q2771">
        <v>6459.3463869086245</v>
      </c>
      <c r="R2771">
        <v>35206.02501580376</v>
      </c>
      <c r="S2771">
        <v>-2.0897385776734398</v>
      </c>
      <c r="T2771">
        <v>87.647569725853131</v>
      </c>
      <c r="U2771">
        <v>0</v>
      </c>
      <c r="V2771">
        <v>0</v>
      </c>
    </row>
    <row r="2772" spans="1:22" x14ac:dyDescent="0.2">
      <c r="A2772"/>
      <c r="B2772">
        <v>71035</v>
      </c>
      <c r="C2772" t="s">
        <v>240</v>
      </c>
      <c r="D2772" t="s">
        <v>192</v>
      </c>
      <c r="E2772" t="s">
        <v>1272</v>
      </c>
      <c r="F2772" t="s">
        <v>126</v>
      </c>
      <c r="G2772">
        <v>6888.595139478588</v>
      </c>
      <c r="H2772" t="s">
        <v>248</v>
      </c>
      <c r="M2772" t="s">
        <v>188</v>
      </c>
      <c r="N2772">
        <v>14155.1784148564</v>
      </c>
      <c r="O2772" t="s">
        <v>248</v>
      </c>
      <c r="P2772" t="b">
        <v>1</v>
      </c>
      <c r="Q2772">
        <v>6459.3463869086245</v>
      </c>
      <c r="R2772">
        <v>35206.02501580376</v>
      </c>
      <c r="S2772">
        <v>-2.0897385776734398</v>
      </c>
      <c r="T2772">
        <v>87.647569725853131</v>
      </c>
      <c r="U2772">
        <v>0</v>
      </c>
      <c r="V2772">
        <v>0</v>
      </c>
    </row>
    <row r="2773" spans="1:22" x14ac:dyDescent="0.2">
      <c r="A2773"/>
      <c r="B2773">
        <v>71036</v>
      </c>
      <c r="C2773" t="s">
        <v>241</v>
      </c>
      <c r="D2773" t="s">
        <v>192</v>
      </c>
      <c r="E2773" t="s">
        <v>1272</v>
      </c>
      <c r="F2773" t="s">
        <v>126</v>
      </c>
      <c r="G2773">
        <v>6888.595139478588</v>
      </c>
      <c r="H2773" t="s">
        <v>248</v>
      </c>
      <c r="I2773">
        <v>0</v>
      </c>
      <c r="J2773">
        <v>0</v>
      </c>
      <c r="K2773">
        <v>0</v>
      </c>
      <c r="L2773">
        <v>0</v>
      </c>
      <c r="M2773" t="s">
        <v>188</v>
      </c>
      <c r="N2773">
        <v>14903.845348197099</v>
      </c>
      <c r="O2773" t="s">
        <v>248</v>
      </c>
      <c r="P2773" t="b">
        <v>1</v>
      </c>
      <c r="Q2773">
        <v>6595.0137194099616</v>
      </c>
      <c r="R2773">
        <v>35941.501398035063</v>
      </c>
      <c r="S2773">
        <v>-4.0022508804647403</v>
      </c>
      <c r="T2773">
        <v>79.061168348659365</v>
      </c>
      <c r="U2773">
        <v>0</v>
      </c>
      <c r="V2773">
        <v>0</v>
      </c>
    </row>
    <row r="2774" spans="1:22" x14ac:dyDescent="0.2">
      <c r="A2774"/>
      <c r="B2774">
        <v>71036</v>
      </c>
      <c r="C2774" t="s">
        <v>241</v>
      </c>
      <c r="D2774" t="s">
        <v>192</v>
      </c>
      <c r="E2774" t="s">
        <v>1272</v>
      </c>
      <c r="F2774" t="s">
        <v>126</v>
      </c>
      <c r="G2774">
        <v>7088.9342004044884</v>
      </c>
      <c r="H2774" t="s">
        <v>248</v>
      </c>
      <c r="M2774" t="s">
        <v>188</v>
      </c>
      <c r="N2774">
        <v>14903.845348197099</v>
      </c>
      <c r="O2774" t="s">
        <v>248</v>
      </c>
      <c r="P2774" t="b">
        <v>1</v>
      </c>
      <c r="Q2774">
        <v>6595.0137194099616</v>
      </c>
      <c r="R2774">
        <v>35941.501398035063</v>
      </c>
      <c r="S2774">
        <v>-4.0022508804647403</v>
      </c>
      <c r="T2774">
        <v>79.061168348659365</v>
      </c>
      <c r="U2774">
        <v>0</v>
      </c>
      <c r="V2774">
        <v>0</v>
      </c>
    </row>
    <row r="2775" spans="1:22" x14ac:dyDescent="0.2">
      <c r="A2775"/>
      <c r="B2775">
        <v>71037</v>
      </c>
      <c r="C2775" t="s">
        <v>242</v>
      </c>
      <c r="D2775" t="s">
        <v>192</v>
      </c>
      <c r="E2775" t="s">
        <v>1272</v>
      </c>
      <c r="F2775" t="s">
        <v>126</v>
      </c>
      <c r="G2775">
        <v>7088.9342004044884</v>
      </c>
      <c r="H2775" t="s">
        <v>248</v>
      </c>
      <c r="I2775">
        <v>0</v>
      </c>
      <c r="J2775">
        <v>0</v>
      </c>
      <c r="K2775">
        <v>0</v>
      </c>
      <c r="L2775">
        <v>0</v>
      </c>
      <c r="M2775" t="s">
        <v>188</v>
      </c>
      <c r="N2775">
        <v>15104.184409123</v>
      </c>
      <c r="O2775" t="s">
        <v>248</v>
      </c>
      <c r="P2775" t="b">
        <v>1</v>
      </c>
      <c r="Q2775">
        <v>6633.2909712393857</v>
      </c>
      <c r="R2775">
        <v>36138.149754288934</v>
      </c>
      <c r="S2775">
        <v>-3.9970454457177</v>
      </c>
      <c r="T2775">
        <v>79.067131027887015</v>
      </c>
      <c r="U2775">
        <v>0</v>
      </c>
      <c r="V2775">
        <v>0</v>
      </c>
    </row>
    <row r="2776" spans="1:22" x14ac:dyDescent="0.2">
      <c r="A2776"/>
      <c r="B2776">
        <v>71037</v>
      </c>
      <c r="C2776" t="s">
        <v>242</v>
      </c>
      <c r="D2776" t="s">
        <v>192</v>
      </c>
      <c r="E2776" t="s">
        <v>1272</v>
      </c>
      <c r="F2776" t="s">
        <v>126</v>
      </c>
      <c r="G2776">
        <v>7131.1170405759876</v>
      </c>
      <c r="H2776" t="s">
        <v>248</v>
      </c>
      <c r="M2776" t="s">
        <v>188</v>
      </c>
      <c r="N2776">
        <v>15104.184409123</v>
      </c>
      <c r="O2776" t="s">
        <v>248</v>
      </c>
      <c r="P2776" t="b">
        <v>1</v>
      </c>
      <c r="Q2776">
        <v>6633.2909712393857</v>
      </c>
      <c r="R2776">
        <v>36138.149754288934</v>
      </c>
      <c r="S2776">
        <v>-3.9970454457177</v>
      </c>
      <c r="T2776">
        <v>79.067131027887015</v>
      </c>
      <c r="U2776">
        <v>0</v>
      </c>
      <c r="V2776">
        <v>0</v>
      </c>
    </row>
    <row r="2777" spans="1:22" x14ac:dyDescent="0.2">
      <c r="A2777"/>
      <c r="B2777">
        <v>71038</v>
      </c>
      <c r="C2777" t="s">
        <v>243</v>
      </c>
      <c r="D2777" t="s">
        <v>192</v>
      </c>
      <c r="E2777" t="s">
        <v>1272</v>
      </c>
      <c r="F2777" t="s">
        <v>126</v>
      </c>
      <c r="G2777">
        <v>7131.1170405759876</v>
      </c>
      <c r="H2777" t="s">
        <v>248</v>
      </c>
      <c r="I2777">
        <v>0</v>
      </c>
      <c r="J2777">
        <v>0</v>
      </c>
      <c r="K2777">
        <v>0</v>
      </c>
      <c r="L2777">
        <v>0</v>
      </c>
      <c r="M2777" t="s">
        <v>188</v>
      </c>
      <c r="N2777">
        <v>15146.367249294501</v>
      </c>
      <c r="O2777" t="s">
        <v>248</v>
      </c>
      <c r="P2777" t="b">
        <v>1</v>
      </c>
      <c r="Q2777">
        <v>6641.2494888496913</v>
      </c>
      <c r="R2777">
        <v>36179.575028062005</v>
      </c>
      <c r="S2777">
        <v>-3.9969857395901576</v>
      </c>
      <c r="T2777">
        <v>79.192884451862753</v>
      </c>
      <c r="U2777">
        <v>0</v>
      </c>
      <c r="V2777">
        <v>0</v>
      </c>
    </row>
    <row r="2778" spans="1:22" x14ac:dyDescent="0.2">
      <c r="A2778"/>
      <c r="B2778">
        <v>71038</v>
      </c>
      <c r="C2778" t="s">
        <v>243</v>
      </c>
      <c r="D2778" t="s">
        <v>192</v>
      </c>
      <c r="E2778" t="s">
        <v>1272</v>
      </c>
      <c r="F2778" t="s">
        <v>127</v>
      </c>
      <c r="G2778">
        <v>69.888194980036133</v>
      </c>
      <c r="H2778" t="s">
        <v>248</v>
      </c>
      <c r="M2778" t="s">
        <v>188</v>
      </c>
      <c r="N2778">
        <v>15146.367249294501</v>
      </c>
      <c r="O2778" t="s">
        <v>248</v>
      </c>
      <c r="P2778" t="b">
        <v>1</v>
      </c>
      <c r="Q2778">
        <v>6641.2494888496913</v>
      </c>
      <c r="R2778">
        <v>36179.575028062005</v>
      </c>
      <c r="S2778">
        <v>-3.9969857395901576</v>
      </c>
      <c r="T2778">
        <v>79.192884451862753</v>
      </c>
      <c r="U2778">
        <v>0</v>
      </c>
      <c r="V2778">
        <v>0</v>
      </c>
    </row>
    <row r="2779" spans="1:22" x14ac:dyDescent="0.2">
      <c r="A2779"/>
      <c r="B2779">
        <v>71038</v>
      </c>
      <c r="C2779" t="s">
        <v>243</v>
      </c>
      <c r="D2779" t="s">
        <v>192</v>
      </c>
      <c r="E2779" t="s">
        <v>1272</v>
      </c>
      <c r="F2779" t="s">
        <v>244</v>
      </c>
      <c r="G2779">
        <v>39.7899999999999</v>
      </c>
      <c r="H2779" t="s">
        <v>248</v>
      </c>
      <c r="M2779" t="s">
        <v>188</v>
      </c>
      <c r="N2779">
        <v>15146.367249294501</v>
      </c>
      <c r="O2779" t="s">
        <v>248</v>
      </c>
      <c r="P2779" t="b">
        <v>1</v>
      </c>
      <c r="Q2779">
        <v>6641.2494888496913</v>
      </c>
      <c r="R2779">
        <v>36179.575028062005</v>
      </c>
      <c r="S2779">
        <v>-3.9969857395901576</v>
      </c>
      <c r="T2779">
        <v>79.192884451862753</v>
      </c>
      <c r="U2779">
        <v>0</v>
      </c>
      <c r="V2779">
        <v>0</v>
      </c>
    </row>
    <row r="2780" spans="1:22" x14ac:dyDescent="0.2">
      <c r="A2780"/>
      <c r="B2780">
        <v>71039</v>
      </c>
      <c r="C2780" t="s">
        <v>245</v>
      </c>
      <c r="D2780" t="s">
        <v>192</v>
      </c>
      <c r="E2780" t="s">
        <v>1272</v>
      </c>
      <c r="F2780" t="s">
        <v>127</v>
      </c>
      <c r="G2780">
        <v>69.888194980036133</v>
      </c>
      <c r="H2780" t="s">
        <v>248</v>
      </c>
      <c r="I2780">
        <v>0</v>
      </c>
      <c r="J2780">
        <v>0</v>
      </c>
      <c r="K2780">
        <v>0</v>
      </c>
      <c r="L2780">
        <v>0</v>
      </c>
      <c r="M2780" t="s">
        <v>188</v>
      </c>
      <c r="N2780">
        <v>15294.6370472909</v>
      </c>
      <c r="O2780" t="s">
        <v>248</v>
      </c>
      <c r="P2780" t="b">
        <v>1</v>
      </c>
      <c r="Q2780">
        <v>6668.599520980285</v>
      </c>
      <c r="R2780">
        <v>36325.300398650994</v>
      </c>
      <c r="S2780">
        <v>-4.0125881889954407</v>
      </c>
      <c r="T2780">
        <v>79.361922322226775</v>
      </c>
      <c r="U2780">
        <v>0</v>
      </c>
      <c r="V2780">
        <v>0</v>
      </c>
    </row>
    <row r="2781" spans="1:22" x14ac:dyDescent="0.2">
      <c r="A2781"/>
      <c r="B2781">
        <v>71039</v>
      </c>
      <c r="C2781" t="s">
        <v>245</v>
      </c>
      <c r="D2781" t="s">
        <v>192</v>
      </c>
      <c r="E2781" t="s">
        <v>1272</v>
      </c>
      <c r="F2781" t="s">
        <v>127</v>
      </c>
      <c r="G2781">
        <v>427.23478244393664</v>
      </c>
      <c r="H2781" t="s">
        <v>248</v>
      </c>
      <c r="M2781" t="s">
        <v>188</v>
      </c>
      <c r="N2781">
        <v>15294.6370472909</v>
      </c>
      <c r="O2781" t="s">
        <v>248</v>
      </c>
      <c r="P2781" t="b">
        <v>1</v>
      </c>
      <c r="Q2781">
        <v>6668.599520980285</v>
      </c>
      <c r="R2781">
        <v>36325.300398650994</v>
      </c>
      <c r="S2781">
        <v>-4.0125881889954407</v>
      </c>
      <c r="T2781">
        <v>79.361922322226775</v>
      </c>
      <c r="U2781">
        <v>0</v>
      </c>
      <c r="V2781">
        <v>0</v>
      </c>
    </row>
    <row r="2782" spans="1:22" x14ac:dyDescent="0.2">
      <c r="A2782"/>
      <c r="B2782">
        <v>71040</v>
      </c>
      <c r="C2782" t="s">
        <v>246</v>
      </c>
      <c r="D2782" t="s">
        <v>192</v>
      </c>
      <c r="E2782" t="s">
        <v>1272</v>
      </c>
      <c r="F2782" t="s">
        <v>127</v>
      </c>
      <c r="G2782">
        <v>427.23478244393664</v>
      </c>
      <c r="H2782" t="s">
        <v>248</v>
      </c>
      <c r="I2782">
        <v>0</v>
      </c>
      <c r="J2782">
        <v>0</v>
      </c>
      <c r="K2782">
        <v>0</v>
      </c>
      <c r="L2782">
        <v>0</v>
      </c>
      <c r="M2782" t="s">
        <v>188</v>
      </c>
      <c r="N2782">
        <v>15651.983634754801</v>
      </c>
      <c r="O2782" t="s">
        <v>248</v>
      </c>
      <c r="P2782" t="b">
        <v>1</v>
      </c>
      <c r="Q2782">
        <v>6785.6559218150378</v>
      </c>
      <c r="R2782">
        <v>36659.040730133995</v>
      </c>
      <c r="S2782">
        <v>-9.192398269322922</v>
      </c>
      <c r="T2782">
        <v>54.884903043488386</v>
      </c>
      <c r="U2782">
        <v>0</v>
      </c>
      <c r="V2782">
        <v>0</v>
      </c>
    </row>
    <row r="2783" spans="1:22" x14ac:dyDescent="0.2">
      <c r="A2783"/>
      <c r="B2783">
        <v>71040</v>
      </c>
      <c r="C2783" t="s">
        <v>246</v>
      </c>
      <c r="D2783" t="s">
        <v>192</v>
      </c>
      <c r="E2783" t="s">
        <v>1272</v>
      </c>
      <c r="F2783" t="s">
        <v>127</v>
      </c>
      <c r="G2783">
        <v>410.64958126213787</v>
      </c>
      <c r="H2783" t="s">
        <v>248</v>
      </c>
      <c r="M2783" t="s">
        <v>188</v>
      </c>
      <c r="N2783">
        <v>15651.983634754801</v>
      </c>
      <c r="O2783" t="s">
        <v>248</v>
      </c>
      <c r="P2783" t="b">
        <v>1</v>
      </c>
      <c r="Q2783">
        <v>6785.6559218150378</v>
      </c>
      <c r="R2783">
        <v>36659.040730133995</v>
      </c>
      <c r="S2783">
        <v>-9.192398269322922</v>
      </c>
      <c r="T2783">
        <v>54.884903043488386</v>
      </c>
      <c r="U2783">
        <v>0</v>
      </c>
      <c r="V2783">
        <v>0</v>
      </c>
    </row>
    <row r="2784" spans="1:22" x14ac:dyDescent="0.2">
      <c r="A2784"/>
      <c r="B2784">
        <v>71041</v>
      </c>
      <c r="C2784" t="s">
        <v>247</v>
      </c>
      <c r="D2784" t="s">
        <v>192</v>
      </c>
      <c r="E2784" t="s">
        <v>1272</v>
      </c>
      <c r="F2784" t="s">
        <v>127</v>
      </c>
      <c r="G2784">
        <v>410.64958126213787</v>
      </c>
      <c r="H2784" t="s">
        <v>248</v>
      </c>
      <c r="I2784">
        <v>0</v>
      </c>
      <c r="J2784">
        <v>0</v>
      </c>
      <c r="K2784">
        <v>0</v>
      </c>
      <c r="L2784">
        <v>0</v>
      </c>
      <c r="M2784" t="s">
        <v>188</v>
      </c>
      <c r="N2784">
        <v>15635.398433573</v>
      </c>
      <c r="O2784" t="s">
        <v>248</v>
      </c>
      <c r="P2784" t="b">
        <v>1</v>
      </c>
      <c r="Q2784">
        <v>6776.27648905357</v>
      </c>
      <c r="R2784">
        <v>36645.363407154699</v>
      </c>
      <c r="S2784">
        <v>-9.0833919162492123</v>
      </c>
      <c r="T2784">
        <v>56.297005407936709</v>
      </c>
      <c r="U2784">
        <v>0</v>
      </c>
      <c r="V2784">
        <v>0</v>
      </c>
    </row>
    <row r="2785" spans="1:22" x14ac:dyDescent="0.2">
      <c r="A2785"/>
      <c r="B2785">
        <v>71041</v>
      </c>
      <c r="C2785" t="s">
        <v>247</v>
      </c>
      <c r="D2785" t="s">
        <v>192</v>
      </c>
      <c r="E2785" t="s">
        <v>1272</v>
      </c>
      <c r="F2785" t="s">
        <v>128</v>
      </c>
      <c r="G2785">
        <v>22.16317280348045</v>
      </c>
      <c r="H2785" t="s">
        <v>248</v>
      </c>
      <c r="M2785" t="s">
        <v>188</v>
      </c>
      <c r="N2785">
        <v>15635.398433573</v>
      </c>
      <c r="O2785" t="s">
        <v>248</v>
      </c>
      <c r="P2785" t="b">
        <v>1</v>
      </c>
      <c r="Q2785">
        <v>6776.27648905357</v>
      </c>
      <c r="R2785">
        <v>36645.363407154699</v>
      </c>
      <c r="S2785">
        <v>-9.0833919162492123</v>
      </c>
      <c r="T2785">
        <v>56.297005407936709</v>
      </c>
      <c r="U2785">
        <v>0</v>
      </c>
      <c r="V2785">
        <v>0</v>
      </c>
    </row>
    <row r="2786" spans="1:22" x14ac:dyDescent="0.2">
      <c r="A2786"/>
      <c r="B2786">
        <v>71042</v>
      </c>
      <c r="C2786" t="s">
        <v>203</v>
      </c>
      <c r="D2786" t="s">
        <v>192</v>
      </c>
      <c r="E2786" t="s">
        <v>1272</v>
      </c>
      <c r="F2786" t="s">
        <v>82</v>
      </c>
      <c r="G2786">
        <v>19.715633833061499</v>
      </c>
      <c r="H2786" t="s">
        <v>248</v>
      </c>
      <c r="I2786">
        <v>0</v>
      </c>
      <c r="J2786">
        <v>0</v>
      </c>
      <c r="K2786">
        <v>0</v>
      </c>
      <c r="L2786">
        <v>0</v>
      </c>
      <c r="M2786" t="s">
        <v>187</v>
      </c>
      <c r="N2786">
        <v>19.715633833061499</v>
      </c>
      <c r="O2786" t="s">
        <v>248</v>
      </c>
      <c r="P2786" t="b">
        <v>1</v>
      </c>
      <c r="Q2786">
        <v>4861.8295628805699</v>
      </c>
      <c r="R2786">
        <v>21627.773042977846</v>
      </c>
      <c r="S2786">
        <v>4.0641488164555123E-4</v>
      </c>
      <c r="T2786">
        <v>75.541107938241083</v>
      </c>
      <c r="U2786">
        <v>0</v>
      </c>
      <c r="V2786">
        <v>0</v>
      </c>
    </row>
    <row r="2787" spans="1:22" x14ac:dyDescent="0.2">
      <c r="A2787"/>
      <c r="B2787">
        <v>71042</v>
      </c>
      <c r="C2787" t="s">
        <v>203</v>
      </c>
      <c r="D2787" t="s">
        <v>192</v>
      </c>
      <c r="E2787" t="s">
        <v>1272</v>
      </c>
      <c r="F2787" t="s">
        <v>82</v>
      </c>
      <c r="G2787">
        <v>231.86571169371899</v>
      </c>
      <c r="H2787" t="s">
        <v>248</v>
      </c>
      <c r="M2787" t="s">
        <v>187</v>
      </c>
      <c r="N2787">
        <v>19.715633833061499</v>
      </c>
      <c r="O2787" t="s">
        <v>248</v>
      </c>
      <c r="P2787" t="b">
        <v>1</v>
      </c>
      <c r="Q2787">
        <v>4861.8295628805699</v>
      </c>
      <c r="R2787">
        <v>21627.773042977846</v>
      </c>
      <c r="S2787">
        <v>4.0641488164555123E-4</v>
      </c>
      <c r="T2787">
        <v>75.541107938241083</v>
      </c>
      <c r="U2787">
        <v>0</v>
      </c>
      <c r="V2787">
        <v>0</v>
      </c>
    </row>
    <row r="2788" spans="1:22" x14ac:dyDescent="0.2">
      <c r="A2788"/>
      <c r="B2788">
        <v>71043</v>
      </c>
      <c r="C2788" t="s">
        <v>204</v>
      </c>
      <c r="D2788" t="s">
        <v>192</v>
      </c>
      <c r="E2788" t="s">
        <v>1272</v>
      </c>
      <c r="F2788" t="s">
        <v>82</v>
      </c>
      <c r="G2788">
        <v>231.86571169371899</v>
      </c>
      <c r="H2788" t="s">
        <v>248</v>
      </c>
      <c r="I2788">
        <v>0</v>
      </c>
      <c r="J2788">
        <v>0</v>
      </c>
      <c r="K2788">
        <v>0</v>
      </c>
      <c r="L2788">
        <v>0</v>
      </c>
      <c r="M2788" t="s">
        <v>187</v>
      </c>
      <c r="N2788">
        <v>231.86571169371899</v>
      </c>
      <c r="O2788" t="s">
        <v>248</v>
      </c>
      <c r="P2788" t="b">
        <v>1</v>
      </c>
      <c r="Q2788">
        <v>4914.8074644294384</v>
      </c>
      <c r="R2788">
        <v>21833.201855674622</v>
      </c>
      <c r="S2788">
        <v>-1.4872816703977278E-2</v>
      </c>
      <c r="T2788">
        <v>75.545739325661188</v>
      </c>
      <c r="U2788">
        <v>0</v>
      </c>
      <c r="V2788">
        <v>0</v>
      </c>
    </row>
    <row r="2789" spans="1:22" x14ac:dyDescent="0.2">
      <c r="A2789"/>
      <c r="B2789">
        <v>71043</v>
      </c>
      <c r="C2789" t="s">
        <v>204</v>
      </c>
      <c r="D2789" t="s">
        <v>192</v>
      </c>
      <c r="E2789" t="s">
        <v>1272</v>
      </c>
      <c r="F2789" t="s">
        <v>84</v>
      </c>
      <c r="G2789">
        <v>12.046586373253731</v>
      </c>
      <c r="H2789" t="s">
        <v>248</v>
      </c>
      <c r="M2789" t="s">
        <v>187</v>
      </c>
      <c r="N2789">
        <v>231.86571169371899</v>
      </c>
      <c r="O2789" t="s">
        <v>248</v>
      </c>
      <c r="P2789" t="b">
        <v>1</v>
      </c>
      <c r="Q2789">
        <v>4914.8074644294384</v>
      </c>
      <c r="R2789">
        <v>21833.201855674622</v>
      </c>
      <c r="S2789">
        <v>-1.4872816703977278E-2</v>
      </c>
      <c r="T2789">
        <v>75.545739325661188</v>
      </c>
      <c r="U2789">
        <v>0</v>
      </c>
      <c r="V2789">
        <v>0</v>
      </c>
    </row>
    <row r="2790" spans="1:22" x14ac:dyDescent="0.2">
      <c r="A2790"/>
      <c r="B2790">
        <v>71043</v>
      </c>
      <c r="C2790" t="s">
        <v>204</v>
      </c>
      <c r="D2790" t="s">
        <v>192</v>
      </c>
      <c r="E2790" t="s">
        <v>1272</v>
      </c>
      <c r="F2790" t="s">
        <v>197</v>
      </c>
      <c r="G2790">
        <v>45</v>
      </c>
      <c r="H2790" t="s">
        <v>248</v>
      </c>
      <c r="M2790" t="s">
        <v>187</v>
      </c>
      <c r="N2790">
        <v>231.86571169371899</v>
      </c>
      <c r="O2790" t="s">
        <v>248</v>
      </c>
      <c r="P2790" t="b">
        <v>1</v>
      </c>
      <c r="Q2790">
        <v>4914.8074644294384</v>
      </c>
      <c r="R2790">
        <v>21833.201855674622</v>
      </c>
      <c r="S2790">
        <v>-1.4872816703977278E-2</v>
      </c>
      <c r="T2790">
        <v>75.545739325661188</v>
      </c>
      <c r="U2790">
        <v>0</v>
      </c>
      <c r="V2790">
        <v>0</v>
      </c>
    </row>
    <row r="2791" spans="1:22" x14ac:dyDescent="0.2">
      <c r="A2791"/>
      <c r="B2791">
        <v>71043</v>
      </c>
      <c r="C2791" t="s">
        <v>204</v>
      </c>
      <c r="D2791" t="s">
        <v>192</v>
      </c>
      <c r="E2791" t="s">
        <v>1272</v>
      </c>
      <c r="F2791" t="s">
        <v>196</v>
      </c>
      <c r="G2791">
        <v>35</v>
      </c>
      <c r="H2791" t="s">
        <v>248</v>
      </c>
      <c r="M2791" t="s">
        <v>187</v>
      </c>
      <c r="N2791">
        <v>231.86571169371899</v>
      </c>
      <c r="O2791" t="s">
        <v>248</v>
      </c>
      <c r="P2791" t="b">
        <v>1</v>
      </c>
      <c r="Q2791">
        <v>4914.8074644294384</v>
      </c>
      <c r="R2791">
        <v>21833.201855674622</v>
      </c>
      <c r="S2791">
        <v>-1.4872816703977278E-2</v>
      </c>
      <c r="T2791">
        <v>75.545739325661188</v>
      </c>
      <c r="U2791">
        <v>0</v>
      </c>
      <c r="V2791">
        <v>0</v>
      </c>
    </row>
    <row r="2792" spans="1:22" x14ac:dyDescent="0.2">
      <c r="A2792"/>
      <c r="B2792">
        <v>71044</v>
      </c>
      <c r="C2792" t="s">
        <v>205</v>
      </c>
      <c r="D2792" t="s">
        <v>192</v>
      </c>
      <c r="E2792" t="s">
        <v>1272</v>
      </c>
      <c r="F2792" t="s">
        <v>84</v>
      </c>
      <c r="G2792">
        <v>12.046586373253731</v>
      </c>
      <c r="H2792" t="s">
        <v>248</v>
      </c>
      <c r="I2792">
        <v>0</v>
      </c>
      <c r="J2792">
        <v>0</v>
      </c>
      <c r="K2792">
        <v>0</v>
      </c>
      <c r="L2792">
        <v>0</v>
      </c>
      <c r="M2792" t="s">
        <v>187</v>
      </c>
      <c r="N2792">
        <v>335.97538884380998</v>
      </c>
      <c r="O2792" t="s">
        <v>248</v>
      </c>
      <c r="P2792" t="b">
        <v>1</v>
      </c>
      <c r="Q2792">
        <v>4940.8317060890868</v>
      </c>
      <c r="R2792">
        <v>21934.00640718441</v>
      </c>
      <c r="S2792">
        <v>-8.0873987840536857E-3</v>
      </c>
      <c r="T2792">
        <v>75.419804338035831</v>
      </c>
      <c r="U2792">
        <v>0</v>
      </c>
      <c r="V2792">
        <v>0</v>
      </c>
    </row>
    <row r="2793" spans="1:22" x14ac:dyDescent="0.2">
      <c r="A2793"/>
      <c r="B2793">
        <v>71044</v>
      </c>
      <c r="C2793" t="s">
        <v>205</v>
      </c>
      <c r="D2793" t="s">
        <v>192</v>
      </c>
      <c r="E2793" t="s">
        <v>1272</v>
      </c>
      <c r="F2793" t="s">
        <v>84</v>
      </c>
      <c r="G2793">
        <v>61.256498028704769</v>
      </c>
      <c r="H2793" t="s">
        <v>248</v>
      </c>
      <c r="M2793" t="s">
        <v>187</v>
      </c>
      <c r="N2793">
        <v>335.97538884380998</v>
      </c>
      <c r="O2793" t="s">
        <v>248</v>
      </c>
      <c r="P2793" t="b">
        <v>1</v>
      </c>
      <c r="Q2793">
        <v>4940.8317060890868</v>
      </c>
      <c r="R2793">
        <v>21934.00640718441</v>
      </c>
      <c r="S2793">
        <v>-8.0873987840536857E-3</v>
      </c>
      <c r="T2793">
        <v>75.419804338035831</v>
      </c>
      <c r="U2793">
        <v>0</v>
      </c>
      <c r="V2793">
        <v>0</v>
      </c>
    </row>
    <row r="2794" spans="1:22" x14ac:dyDescent="0.2">
      <c r="A2794"/>
      <c r="B2794">
        <v>71045</v>
      </c>
      <c r="C2794" t="s">
        <v>206</v>
      </c>
      <c r="D2794" t="s">
        <v>192</v>
      </c>
      <c r="E2794" t="s">
        <v>1272</v>
      </c>
      <c r="F2794" t="s">
        <v>84</v>
      </c>
      <c r="G2794">
        <v>61.256498028704769</v>
      </c>
      <c r="H2794" t="s">
        <v>248</v>
      </c>
      <c r="I2794">
        <v>0</v>
      </c>
      <c r="J2794">
        <v>0</v>
      </c>
      <c r="K2794">
        <v>0</v>
      </c>
      <c r="L2794">
        <v>0</v>
      </c>
      <c r="M2794" t="s">
        <v>187</v>
      </c>
      <c r="N2794">
        <v>385.18530049926102</v>
      </c>
      <c r="O2794" t="s">
        <v>248</v>
      </c>
      <c r="P2794" t="b">
        <v>1</v>
      </c>
      <c r="Q2794">
        <v>4953.1951091444516</v>
      </c>
      <c r="R2794">
        <v>21981.637882380986</v>
      </c>
      <c r="S2794">
        <v>-2.875096374216248E-3</v>
      </c>
      <c r="T2794">
        <v>75.650538862722399</v>
      </c>
      <c r="U2794">
        <v>0</v>
      </c>
      <c r="V2794">
        <v>0</v>
      </c>
    </row>
    <row r="2795" spans="1:22" x14ac:dyDescent="0.2">
      <c r="A2795"/>
      <c r="B2795">
        <v>71045</v>
      </c>
      <c r="C2795" t="s">
        <v>206</v>
      </c>
      <c r="D2795" t="s">
        <v>192</v>
      </c>
      <c r="E2795" t="s">
        <v>1272</v>
      </c>
      <c r="F2795" t="s">
        <v>84</v>
      </c>
      <c r="G2795">
        <v>277.99663292397383</v>
      </c>
      <c r="H2795" t="s">
        <v>248</v>
      </c>
      <c r="M2795" t="s">
        <v>187</v>
      </c>
      <c r="N2795">
        <v>385.18530049926102</v>
      </c>
      <c r="O2795" t="s">
        <v>248</v>
      </c>
      <c r="P2795" t="b">
        <v>1</v>
      </c>
      <c r="Q2795">
        <v>4953.1951091444516</v>
      </c>
      <c r="R2795">
        <v>21981.637882380986</v>
      </c>
      <c r="S2795">
        <v>-2.875096374216248E-3</v>
      </c>
      <c r="T2795">
        <v>75.650538862722399</v>
      </c>
      <c r="U2795">
        <v>0</v>
      </c>
      <c r="V2795">
        <v>0</v>
      </c>
    </row>
    <row r="2796" spans="1:22" x14ac:dyDescent="0.2">
      <c r="A2796"/>
      <c r="B2796">
        <v>71046</v>
      </c>
      <c r="C2796" t="s">
        <v>207</v>
      </c>
      <c r="D2796" t="s">
        <v>192</v>
      </c>
      <c r="E2796" t="s">
        <v>1272</v>
      </c>
      <c r="F2796" t="s">
        <v>84</v>
      </c>
      <c r="G2796">
        <v>277.99663292397383</v>
      </c>
      <c r="H2796" t="s">
        <v>248</v>
      </c>
      <c r="I2796">
        <v>0</v>
      </c>
      <c r="J2796">
        <v>0</v>
      </c>
      <c r="K2796">
        <v>0</v>
      </c>
      <c r="L2796">
        <v>0</v>
      </c>
      <c r="M2796" t="s">
        <v>187</v>
      </c>
      <c r="N2796">
        <v>601.92543539453004</v>
      </c>
      <c r="O2796" t="s">
        <v>248</v>
      </c>
      <c r="P2796" t="b">
        <v>1</v>
      </c>
      <c r="Q2796">
        <v>4995.9151105186083</v>
      </c>
      <c r="R2796">
        <v>22194.044295720072</v>
      </c>
      <c r="S2796">
        <v>-0.35245356465441624</v>
      </c>
      <c r="T2796">
        <v>79.843416755032536</v>
      </c>
      <c r="U2796">
        <v>0</v>
      </c>
      <c r="V2796">
        <v>0</v>
      </c>
    </row>
    <row r="2797" spans="1:22" x14ac:dyDescent="0.2">
      <c r="A2797"/>
      <c r="B2797">
        <v>71046</v>
      </c>
      <c r="C2797" t="s">
        <v>207</v>
      </c>
      <c r="D2797" t="s">
        <v>192</v>
      </c>
      <c r="E2797" t="s">
        <v>1272</v>
      </c>
      <c r="F2797" t="s">
        <v>84</v>
      </c>
      <c r="G2797">
        <v>322.14776566124374</v>
      </c>
      <c r="H2797" t="s">
        <v>248</v>
      </c>
      <c r="M2797" t="s">
        <v>187</v>
      </c>
      <c r="N2797">
        <v>601.92543539453004</v>
      </c>
      <c r="O2797" t="s">
        <v>248</v>
      </c>
      <c r="P2797" t="b">
        <v>1</v>
      </c>
      <c r="Q2797">
        <v>4995.9151105186083</v>
      </c>
      <c r="R2797">
        <v>22194.044295720072</v>
      </c>
      <c r="S2797">
        <v>-0.35245356465441624</v>
      </c>
      <c r="T2797">
        <v>79.843416755032536</v>
      </c>
      <c r="U2797">
        <v>0</v>
      </c>
      <c r="V2797">
        <v>0</v>
      </c>
    </row>
    <row r="2798" spans="1:22" x14ac:dyDescent="0.2">
      <c r="A2798"/>
      <c r="B2798">
        <v>71047</v>
      </c>
      <c r="C2798" t="s">
        <v>208</v>
      </c>
      <c r="D2798" t="s">
        <v>192</v>
      </c>
      <c r="E2798" t="s">
        <v>1272</v>
      </c>
      <c r="F2798" t="s">
        <v>84</v>
      </c>
      <c r="G2798">
        <v>322.14776566124374</v>
      </c>
      <c r="H2798" t="s">
        <v>248</v>
      </c>
      <c r="I2798">
        <v>0</v>
      </c>
      <c r="J2798">
        <v>0</v>
      </c>
      <c r="K2798">
        <v>0</v>
      </c>
      <c r="L2798">
        <v>0</v>
      </c>
      <c r="M2798" t="s">
        <v>187</v>
      </c>
      <c r="N2798">
        <v>646.07656813179995</v>
      </c>
      <c r="O2798" t="s">
        <v>248</v>
      </c>
      <c r="P2798" t="b">
        <v>1</v>
      </c>
      <c r="Q2798">
        <v>5003.682005937183</v>
      </c>
      <c r="R2798">
        <v>22237.49757401309</v>
      </c>
      <c r="S2798">
        <v>-1.2478323010142129</v>
      </c>
      <c r="T2798">
        <v>79.87576162436801</v>
      </c>
      <c r="U2798">
        <v>0</v>
      </c>
      <c r="V2798">
        <v>0</v>
      </c>
    </row>
    <row r="2799" spans="1:22" x14ac:dyDescent="0.2">
      <c r="A2799"/>
      <c r="B2799">
        <v>71047</v>
      </c>
      <c r="C2799" t="s">
        <v>208</v>
      </c>
      <c r="D2799" t="s">
        <v>192</v>
      </c>
      <c r="E2799" t="s">
        <v>1272</v>
      </c>
      <c r="F2799" t="s">
        <v>87</v>
      </c>
      <c r="G2799">
        <v>14.741035701415569</v>
      </c>
      <c r="H2799" t="s">
        <v>248</v>
      </c>
      <c r="M2799" t="s">
        <v>187</v>
      </c>
      <c r="N2799">
        <v>646.07656813179995</v>
      </c>
      <c r="O2799" t="s">
        <v>248</v>
      </c>
      <c r="P2799" t="b">
        <v>1</v>
      </c>
      <c r="Q2799">
        <v>5003.682005937183</v>
      </c>
      <c r="R2799">
        <v>22237.49757401309</v>
      </c>
      <c r="S2799">
        <v>-1.2478323010142129</v>
      </c>
      <c r="T2799">
        <v>79.87576162436801</v>
      </c>
      <c r="U2799">
        <v>0</v>
      </c>
      <c r="V2799">
        <v>0</v>
      </c>
    </row>
    <row r="2800" spans="1:22" x14ac:dyDescent="0.2">
      <c r="A2800"/>
      <c r="B2800">
        <v>71047</v>
      </c>
      <c r="C2800" t="s">
        <v>208</v>
      </c>
      <c r="D2800" t="s">
        <v>192</v>
      </c>
      <c r="E2800" t="s">
        <v>1272</v>
      </c>
      <c r="F2800" t="s">
        <v>202</v>
      </c>
      <c r="G2800">
        <v>39.7899999999999</v>
      </c>
      <c r="H2800" t="s">
        <v>248</v>
      </c>
      <c r="M2800" t="s">
        <v>187</v>
      </c>
      <c r="N2800">
        <v>646.07656813179995</v>
      </c>
      <c r="O2800" t="s">
        <v>248</v>
      </c>
      <c r="P2800" t="b">
        <v>1</v>
      </c>
      <c r="Q2800">
        <v>5003.682005937183</v>
      </c>
      <c r="R2800">
        <v>22237.49757401309</v>
      </c>
      <c r="S2800">
        <v>-1.2478323010142129</v>
      </c>
      <c r="T2800">
        <v>79.87576162436801</v>
      </c>
      <c r="U2800">
        <v>0</v>
      </c>
      <c r="V2800">
        <v>0</v>
      </c>
    </row>
    <row r="2801" spans="1:22" x14ac:dyDescent="0.2">
      <c r="A2801"/>
      <c r="B2801">
        <v>71048</v>
      </c>
      <c r="C2801" t="s">
        <v>249</v>
      </c>
      <c r="D2801" t="s">
        <v>192</v>
      </c>
      <c r="E2801" t="s">
        <v>1272</v>
      </c>
      <c r="F2801" t="s">
        <v>87</v>
      </c>
      <c r="G2801">
        <v>14.741035701415569</v>
      </c>
      <c r="H2801" t="s">
        <v>248</v>
      </c>
      <c r="I2801">
        <v>0</v>
      </c>
      <c r="J2801">
        <v>0</v>
      </c>
      <c r="K2801">
        <v>0</v>
      </c>
      <c r="L2801">
        <v>0</v>
      </c>
      <c r="M2801" t="s">
        <v>187</v>
      </c>
      <c r="N2801">
        <v>793.49736763864405</v>
      </c>
      <c r="O2801" t="s">
        <v>248</v>
      </c>
      <c r="P2801" t="b">
        <v>1</v>
      </c>
      <c r="Q2801">
        <v>5029.635408331902</v>
      </c>
      <c r="R2801">
        <v>22382.612676648019</v>
      </c>
      <c r="S2801">
        <v>-1.7256028814260149</v>
      </c>
      <c r="T2801">
        <v>79.769482855552909</v>
      </c>
      <c r="U2801">
        <v>0</v>
      </c>
      <c r="V2801">
        <v>0</v>
      </c>
    </row>
    <row r="2802" spans="1:22" x14ac:dyDescent="0.2">
      <c r="A2802"/>
      <c r="B2802">
        <v>71048</v>
      </c>
      <c r="C2802" t="s">
        <v>249</v>
      </c>
      <c r="D2802" t="s">
        <v>192</v>
      </c>
      <c r="E2802" t="s">
        <v>1272</v>
      </c>
      <c r="F2802" t="s">
        <v>87</v>
      </c>
      <c r="G2802">
        <v>63.963105513490575</v>
      </c>
      <c r="H2802" t="s">
        <v>248</v>
      </c>
      <c r="M2802" t="s">
        <v>187</v>
      </c>
      <c r="N2802">
        <v>793.49736763864405</v>
      </c>
      <c r="O2802" t="s">
        <v>248</v>
      </c>
      <c r="P2802" t="b">
        <v>1</v>
      </c>
      <c r="Q2802">
        <v>5029.635408331902</v>
      </c>
      <c r="R2802">
        <v>22382.612676648019</v>
      </c>
      <c r="S2802">
        <v>-1.7256028814260149</v>
      </c>
      <c r="T2802">
        <v>79.769482855552909</v>
      </c>
      <c r="U2802">
        <v>0</v>
      </c>
      <c r="V2802">
        <v>0</v>
      </c>
    </row>
    <row r="2803" spans="1:22" x14ac:dyDescent="0.2">
      <c r="A2803"/>
      <c r="B2803">
        <v>71049</v>
      </c>
      <c r="C2803" t="s">
        <v>250</v>
      </c>
      <c r="D2803" t="s">
        <v>192</v>
      </c>
      <c r="E2803" t="s">
        <v>1272</v>
      </c>
      <c r="F2803" t="s">
        <v>87</v>
      </c>
      <c r="G2803">
        <v>63.963105513490575</v>
      </c>
      <c r="H2803" t="s">
        <v>248</v>
      </c>
      <c r="I2803">
        <v>0</v>
      </c>
      <c r="J2803">
        <v>0</v>
      </c>
      <c r="K2803">
        <v>0</v>
      </c>
      <c r="L2803">
        <v>0</v>
      </c>
      <c r="M2803" t="s">
        <v>187</v>
      </c>
      <c r="N2803">
        <v>842.71943745071906</v>
      </c>
      <c r="O2803" t="s">
        <v>248</v>
      </c>
      <c r="P2803" t="b">
        <v>1</v>
      </c>
      <c r="Q2803">
        <v>5038.7058453036097</v>
      </c>
      <c r="R2803">
        <v>22430.991123468535</v>
      </c>
      <c r="S2803">
        <v>-1.7283390521319213</v>
      </c>
      <c r="T2803">
        <v>78.779111276430044</v>
      </c>
      <c r="U2803">
        <v>0</v>
      </c>
      <c r="V2803">
        <v>0</v>
      </c>
    </row>
    <row r="2804" spans="1:22" x14ac:dyDescent="0.2">
      <c r="A2804"/>
      <c r="B2804">
        <v>71049</v>
      </c>
      <c r="C2804" t="s">
        <v>250</v>
      </c>
      <c r="D2804" t="s">
        <v>192</v>
      </c>
      <c r="E2804" t="s">
        <v>1272</v>
      </c>
      <c r="F2804" t="s">
        <v>87</v>
      </c>
      <c r="G2804">
        <v>1181.9988279782312</v>
      </c>
      <c r="H2804" t="s">
        <v>248</v>
      </c>
      <c r="M2804" t="s">
        <v>187</v>
      </c>
      <c r="N2804">
        <v>842.71943745071906</v>
      </c>
      <c r="O2804" t="s">
        <v>248</v>
      </c>
      <c r="P2804" t="b">
        <v>1</v>
      </c>
      <c r="Q2804">
        <v>5038.7058453036097</v>
      </c>
      <c r="R2804">
        <v>22430.991123468535</v>
      </c>
      <c r="S2804">
        <v>-1.7283390521319213</v>
      </c>
      <c r="T2804">
        <v>78.779111276430044</v>
      </c>
      <c r="U2804">
        <v>0</v>
      </c>
      <c r="V2804">
        <v>0</v>
      </c>
    </row>
    <row r="2805" spans="1:22" x14ac:dyDescent="0.2">
      <c r="A2805"/>
      <c r="B2805">
        <v>71050</v>
      </c>
      <c r="C2805" t="s">
        <v>251</v>
      </c>
      <c r="D2805" t="s">
        <v>192</v>
      </c>
      <c r="E2805" t="s">
        <v>1272</v>
      </c>
      <c r="F2805" t="s">
        <v>87</v>
      </c>
      <c r="G2805">
        <v>1181.9988279782312</v>
      </c>
      <c r="H2805" t="s">
        <v>248</v>
      </c>
      <c r="I2805">
        <v>0</v>
      </c>
      <c r="J2805">
        <v>0</v>
      </c>
      <c r="K2805">
        <v>0</v>
      </c>
      <c r="L2805">
        <v>0</v>
      </c>
      <c r="M2805" t="s">
        <v>187</v>
      </c>
      <c r="N2805">
        <v>1960.7551599154599</v>
      </c>
      <c r="O2805" t="s">
        <v>248</v>
      </c>
      <c r="P2805" t="b">
        <v>1</v>
      </c>
      <c r="Q2805">
        <v>5072.3217112764378</v>
      </c>
      <c r="R2805">
        <v>23510.7190468603</v>
      </c>
      <c r="S2805">
        <v>7.3978286645286282</v>
      </c>
      <c r="T2805">
        <v>88.120572514043374</v>
      </c>
      <c r="U2805">
        <v>0</v>
      </c>
      <c r="V2805">
        <v>0</v>
      </c>
    </row>
    <row r="2806" spans="1:22" x14ac:dyDescent="0.2">
      <c r="A2806"/>
      <c r="B2806">
        <v>71050</v>
      </c>
      <c r="C2806" t="s">
        <v>251</v>
      </c>
      <c r="D2806" t="s">
        <v>192</v>
      </c>
      <c r="E2806" t="s">
        <v>1272</v>
      </c>
      <c r="F2806" t="s">
        <v>87</v>
      </c>
      <c r="G2806">
        <v>1376.0727305839412</v>
      </c>
      <c r="H2806" t="s">
        <v>248</v>
      </c>
      <c r="M2806" t="s">
        <v>187</v>
      </c>
      <c r="N2806">
        <v>1960.7551599154599</v>
      </c>
      <c r="O2806" t="s">
        <v>248</v>
      </c>
      <c r="P2806" t="b">
        <v>1</v>
      </c>
      <c r="Q2806">
        <v>5072.3217112764378</v>
      </c>
      <c r="R2806">
        <v>23510.7190468603</v>
      </c>
      <c r="S2806">
        <v>7.3978286645286282</v>
      </c>
      <c r="T2806">
        <v>88.120572514043374</v>
      </c>
      <c r="U2806">
        <v>0</v>
      </c>
      <c r="V2806">
        <v>0</v>
      </c>
    </row>
    <row r="2807" spans="1:22" x14ac:dyDescent="0.2">
      <c r="A2807"/>
      <c r="B2807">
        <v>71051</v>
      </c>
      <c r="C2807" t="s">
        <v>252</v>
      </c>
      <c r="D2807" t="s">
        <v>192</v>
      </c>
      <c r="E2807" t="s">
        <v>1272</v>
      </c>
      <c r="F2807" t="s">
        <v>87</v>
      </c>
      <c r="G2807">
        <v>1376.0727305839412</v>
      </c>
      <c r="H2807" t="s">
        <v>248</v>
      </c>
      <c r="I2807">
        <v>0</v>
      </c>
      <c r="J2807">
        <v>0</v>
      </c>
      <c r="K2807">
        <v>0</v>
      </c>
      <c r="L2807">
        <v>0</v>
      </c>
      <c r="M2807" t="s">
        <v>187</v>
      </c>
      <c r="N2807">
        <v>2154.8290625211698</v>
      </c>
      <c r="O2807" t="s">
        <v>248</v>
      </c>
      <c r="P2807" t="b">
        <v>1</v>
      </c>
      <c r="Q2807">
        <v>5078.1221061919859</v>
      </c>
      <c r="R2807">
        <v>23704.705982206891</v>
      </c>
      <c r="S2807">
        <v>7.4007825179867943</v>
      </c>
      <c r="T2807">
        <v>88.450365131668832</v>
      </c>
      <c r="U2807">
        <v>0</v>
      </c>
      <c r="V2807">
        <v>0</v>
      </c>
    </row>
    <row r="2808" spans="1:22" x14ac:dyDescent="0.2">
      <c r="A2808"/>
      <c r="B2808">
        <v>71051</v>
      </c>
      <c r="C2808" t="s">
        <v>252</v>
      </c>
      <c r="D2808" t="s">
        <v>192</v>
      </c>
      <c r="E2808" t="s">
        <v>1272</v>
      </c>
      <c r="F2808" t="s">
        <v>87</v>
      </c>
      <c r="G2808">
        <v>2747.6090009153113</v>
      </c>
      <c r="H2808" t="s">
        <v>248</v>
      </c>
      <c r="M2808" t="s">
        <v>187</v>
      </c>
      <c r="N2808">
        <v>2154.8290625211698</v>
      </c>
      <c r="O2808" t="s">
        <v>248</v>
      </c>
      <c r="P2808" t="b">
        <v>1</v>
      </c>
      <c r="Q2808">
        <v>5078.1221061919859</v>
      </c>
      <c r="R2808">
        <v>23704.705982206891</v>
      </c>
      <c r="S2808">
        <v>7.4007825179867943</v>
      </c>
      <c r="T2808">
        <v>88.450365131668832</v>
      </c>
      <c r="U2808">
        <v>0</v>
      </c>
      <c r="V2808">
        <v>0</v>
      </c>
    </row>
    <row r="2809" spans="1:22" x14ac:dyDescent="0.2">
      <c r="A2809"/>
      <c r="B2809">
        <v>71052</v>
      </c>
      <c r="C2809" t="s">
        <v>253</v>
      </c>
      <c r="D2809" t="s">
        <v>192</v>
      </c>
      <c r="E2809" t="s">
        <v>1272</v>
      </c>
      <c r="F2809" t="s">
        <v>87</v>
      </c>
      <c r="G2809">
        <v>2747.6090009153113</v>
      </c>
      <c r="H2809" t="s">
        <v>248</v>
      </c>
      <c r="I2809">
        <v>0</v>
      </c>
      <c r="J2809">
        <v>0</v>
      </c>
      <c r="K2809">
        <v>0</v>
      </c>
      <c r="L2809">
        <v>0</v>
      </c>
      <c r="M2809" t="s">
        <v>187</v>
      </c>
      <c r="N2809">
        <v>3526.3653328525402</v>
      </c>
      <c r="O2809" t="s">
        <v>248</v>
      </c>
      <c r="P2809" t="b">
        <v>1</v>
      </c>
      <c r="Q2809">
        <v>5092.4467905261317</v>
      </c>
      <c r="R2809">
        <v>25071.039947768608</v>
      </c>
      <c r="S2809">
        <v>-2.6233403492474623</v>
      </c>
      <c r="T2809">
        <v>70.229923083641339</v>
      </c>
      <c r="U2809">
        <v>0</v>
      </c>
      <c r="V2809">
        <v>0</v>
      </c>
    </row>
    <row r="2810" spans="1:22" x14ac:dyDescent="0.2">
      <c r="A2810"/>
      <c r="B2810">
        <v>71052</v>
      </c>
      <c r="C2810" t="s">
        <v>253</v>
      </c>
      <c r="D2810" t="s">
        <v>192</v>
      </c>
      <c r="E2810" t="s">
        <v>1272</v>
      </c>
      <c r="F2810" t="s">
        <v>87</v>
      </c>
      <c r="G2810">
        <v>2940.6988557438813</v>
      </c>
      <c r="H2810" t="s">
        <v>248</v>
      </c>
      <c r="M2810" t="s">
        <v>187</v>
      </c>
      <c r="N2810">
        <v>3526.3653328525402</v>
      </c>
      <c r="O2810" t="s">
        <v>248</v>
      </c>
      <c r="P2810" t="b">
        <v>1</v>
      </c>
      <c r="Q2810">
        <v>5092.4467905261317</v>
      </c>
      <c r="R2810">
        <v>25071.039947768608</v>
      </c>
      <c r="S2810">
        <v>-2.6233403492474623</v>
      </c>
      <c r="T2810">
        <v>70.229923083641339</v>
      </c>
      <c r="U2810">
        <v>0</v>
      </c>
      <c r="V2810">
        <v>0</v>
      </c>
    </row>
    <row r="2811" spans="1:22" x14ac:dyDescent="0.2">
      <c r="A2811"/>
      <c r="B2811">
        <v>71053</v>
      </c>
      <c r="C2811" t="s">
        <v>254</v>
      </c>
      <c r="D2811" t="s">
        <v>192</v>
      </c>
      <c r="E2811" t="s">
        <v>1272</v>
      </c>
      <c r="F2811" t="s">
        <v>87</v>
      </c>
      <c r="G2811">
        <v>2940.6988557438813</v>
      </c>
      <c r="H2811" t="s">
        <v>248</v>
      </c>
      <c r="I2811">
        <v>0</v>
      </c>
      <c r="J2811">
        <v>0</v>
      </c>
      <c r="K2811">
        <v>0</v>
      </c>
      <c r="L2811">
        <v>0</v>
      </c>
      <c r="M2811" t="s">
        <v>187</v>
      </c>
      <c r="N2811">
        <v>3719.4551876811101</v>
      </c>
      <c r="O2811" t="s">
        <v>248</v>
      </c>
      <c r="P2811" t="b">
        <v>1</v>
      </c>
      <c r="Q2811">
        <v>5158.5585917445824</v>
      </c>
      <c r="R2811">
        <v>25252.458831977066</v>
      </c>
      <c r="S2811">
        <v>-2.6469707212348923</v>
      </c>
      <c r="T2811">
        <v>69.992281679843373</v>
      </c>
      <c r="U2811">
        <v>0</v>
      </c>
      <c r="V2811">
        <v>0</v>
      </c>
    </row>
    <row r="2812" spans="1:22" x14ac:dyDescent="0.2">
      <c r="A2812"/>
      <c r="B2812">
        <v>71053</v>
      </c>
      <c r="C2812" t="s">
        <v>254</v>
      </c>
      <c r="D2812" t="s">
        <v>192</v>
      </c>
      <c r="E2812" t="s">
        <v>1272</v>
      </c>
      <c r="F2812" t="s">
        <v>87</v>
      </c>
      <c r="G2812">
        <v>2942.6669512981512</v>
      </c>
      <c r="H2812" t="s">
        <v>248</v>
      </c>
      <c r="M2812" t="s">
        <v>187</v>
      </c>
      <c r="N2812">
        <v>3719.4551876811101</v>
      </c>
      <c r="O2812" t="s">
        <v>248</v>
      </c>
      <c r="P2812" t="b">
        <v>1</v>
      </c>
      <c r="Q2812">
        <v>5158.5585917445824</v>
      </c>
      <c r="R2812">
        <v>25252.458831977066</v>
      </c>
      <c r="S2812">
        <v>-2.6469707212348923</v>
      </c>
      <c r="T2812">
        <v>69.992281679843373</v>
      </c>
      <c r="U2812">
        <v>0</v>
      </c>
      <c r="V2812">
        <v>0</v>
      </c>
    </row>
    <row r="2813" spans="1:22" x14ac:dyDescent="0.2">
      <c r="A2813"/>
      <c r="B2813">
        <v>71054</v>
      </c>
      <c r="C2813" t="s">
        <v>255</v>
      </c>
      <c r="D2813" t="s">
        <v>192</v>
      </c>
      <c r="E2813" t="s">
        <v>1272</v>
      </c>
      <c r="F2813" t="s">
        <v>87</v>
      </c>
      <c r="G2813">
        <v>2942.6669512981512</v>
      </c>
      <c r="H2813" t="s">
        <v>248</v>
      </c>
      <c r="I2813">
        <v>0</v>
      </c>
      <c r="J2813">
        <v>0</v>
      </c>
      <c r="K2813">
        <v>0</v>
      </c>
      <c r="L2813">
        <v>0</v>
      </c>
      <c r="M2813" t="s">
        <v>187</v>
      </c>
      <c r="N2813">
        <v>3721.42328323538</v>
      </c>
      <c r="O2813" t="s">
        <v>248</v>
      </c>
      <c r="P2813" t="b">
        <v>1</v>
      </c>
      <c r="Q2813">
        <v>5159.2318643508625</v>
      </c>
      <c r="R2813">
        <v>25254.308174251077</v>
      </c>
      <c r="S2813">
        <v>-2.6530638715311299</v>
      </c>
      <c r="T2813">
        <v>69.998609094527779</v>
      </c>
      <c r="U2813">
        <v>0</v>
      </c>
      <c r="V2813">
        <v>0</v>
      </c>
    </row>
    <row r="2814" spans="1:22" x14ac:dyDescent="0.2">
      <c r="A2814"/>
      <c r="B2814">
        <v>71054</v>
      </c>
      <c r="C2814" t="s">
        <v>255</v>
      </c>
      <c r="D2814" t="s">
        <v>192</v>
      </c>
      <c r="E2814" t="s">
        <v>1272</v>
      </c>
      <c r="F2814" t="s">
        <v>87</v>
      </c>
      <c r="G2814">
        <v>3792.8153473946218</v>
      </c>
      <c r="H2814" t="s">
        <v>248</v>
      </c>
      <c r="M2814" t="s">
        <v>187</v>
      </c>
      <c r="N2814">
        <v>3721.42328323538</v>
      </c>
      <c r="O2814" t="s">
        <v>248</v>
      </c>
      <c r="P2814" t="b">
        <v>1</v>
      </c>
      <c r="Q2814">
        <v>5159.2318643508625</v>
      </c>
      <c r="R2814">
        <v>25254.308174251077</v>
      </c>
      <c r="S2814">
        <v>-2.6530638715311299</v>
      </c>
      <c r="T2814">
        <v>69.998609094527779</v>
      </c>
      <c r="U2814">
        <v>0</v>
      </c>
      <c r="V2814">
        <v>0</v>
      </c>
    </row>
    <row r="2815" spans="1:22" x14ac:dyDescent="0.2">
      <c r="A2815"/>
      <c r="B2815">
        <v>71055</v>
      </c>
      <c r="C2815" t="s">
        <v>256</v>
      </c>
      <c r="D2815" t="s">
        <v>192</v>
      </c>
      <c r="E2815" t="s">
        <v>1272</v>
      </c>
      <c r="F2815" t="s">
        <v>87</v>
      </c>
      <c r="G2815">
        <v>3792.8153473946218</v>
      </c>
      <c r="H2815" t="s">
        <v>248</v>
      </c>
      <c r="I2815">
        <v>0</v>
      </c>
      <c r="J2815">
        <v>0</v>
      </c>
      <c r="K2815">
        <v>0</v>
      </c>
      <c r="L2815">
        <v>0</v>
      </c>
      <c r="M2815" t="s">
        <v>187</v>
      </c>
      <c r="N2815">
        <v>4571.5716793318497</v>
      </c>
      <c r="O2815" t="s">
        <v>248</v>
      </c>
      <c r="P2815" t="b">
        <v>1</v>
      </c>
      <c r="Q2815">
        <v>5309.8057328108225</v>
      </c>
      <c r="R2815">
        <v>26088.682087281624</v>
      </c>
      <c r="S2815">
        <v>-2.3453798657534342</v>
      </c>
      <c r="T2815">
        <v>82.350051000578546</v>
      </c>
      <c r="U2815">
        <v>0</v>
      </c>
      <c r="V2815">
        <v>0</v>
      </c>
    </row>
    <row r="2816" spans="1:22" x14ac:dyDescent="0.2">
      <c r="A2816"/>
      <c r="B2816">
        <v>71055</v>
      </c>
      <c r="C2816" t="s">
        <v>256</v>
      </c>
      <c r="D2816" t="s">
        <v>192</v>
      </c>
      <c r="E2816" t="s">
        <v>1272</v>
      </c>
      <c r="F2816" t="s">
        <v>87</v>
      </c>
      <c r="G2816">
        <v>3986.8892500003317</v>
      </c>
      <c r="H2816" t="s">
        <v>248</v>
      </c>
      <c r="M2816" t="s">
        <v>187</v>
      </c>
      <c r="N2816">
        <v>4571.5716793318497</v>
      </c>
      <c r="O2816" t="s">
        <v>248</v>
      </c>
      <c r="P2816" t="b">
        <v>1</v>
      </c>
      <c r="Q2816">
        <v>5309.8057328108225</v>
      </c>
      <c r="R2816">
        <v>26088.682087281624</v>
      </c>
      <c r="S2816">
        <v>-2.3453798657534342</v>
      </c>
      <c r="T2816">
        <v>82.350051000578546</v>
      </c>
      <c r="U2816">
        <v>0</v>
      </c>
      <c r="V2816">
        <v>0</v>
      </c>
    </row>
    <row r="2817" spans="1:22" x14ac:dyDescent="0.2">
      <c r="A2817"/>
      <c r="B2817">
        <v>71056</v>
      </c>
      <c r="C2817" t="s">
        <v>257</v>
      </c>
      <c r="D2817" t="s">
        <v>192</v>
      </c>
      <c r="E2817" t="s">
        <v>1272</v>
      </c>
      <c r="F2817" t="s">
        <v>87</v>
      </c>
      <c r="G2817">
        <v>3986.8892500003317</v>
      </c>
      <c r="H2817" t="s">
        <v>248</v>
      </c>
      <c r="I2817">
        <v>0</v>
      </c>
      <c r="J2817">
        <v>0</v>
      </c>
      <c r="K2817">
        <v>0</v>
      </c>
      <c r="L2817">
        <v>0</v>
      </c>
      <c r="M2817" t="s">
        <v>187</v>
      </c>
      <c r="N2817">
        <v>4765.6455819375597</v>
      </c>
      <c r="O2817" t="s">
        <v>248</v>
      </c>
      <c r="P2817" t="b">
        <v>1</v>
      </c>
      <c r="Q2817">
        <v>5335.5789854006962</v>
      </c>
      <c r="R2817">
        <v>26281.037014862424</v>
      </c>
      <c r="S2817">
        <v>-2.3630310707045417</v>
      </c>
      <c r="T2817">
        <v>82.372439384539561</v>
      </c>
      <c r="U2817">
        <v>0</v>
      </c>
      <c r="V2817">
        <v>0</v>
      </c>
    </row>
    <row r="2818" spans="1:22" x14ac:dyDescent="0.2">
      <c r="A2818"/>
      <c r="B2818">
        <v>71056</v>
      </c>
      <c r="C2818" t="s">
        <v>257</v>
      </c>
      <c r="D2818" t="s">
        <v>192</v>
      </c>
      <c r="E2818" t="s">
        <v>1272</v>
      </c>
      <c r="F2818" t="s">
        <v>87</v>
      </c>
      <c r="G2818">
        <v>5509.2603636102822</v>
      </c>
      <c r="H2818" t="s">
        <v>248</v>
      </c>
      <c r="M2818" t="s">
        <v>187</v>
      </c>
      <c r="N2818">
        <v>4765.6455819375597</v>
      </c>
      <c r="O2818" t="s">
        <v>248</v>
      </c>
      <c r="P2818" t="b">
        <v>1</v>
      </c>
      <c r="Q2818">
        <v>5335.5789854006962</v>
      </c>
      <c r="R2818">
        <v>26281.037014862424</v>
      </c>
      <c r="S2818">
        <v>-2.3630310707045417</v>
      </c>
      <c r="T2818">
        <v>82.372439384539561</v>
      </c>
      <c r="U2818">
        <v>0</v>
      </c>
      <c r="V2818">
        <v>0</v>
      </c>
    </row>
    <row r="2819" spans="1:22" x14ac:dyDescent="0.2">
      <c r="A2819"/>
      <c r="B2819">
        <v>71057</v>
      </c>
      <c r="C2819" t="s">
        <v>258</v>
      </c>
      <c r="D2819" t="s">
        <v>192</v>
      </c>
      <c r="E2819" t="s">
        <v>1272</v>
      </c>
      <c r="F2819" t="s">
        <v>87</v>
      </c>
      <c r="G2819">
        <v>5509.2603636102822</v>
      </c>
      <c r="H2819" t="s">
        <v>248</v>
      </c>
      <c r="I2819">
        <v>0</v>
      </c>
      <c r="J2819">
        <v>0</v>
      </c>
      <c r="K2819">
        <v>0</v>
      </c>
      <c r="L2819">
        <v>0</v>
      </c>
      <c r="M2819" t="s">
        <v>187</v>
      </c>
      <c r="N2819">
        <v>6288.0166955475097</v>
      </c>
      <c r="O2819" t="s">
        <v>248</v>
      </c>
      <c r="P2819" t="b">
        <v>1</v>
      </c>
      <c r="Q2819">
        <v>5606.7629094862841</v>
      </c>
      <c r="R2819">
        <v>27778.651684550048</v>
      </c>
      <c r="S2819">
        <v>5.2486928083249085</v>
      </c>
      <c r="T2819">
        <v>80.322389051212397</v>
      </c>
      <c r="U2819">
        <v>0</v>
      </c>
      <c r="V2819">
        <v>0</v>
      </c>
    </row>
    <row r="2820" spans="1:22" x14ac:dyDescent="0.2">
      <c r="A2820"/>
      <c r="B2820">
        <v>71057</v>
      </c>
      <c r="C2820" t="s">
        <v>258</v>
      </c>
      <c r="D2820" t="s">
        <v>192</v>
      </c>
      <c r="E2820" t="s">
        <v>1272</v>
      </c>
      <c r="F2820" t="s">
        <v>87</v>
      </c>
      <c r="G2820">
        <v>5543.7020358098525</v>
      </c>
      <c r="H2820" t="s">
        <v>248</v>
      </c>
      <c r="M2820" t="s">
        <v>187</v>
      </c>
      <c r="N2820">
        <v>6288.0166955475097</v>
      </c>
      <c r="O2820" t="s">
        <v>248</v>
      </c>
      <c r="P2820" t="b">
        <v>1</v>
      </c>
      <c r="Q2820">
        <v>5606.7629094862841</v>
      </c>
      <c r="R2820">
        <v>27778.651684550048</v>
      </c>
      <c r="S2820">
        <v>5.2486928083249085</v>
      </c>
      <c r="T2820">
        <v>80.322389051212397</v>
      </c>
      <c r="U2820">
        <v>0</v>
      </c>
      <c r="V2820">
        <v>0</v>
      </c>
    </row>
    <row r="2821" spans="1:22" x14ac:dyDescent="0.2">
      <c r="A2821"/>
      <c r="B2821">
        <v>71058</v>
      </c>
      <c r="C2821" t="s">
        <v>259</v>
      </c>
      <c r="D2821" t="s">
        <v>192</v>
      </c>
      <c r="E2821" t="s">
        <v>1272</v>
      </c>
      <c r="F2821" t="s">
        <v>87</v>
      </c>
      <c r="G2821">
        <v>5543.7020358098525</v>
      </c>
      <c r="H2821" t="s">
        <v>248</v>
      </c>
      <c r="I2821">
        <v>0</v>
      </c>
      <c r="J2821">
        <v>0</v>
      </c>
      <c r="K2821">
        <v>0</v>
      </c>
      <c r="L2821">
        <v>0</v>
      </c>
      <c r="M2821" t="s">
        <v>187</v>
      </c>
      <c r="N2821">
        <v>6322.45836774708</v>
      </c>
      <c r="O2821" t="s">
        <v>248</v>
      </c>
      <c r="P2821" t="b">
        <v>1</v>
      </c>
      <c r="Q2821">
        <v>5612.3615889084849</v>
      </c>
      <c r="R2821">
        <v>27812.63509161133</v>
      </c>
      <c r="S2821">
        <v>5.2526349360680671</v>
      </c>
      <c r="T2821">
        <v>80.913203268836398</v>
      </c>
      <c r="U2821">
        <v>0</v>
      </c>
      <c r="V2821">
        <v>0</v>
      </c>
    </row>
    <row r="2822" spans="1:22" x14ac:dyDescent="0.2">
      <c r="A2822"/>
      <c r="B2822">
        <v>71058</v>
      </c>
      <c r="C2822" t="s">
        <v>259</v>
      </c>
      <c r="D2822" t="s">
        <v>192</v>
      </c>
      <c r="E2822" t="s">
        <v>1272</v>
      </c>
      <c r="F2822" t="s">
        <v>89</v>
      </c>
      <c r="G2822">
        <v>96.072581642530167</v>
      </c>
      <c r="H2822" t="s">
        <v>248</v>
      </c>
      <c r="M2822" t="s">
        <v>187</v>
      </c>
      <c r="N2822">
        <v>6322.45836774708</v>
      </c>
      <c r="O2822" t="s">
        <v>248</v>
      </c>
      <c r="P2822" t="b">
        <v>1</v>
      </c>
      <c r="Q2822">
        <v>5612.3615889084849</v>
      </c>
      <c r="R2822">
        <v>27812.63509161133</v>
      </c>
      <c r="S2822">
        <v>5.2526349360680671</v>
      </c>
      <c r="T2822">
        <v>80.913203268836398</v>
      </c>
      <c r="U2822">
        <v>0</v>
      </c>
      <c r="V2822">
        <v>0</v>
      </c>
    </row>
    <row r="2823" spans="1:22" x14ac:dyDescent="0.2">
      <c r="A2823"/>
      <c r="B2823">
        <v>71058</v>
      </c>
      <c r="C2823" t="s">
        <v>259</v>
      </c>
      <c r="D2823" t="s">
        <v>192</v>
      </c>
      <c r="E2823" t="s">
        <v>1272</v>
      </c>
      <c r="F2823" t="s">
        <v>218</v>
      </c>
      <c r="G2823">
        <v>39.7899999999999</v>
      </c>
      <c r="H2823" t="s">
        <v>248</v>
      </c>
      <c r="M2823" t="s">
        <v>187</v>
      </c>
      <c r="N2823">
        <v>6322.45836774708</v>
      </c>
      <c r="O2823" t="s">
        <v>248</v>
      </c>
      <c r="P2823" t="b">
        <v>1</v>
      </c>
      <c r="Q2823">
        <v>5612.3615889084849</v>
      </c>
      <c r="R2823">
        <v>27812.63509161133</v>
      </c>
      <c r="S2823">
        <v>5.2526349360680671</v>
      </c>
      <c r="T2823">
        <v>80.913203268836398</v>
      </c>
      <c r="U2823">
        <v>0</v>
      </c>
      <c r="V2823">
        <v>0</v>
      </c>
    </row>
    <row r="2824" spans="1:22" x14ac:dyDescent="0.2">
      <c r="A2824"/>
      <c r="B2824">
        <v>71059</v>
      </c>
      <c r="C2824" t="s">
        <v>260</v>
      </c>
      <c r="D2824" t="s">
        <v>192</v>
      </c>
      <c r="E2824" t="s">
        <v>1272</v>
      </c>
      <c r="F2824" t="s">
        <v>89</v>
      </c>
      <c r="G2824">
        <v>96.072581642530167</v>
      </c>
      <c r="H2824" t="s">
        <v>248</v>
      </c>
      <c r="I2824">
        <v>0</v>
      </c>
      <c r="J2824">
        <v>0</v>
      </c>
      <c r="K2824">
        <v>0</v>
      </c>
      <c r="L2824">
        <v>0</v>
      </c>
      <c r="M2824" t="s">
        <v>187</v>
      </c>
      <c r="N2824">
        <v>6433.2916660465798</v>
      </c>
      <c r="O2824" t="s">
        <v>248</v>
      </c>
      <c r="P2824" t="b">
        <v>1</v>
      </c>
      <c r="Q2824">
        <v>5630.0927495372625</v>
      </c>
      <c r="R2824">
        <v>27922.040791886502</v>
      </c>
      <c r="S2824">
        <v>5.2596734787518509</v>
      </c>
      <c r="T2824">
        <v>80.705901240005673</v>
      </c>
      <c r="U2824">
        <v>0</v>
      </c>
      <c r="V2824">
        <v>0</v>
      </c>
    </row>
    <row r="2825" spans="1:22" x14ac:dyDescent="0.2">
      <c r="A2825"/>
      <c r="B2825">
        <v>71059</v>
      </c>
      <c r="C2825" t="s">
        <v>260</v>
      </c>
      <c r="D2825" t="s">
        <v>192</v>
      </c>
      <c r="E2825" t="s">
        <v>1272</v>
      </c>
      <c r="F2825" t="s">
        <v>89</v>
      </c>
      <c r="G2825">
        <v>301.24054664460073</v>
      </c>
      <c r="H2825" t="s">
        <v>248</v>
      </c>
      <c r="M2825" t="s">
        <v>187</v>
      </c>
      <c r="N2825">
        <v>6433.2916660465798</v>
      </c>
      <c r="O2825" t="s">
        <v>248</v>
      </c>
      <c r="P2825" t="b">
        <v>1</v>
      </c>
      <c r="Q2825">
        <v>5630.0927495372625</v>
      </c>
      <c r="R2825">
        <v>27922.040791886502</v>
      </c>
      <c r="S2825">
        <v>5.2596734787518509</v>
      </c>
      <c r="T2825">
        <v>80.705901240005673</v>
      </c>
      <c r="U2825">
        <v>0</v>
      </c>
      <c r="V2825">
        <v>0</v>
      </c>
    </row>
    <row r="2826" spans="1:22" x14ac:dyDescent="0.2">
      <c r="A2826"/>
      <c r="B2826">
        <v>71060</v>
      </c>
      <c r="C2826" t="s">
        <v>261</v>
      </c>
      <c r="D2826" t="s">
        <v>192</v>
      </c>
      <c r="E2826" t="s">
        <v>1272</v>
      </c>
      <c r="F2826" t="s">
        <v>89</v>
      </c>
      <c r="G2826">
        <v>301.24054664460073</v>
      </c>
      <c r="H2826" t="s">
        <v>248</v>
      </c>
      <c r="I2826">
        <v>0</v>
      </c>
      <c r="J2826">
        <v>0</v>
      </c>
      <c r="K2826">
        <v>0</v>
      </c>
      <c r="L2826">
        <v>0</v>
      </c>
      <c r="M2826" t="s">
        <v>187</v>
      </c>
      <c r="N2826">
        <v>6638.4596310486504</v>
      </c>
      <c r="O2826" t="s">
        <v>248</v>
      </c>
      <c r="P2826" t="b">
        <v>1</v>
      </c>
      <c r="Q2826">
        <v>5663.3772388465632</v>
      </c>
      <c r="R2826">
        <v>28124.490867936958</v>
      </c>
      <c r="S2826">
        <v>5.2423008497694363</v>
      </c>
      <c r="T2826">
        <v>80.682373681029077</v>
      </c>
      <c r="U2826">
        <v>0</v>
      </c>
      <c r="V2826">
        <v>0</v>
      </c>
    </row>
    <row r="2827" spans="1:22" x14ac:dyDescent="0.2">
      <c r="A2827"/>
      <c r="B2827">
        <v>71060</v>
      </c>
      <c r="C2827" t="s">
        <v>261</v>
      </c>
      <c r="D2827" t="s">
        <v>192</v>
      </c>
      <c r="E2827" t="s">
        <v>1272</v>
      </c>
      <c r="F2827" t="s">
        <v>91</v>
      </c>
      <c r="G2827">
        <v>14.961612503694369</v>
      </c>
      <c r="H2827" t="s">
        <v>248</v>
      </c>
      <c r="M2827" t="s">
        <v>187</v>
      </c>
      <c r="N2827">
        <v>6638.4596310486504</v>
      </c>
      <c r="O2827" t="s">
        <v>248</v>
      </c>
      <c r="P2827" t="b">
        <v>1</v>
      </c>
      <c r="Q2827">
        <v>5663.3772388465632</v>
      </c>
      <c r="R2827">
        <v>28124.490867936958</v>
      </c>
      <c r="S2827">
        <v>5.2423008497694363</v>
      </c>
      <c r="T2827">
        <v>80.682373681029077</v>
      </c>
      <c r="U2827">
        <v>0</v>
      </c>
      <c r="V2827">
        <v>0</v>
      </c>
    </row>
    <row r="2828" spans="1:22" x14ac:dyDescent="0.2">
      <c r="A2828"/>
      <c r="B2828">
        <v>71060</v>
      </c>
      <c r="C2828" t="s">
        <v>261</v>
      </c>
      <c r="D2828" t="s">
        <v>192</v>
      </c>
      <c r="E2828" t="s">
        <v>1272</v>
      </c>
      <c r="F2828" t="s">
        <v>221</v>
      </c>
      <c r="G2828">
        <v>39.7899999999999</v>
      </c>
      <c r="H2828" t="s">
        <v>248</v>
      </c>
      <c r="M2828" t="s">
        <v>187</v>
      </c>
      <c r="N2828">
        <v>6638.4596310486504</v>
      </c>
      <c r="O2828" t="s">
        <v>248</v>
      </c>
      <c r="P2828" t="b">
        <v>1</v>
      </c>
      <c r="Q2828">
        <v>5663.3772388465632</v>
      </c>
      <c r="R2828">
        <v>28124.490867936958</v>
      </c>
      <c r="S2828">
        <v>5.2423008497694363</v>
      </c>
      <c r="T2828">
        <v>80.682373681029077</v>
      </c>
      <c r="U2828">
        <v>0</v>
      </c>
      <c r="V2828">
        <v>0</v>
      </c>
    </row>
    <row r="2829" spans="1:22" x14ac:dyDescent="0.2">
      <c r="A2829"/>
      <c r="B2829">
        <v>71061</v>
      </c>
      <c r="C2829" t="s">
        <v>262</v>
      </c>
      <c r="D2829" t="s">
        <v>192</v>
      </c>
      <c r="E2829" t="s">
        <v>1272</v>
      </c>
      <c r="F2829" t="s">
        <v>91</v>
      </c>
      <c r="G2829">
        <v>14.961612503694369</v>
      </c>
      <c r="H2829" t="s">
        <v>248</v>
      </c>
      <c r="I2829">
        <v>0</v>
      </c>
      <c r="J2829">
        <v>0</v>
      </c>
      <c r="K2829">
        <v>0</v>
      </c>
      <c r="L2829">
        <v>0</v>
      </c>
      <c r="M2829" t="s">
        <v>187</v>
      </c>
      <c r="N2829">
        <v>6753.4163558325399</v>
      </c>
      <c r="O2829" t="s">
        <v>248</v>
      </c>
      <c r="P2829" t="b">
        <v>1</v>
      </c>
      <c r="Q2829">
        <v>5681.8922099959227</v>
      </c>
      <c r="R2829">
        <v>28237.946758784208</v>
      </c>
      <c r="S2829">
        <v>5.2456958735516803</v>
      </c>
      <c r="T2829">
        <v>80.65271195451102</v>
      </c>
      <c r="U2829">
        <v>0</v>
      </c>
      <c r="V2829">
        <v>0</v>
      </c>
    </row>
    <row r="2830" spans="1:22" x14ac:dyDescent="0.2">
      <c r="A2830"/>
      <c r="B2830">
        <v>71061</v>
      </c>
      <c r="C2830" t="s">
        <v>262</v>
      </c>
      <c r="D2830" t="s">
        <v>192</v>
      </c>
      <c r="E2830" t="s">
        <v>1272</v>
      </c>
      <c r="F2830" t="s">
        <v>91</v>
      </c>
      <c r="G2830">
        <v>64.833654182714554</v>
      </c>
      <c r="H2830" t="s">
        <v>248</v>
      </c>
      <c r="M2830" t="s">
        <v>187</v>
      </c>
      <c r="N2830">
        <v>6753.4163558325399</v>
      </c>
      <c r="O2830" t="s">
        <v>248</v>
      </c>
      <c r="P2830" t="b">
        <v>1</v>
      </c>
      <c r="Q2830">
        <v>5681.8922099959227</v>
      </c>
      <c r="R2830">
        <v>28237.946758784208</v>
      </c>
      <c r="S2830">
        <v>5.2456958735516803</v>
      </c>
      <c r="T2830">
        <v>80.65271195451102</v>
      </c>
      <c r="U2830">
        <v>0</v>
      </c>
      <c r="V2830">
        <v>0</v>
      </c>
    </row>
    <row r="2831" spans="1:22" x14ac:dyDescent="0.2">
      <c r="A2831"/>
      <c r="B2831">
        <v>71062</v>
      </c>
      <c r="C2831" t="s">
        <v>263</v>
      </c>
      <c r="D2831" t="s">
        <v>192</v>
      </c>
      <c r="E2831" t="s">
        <v>1272</v>
      </c>
      <c r="F2831" t="s">
        <v>91</v>
      </c>
      <c r="G2831">
        <v>64.833654182714554</v>
      </c>
      <c r="H2831" t="s">
        <v>248</v>
      </c>
      <c r="I2831">
        <v>0</v>
      </c>
      <c r="J2831">
        <v>0</v>
      </c>
      <c r="K2831">
        <v>0</v>
      </c>
      <c r="L2831">
        <v>0</v>
      </c>
      <c r="M2831" t="s">
        <v>187</v>
      </c>
      <c r="N2831">
        <v>6803.2883975115601</v>
      </c>
      <c r="O2831" t="s">
        <v>248</v>
      </c>
      <c r="P2831" t="b">
        <v>1</v>
      </c>
      <c r="Q2831">
        <v>5689.6501023202509</v>
      </c>
      <c r="R2831">
        <v>28287.210810696582</v>
      </c>
      <c r="S2831">
        <v>5.1390242434616811</v>
      </c>
      <c r="T2831">
        <v>81.531042732483101</v>
      </c>
      <c r="U2831">
        <v>0</v>
      </c>
      <c r="V2831">
        <v>0</v>
      </c>
    </row>
    <row r="2832" spans="1:22" x14ac:dyDescent="0.2">
      <c r="A2832"/>
      <c r="B2832">
        <v>71062</v>
      </c>
      <c r="C2832" t="s">
        <v>263</v>
      </c>
      <c r="D2832" t="s">
        <v>192</v>
      </c>
      <c r="E2832" t="s">
        <v>1272</v>
      </c>
      <c r="F2832" t="s">
        <v>91</v>
      </c>
      <c r="G2832">
        <v>849.09145840199449</v>
      </c>
      <c r="H2832" t="s">
        <v>248</v>
      </c>
      <c r="M2832" t="s">
        <v>187</v>
      </c>
      <c r="N2832">
        <v>6803.2883975115601</v>
      </c>
      <c r="O2832" t="s">
        <v>248</v>
      </c>
      <c r="P2832" t="b">
        <v>1</v>
      </c>
      <c r="Q2832">
        <v>5689.6501023202509</v>
      </c>
      <c r="R2832">
        <v>28287.210810696582</v>
      </c>
      <c r="S2832">
        <v>5.1390242434616811</v>
      </c>
      <c r="T2832">
        <v>81.531042732483101</v>
      </c>
      <c r="U2832">
        <v>0</v>
      </c>
      <c r="V2832">
        <v>0</v>
      </c>
    </row>
    <row r="2833" spans="1:22" x14ac:dyDescent="0.2">
      <c r="A2833"/>
      <c r="B2833">
        <v>71063</v>
      </c>
      <c r="C2833" t="s">
        <v>264</v>
      </c>
      <c r="D2833" t="s">
        <v>192</v>
      </c>
      <c r="E2833" t="s">
        <v>1272</v>
      </c>
      <c r="F2833" t="s">
        <v>91</v>
      </c>
      <c r="G2833">
        <v>849.09145840199449</v>
      </c>
      <c r="H2833" t="s">
        <v>248</v>
      </c>
      <c r="I2833">
        <v>0</v>
      </c>
      <c r="J2833">
        <v>0</v>
      </c>
      <c r="K2833">
        <v>0</v>
      </c>
      <c r="L2833">
        <v>0</v>
      </c>
      <c r="M2833" t="s">
        <v>187</v>
      </c>
      <c r="N2833">
        <v>7587.54620173084</v>
      </c>
      <c r="O2833" t="s">
        <v>248</v>
      </c>
      <c r="P2833" t="b">
        <v>1</v>
      </c>
      <c r="Q2833">
        <v>5649.0418850380802</v>
      </c>
      <c r="R2833">
        <v>29059.586148152783</v>
      </c>
      <c r="S2833">
        <v>17.312182840889353</v>
      </c>
      <c r="T2833">
        <v>88.124648418114944</v>
      </c>
      <c r="U2833">
        <v>0</v>
      </c>
      <c r="V2833">
        <v>0</v>
      </c>
    </row>
    <row r="2834" spans="1:22" x14ac:dyDescent="0.2">
      <c r="A2834"/>
      <c r="B2834">
        <v>71063</v>
      </c>
      <c r="C2834" t="s">
        <v>264</v>
      </c>
      <c r="D2834" t="s">
        <v>192</v>
      </c>
      <c r="E2834" t="s">
        <v>1272</v>
      </c>
      <c r="F2834" t="s">
        <v>91</v>
      </c>
      <c r="G2834">
        <v>1045.8067396007243</v>
      </c>
      <c r="H2834" t="s">
        <v>248</v>
      </c>
      <c r="M2834" t="s">
        <v>187</v>
      </c>
      <c r="N2834">
        <v>7587.54620173084</v>
      </c>
      <c r="O2834" t="s">
        <v>248</v>
      </c>
      <c r="P2834" t="b">
        <v>1</v>
      </c>
      <c r="Q2834">
        <v>5649.0418850380802</v>
      </c>
      <c r="R2834">
        <v>29059.586148152783</v>
      </c>
      <c r="S2834">
        <v>17.312182840889353</v>
      </c>
      <c r="T2834">
        <v>88.124648418114944</v>
      </c>
      <c r="U2834">
        <v>0</v>
      </c>
      <c r="V2834">
        <v>0</v>
      </c>
    </row>
    <row r="2835" spans="1:22" x14ac:dyDescent="0.2">
      <c r="A2835"/>
      <c r="B2835">
        <v>71064</v>
      </c>
      <c r="C2835" t="s">
        <v>265</v>
      </c>
      <c r="D2835" t="s">
        <v>192</v>
      </c>
      <c r="E2835" t="s">
        <v>1272</v>
      </c>
      <c r="F2835" t="s">
        <v>91</v>
      </c>
      <c r="G2835">
        <v>1045.8067396007243</v>
      </c>
      <c r="H2835" t="s">
        <v>248</v>
      </c>
      <c r="I2835">
        <v>0</v>
      </c>
      <c r="J2835">
        <v>0</v>
      </c>
      <c r="K2835">
        <v>0</v>
      </c>
      <c r="L2835">
        <v>0</v>
      </c>
      <c r="M2835" t="s">
        <v>187</v>
      </c>
      <c r="N2835">
        <v>7784.2614829295699</v>
      </c>
      <c r="O2835" t="s">
        <v>248</v>
      </c>
      <c r="P2835" t="b">
        <v>1</v>
      </c>
      <c r="Q2835">
        <v>5656.5345753549254</v>
      </c>
      <c r="R2835">
        <v>29256.157997561699</v>
      </c>
      <c r="S2835">
        <v>17.315472273849924</v>
      </c>
      <c r="T2835">
        <v>87.645461406186655</v>
      </c>
      <c r="U2835">
        <v>0</v>
      </c>
      <c r="V2835">
        <v>0</v>
      </c>
    </row>
    <row r="2836" spans="1:22" x14ac:dyDescent="0.2">
      <c r="A2836"/>
      <c r="B2836">
        <v>71064</v>
      </c>
      <c r="C2836" t="s">
        <v>265</v>
      </c>
      <c r="D2836" t="s">
        <v>192</v>
      </c>
      <c r="E2836" t="s">
        <v>1272</v>
      </c>
      <c r="F2836" t="s">
        <v>92</v>
      </c>
      <c r="G2836">
        <v>395.47992470674103</v>
      </c>
      <c r="H2836" t="s">
        <v>248</v>
      </c>
      <c r="M2836" t="s">
        <v>187</v>
      </c>
      <c r="N2836">
        <v>7784.2614829295699</v>
      </c>
      <c r="O2836" t="s">
        <v>248</v>
      </c>
      <c r="P2836" t="b">
        <v>1</v>
      </c>
      <c r="Q2836">
        <v>5656.5345753549254</v>
      </c>
      <c r="R2836">
        <v>29256.157997561699</v>
      </c>
      <c r="S2836">
        <v>17.315472273849924</v>
      </c>
      <c r="T2836">
        <v>87.645461406186655</v>
      </c>
      <c r="U2836">
        <v>0</v>
      </c>
      <c r="V2836">
        <v>0</v>
      </c>
    </row>
    <row r="2837" spans="1:22" x14ac:dyDescent="0.2">
      <c r="A2837"/>
      <c r="B2837">
        <v>71065</v>
      </c>
      <c r="C2837" t="s">
        <v>266</v>
      </c>
      <c r="D2837" t="s">
        <v>192</v>
      </c>
      <c r="E2837" t="s">
        <v>1272</v>
      </c>
      <c r="F2837" t="s">
        <v>92</v>
      </c>
      <c r="G2837">
        <v>395.47992470674103</v>
      </c>
      <c r="H2837" t="s">
        <v>248</v>
      </c>
      <c r="I2837">
        <v>0</v>
      </c>
      <c r="J2837">
        <v>0</v>
      </c>
      <c r="K2837">
        <v>0</v>
      </c>
      <c r="L2837">
        <v>0</v>
      </c>
      <c r="M2837" t="s">
        <v>187</v>
      </c>
      <c r="N2837">
        <v>8411.9057360605093</v>
      </c>
      <c r="O2837" t="s">
        <v>248</v>
      </c>
      <c r="P2837" t="b">
        <v>1</v>
      </c>
      <c r="Q2837">
        <v>5711.3561867472099</v>
      </c>
      <c r="R2837">
        <v>29880.667111935381</v>
      </c>
      <c r="S2837">
        <v>8.8548465715715228</v>
      </c>
      <c r="T2837">
        <v>87.913397383410413</v>
      </c>
      <c r="U2837">
        <v>0</v>
      </c>
      <c r="V2837">
        <v>0</v>
      </c>
    </row>
    <row r="2838" spans="1:22" x14ac:dyDescent="0.2">
      <c r="A2838"/>
      <c r="B2838">
        <v>71065</v>
      </c>
      <c r="C2838" t="s">
        <v>266</v>
      </c>
      <c r="D2838" t="s">
        <v>192</v>
      </c>
      <c r="E2838" t="s">
        <v>1272</v>
      </c>
      <c r="F2838" t="s">
        <v>92</v>
      </c>
      <c r="G2838">
        <v>588.08142585081055</v>
      </c>
      <c r="H2838" t="s">
        <v>248</v>
      </c>
      <c r="M2838" t="s">
        <v>187</v>
      </c>
      <c r="N2838">
        <v>8411.9057360605093</v>
      </c>
      <c r="O2838" t="s">
        <v>248</v>
      </c>
      <c r="P2838" t="b">
        <v>1</v>
      </c>
      <c r="Q2838">
        <v>5711.3561867472099</v>
      </c>
      <c r="R2838">
        <v>29880.667111935381</v>
      </c>
      <c r="S2838">
        <v>8.8548465715715228</v>
      </c>
      <c r="T2838">
        <v>87.913397383410413</v>
      </c>
      <c r="U2838">
        <v>0</v>
      </c>
      <c r="V2838">
        <v>0</v>
      </c>
    </row>
    <row r="2839" spans="1:22" x14ac:dyDescent="0.2">
      <c r="A2839"/>
      <c r="B2839">
        <v>71066</v>
      </c>
      <c r="C2839" t="s">
        <v>267</v>
      </c>
      <c r="D2839" t="s">
        <v>192</v>
      </c>
      <c r="E2839" t="s">
        <v>1272</v>
      </c>
      <c r="F2839" t="s">
        <v>92</v>
      </c>
      <c r="G2839">
        <v>588.08142585081055</v>
      </c>
      <c r="H2839" t="s">
        <v>248</v>
      </c>
      <c r="I2839">
        <v>0</v>
      </c>
      <c r="J2839">
        <v>0</v>
      </c>
      <c r="K2839">
        <v>0</v>
      </c>
      <c r="L2839">
        <v>0</v>
      </c>
      <c r="M2839" t="s">
        <v>187</v>
      </c>
      <c r="N2839">
        <v>8604.5072372045797</v>
      </c>
      <c r="O2839" t="s">
        <v>248</v>
      </c>
      <c r="P2839" t="b">
        <v>1</v>
      </c>
      <c r="Q2839">
        <v>5717.9450138921375</v>
      </c>
      <c r="R2839">
        <v>30073.154501876274</v>
      </c>
      <c r="S2839">
        <v>8.5873351749628455</v>
      </c>
      <c r="T2839">
        <v>88.197084561557247</v>
      </c>
      <c r="U2839">
        <v>0</v>
      </c>
      <c r="V2839">
        <v>0</v>
      </c>
    </row>
    <row r="2840" spans="1:22" x14ac:dyDescent="0.2">
      <c r="A2840"/>
      <c r="B2840">
        <v>71066</v>
      </c>
      <c r="C2840" t="s">
        <v>267</v>
      </c>
      <c r="D2840" t="s">
        <v>192</v>
      </c>
      <c r="E2840" t="s">
        <v>1272</v>
      </c>
      <c r="F2840" t="s">
        <v>92</v>
      </c>
      <c r="G2840">
        <v>590.04454379133108</v>
      </c>
      <c r="H2840" t="s">
        <v>248</v>
      </c>
      <c r="M2840" t="s">
        <v>187</v>
      </c>
      <c r="N2840">
        <v>8604.5072372045797</v>
      </c>
      <c r="O2840" t="s">
        <v>248</v>
      </c>
      <c r="P2840" t="b">
        <v>1</v>
      </c>
      <c r="Q2840">
        <v>5717.9450138921375</v>
      </c>
      <c r="R2840">
        <v>30073.154501876274</v>
      </c>
      <c r="S2840">
        <v>8.5873351749628455</v>
      </c>
      <c r="T2840">
        <v>88.197084561557247</v>
      </c>
      <c r="U2840">
        <v>0</v>
      </c>
      <c r="V2840">
        <v>0</v>
      </c>
    </row>
    <row r="2841" spans="1:22" x14ac:dyDescent="0.2">
      <c r="A2841"/>
      <c r="B2841">
        <v>71067</v>
      </c>
      <c r="C2841" t="s">
        <v>268</v>
      </c>
      <c r="D2841" t="s">
        <v>192</v>
      </c>
      <c r="E2841" t="s">
        <v>1272</v>
      </c>
      <c r="F2841" t="s">
        <v>92</v>
      </c>
      <c r="G2841">
        <v>590.04454379133108</v>
      </c>
      <c r="H2841" t="s">
        <v>248</v>
      </c>
      <c r="I2841">
        <v>0</v>
      </c>
      <c r="J2841">
        <v>0</v>
      </c>
      <c r="K2841">
        <v>0</v>
      </c>
      <c r="L2841">
        <v>0</v>
      </c>
      <c r="M2841" t="s">
        <v>187</v>
      </c>
      <c r="N2841">
        <v>8606.4703551451003</v>
      </c>
      <c r="O2841" t="s">
        <v>248</v>
      </c>
      <c r="P2841" t="b">
        <v>1</v>
      </c>
      <c r="Q2841">
        <v>5718.0067284467541</v>
      </c>
      <c r="R2841">
        <v>30075.116462883259</v>
      </c>
      <c r="S2841">
        <v>8.5602759140456328</v>
      </c>
      <c r="T2841">
        <v>88.19947327007938</v>
      </c>
      <c r="U2841">
        <v>0</v>
      </c>
      <c r="V2841">
        <v>0</v>
      </c>
    </row>
    <row r="2842" spans="1:22" x14ac:dyDescent="0.2">
      <c r="A2842"/>
      <c r="B2842">
        <v>71067</v>
      </c>
      <c r="C2842" t="s">
        <v>268</v>
      </c>
      <c r="D2842" t="s">
        <v>192</v>
      </c>
      <c r="E2842" t="s">
        <v>1272</v>
      </c>
      <c r="F2842" t="s">
        <v>92</v>
      </c>
      <c r="G2842">
        <v>1641.6082998083994</v>
      </c>
      <c r="H2842" t="s">
        <v>248</v>
      </c>
      <c r="M2842" t="s">
        <v>187</v>
      </c>
      <c r="N2842">
        <v>8606.4703551451003</v>
      </c>
      <c r="O2842" t="s">
        <v>248</v>
      </c>
      <c r="P2842" t="b">
        <v>1</v>
      </c>
      <c r="Q2842">
        <v>5718.0067284467541</v>
      </c>
      <c r="R2842">
        <v>30075.116462883259</v>
      </c>
      <c r="S2842">
        <v>8.5602759140456328</v>
      </c>
      <c r="T2842">
        <v>88.19947327007938</v>
      </c>
      <c r="U2842">
        <v>0</v>
      </c>
      <c r="V2842">
        <v>0</v>
      </c>
    </row>
    <row r="2843" spans="1:22" x14ac:dyDescent="0.2">
      <c r="A2843"/>
      <c r="B2843">
        <v>71068</v>
      </c>
      <c r="C2843" t="s">
        <v>269</v>
      </c>
      <c r="D2843" t="s">
        <v>192</v>
      </c>
      <c r="E2843" t="s">
        <v>1272</v>
      </c>
      <c r="F2843" t="s">
        <v>92</v>
      </c>
      <c r="G2843">
        <v>1641.6082998083994</v>
      </c>
      <c r="H2843" t="s">
        <v>248</v>
      </c>
      <c r="I2843">
        <v>0</v>
      </c>
      <c r="J2843">
        <v>0</v>
      </c>
      <c r="K2843">
        <v>0</v>
      </c>
      <c r="L2843">
        <v>0</v>
      </c>
      <c r="M2843" t="s">
        <v>187</v>
      </c>
      <c r="N2843">
        <v>9658.0341111621692</v>
      </c>
      <c r="O2843" t="s">
        <v>248</v>
      </c>
      <c r="P2843" t="b">
        <v>1</v>
      </c>
      <c r="Q2843">
        <v>5981.1841388081366</v>
      </c>
      <c r="R2843">
        <v>31066.72417891497</v>
      </c>
      <c r="S2843">
        <v>9.0485431209372376</v>
      </c>
      <c r="T2843">
        <v>76.732386597717664</v>
      </c>
      <c r="U2843">
        <v>0</v>
      </c>
      <c r="V2843">
        <v>0</v>
      </c>
    </row>
    <row r="2844" spans="1:22" x14ac:dyDescent="0.2">
      <c r="A2844"/>
      <c r="B2844">
        <v>71068</v>
      </c>
      <c r="C2844" t="s">
        <v>269</v>
      </c>
      <c r="D2844" t="s">
        <v>192</v>
      </c>
      <c r="E2844" t="s">
        <v>1272</v>
      </c>
      <c r="F2844" t="s">
        <v>92</v>
      </c>
      <c r="G2844">
        <v>1835.191359922731</v>
      </c>
      <c r="H2844" t="s">
        <v>248</v>
      </c>
      <c r="M2844" t="s">
        <v>187</v>
      </c>
      <c r="N2844">
        <v>9658.0341111621692</v>
      </c>
      <c r="O2844" t="s">
        <v>248</v>
      </c>
      <c r="P2844" t="b">
        <v>1</v>
      </c>
      <c r="Q2844">
        <v>5981.1841388081366</v>
      </c>
      <c r="R2844">
        <v>31066.72417891497</v>
      </c>
      <c r="S2844">
        <v>9.0485431209372376</v>
      </c>
      <c r="T2844">
        <v>76.732386597717664</v>
      </c>
      <c r="U2844">
        <v>0</v>
      </c>
      <c r="V2844">
        <v>0</v>
      </c>
    </row>
    <row r="2845" spans="1:22" x14ac:dyDescent="0.2">
      <c r="A2845"/>
      <c r="B2845">
        <v>71069</v>
      </c>
      <c r="C2845" t="s">
        <v>270</v>
      </c>
      <c r="D2845" t="s">
        <v>192</v>
      </c>
      <c r="E2845" t="s">
        <v>1272</v>
      </c>
      <c r="F2845" t="s">
        <v>92</v>
      </c>
      <c r="G2845">
        <v>1835.191359922731</v>
      </c>
      <c r="H2845" t="s">
        <v>248</v>
      </c>
      <c r="I2845">
        <v>0</v>
      </c>
      <c r="J2845">
        <v>0</v>
      </c>
      <c r="K2845">
        <v>0</v>
      </c>
      <c r="L2845">
        <v>0</v>
      </c>
      <c r="M2845" t="s">
        <v>187</v>
      </c>
      <c r="N2845">
        <v>9851.6171712765008</v>
      </c>
      <c r="O2845" t="s">
        <v>248</v>
      </c>
      <c r="P2845" t="b">
        <v>1</v>
      </c>
      <c r="Q2845">
        <v>6024.7085865319286</v>
      </c>
      <c r="R2845">
        <v>31255.350327391403</v>
      </c>
      <c r="S2845">
        <v>9.0495580729797478</v>
      </c>
      <c r="T2845">
        <v>76.690756024886966</v>
      </c>
      <c r="U2845">
        <v>0</v>
      </c>
      <c r="V2845">
        <v>0</v>
      </c>
    </row>
    <row r="2846" spans="1:22" x14ac:dyDescent="0.2">
      <c r="A2846"/>
      <c r="B2846">
        <v>71069</v>
      </c>
      <c r="C2846" t="s">
        <v>270</v>
      </c>
      <c r="D2846" t="s">
        <v>192</v>
      </c>
      <c r="E2846" t="s">
        <v>1272</v>
      </c>
      <c r="F2846" t="s">
        <v>92</v>
      </c>
      <c r="G2846">
        <v>2333.4601399949306</v>
      </c>
      <c r="H2846" t="s">
        <v>248</v>
      </c>
      <c r="M2846" t="s">
        <v>187</v>
      </c>
      <c r="N2846">
        <v>9851.6171712765008</v>
      </c>
      <c r="O2846" t="s">
        <v>248</v>
      </c>
      <c r="P2846" t="b">
        <v>1</v>
      </c>
      <c r="Q2846">
        <v>6024.7085865319286</v>
      </c>
      <c r="R2846">
        <v>31255.350327391403</v>
      </c>
      <c r="S2846">
        <v>9.0495580729797478</v>
      </c>
      <c r="T2846">
        <v>76.690756024886966</v>
      </c>
      <c r="U2846">
        <v>0</v>
      </c>
      <c r="V2846">
        <v>0</v>
      </c>
    </row>
    <row r="2847" spans="1:22" x14ac:dyDescent="0.2">
      <c r="A2847"/>
      <c r="B2847">
        <v>71070</v>
      </c>
      <c r="C2847" t="s">
        <v>271</v>
      </c>
      <c r="D2847" t="s">
        <v>192</v>
      </c>
      <c r="E2847" t="s">
        <v>1272</v>
      </c>
      <c r="F2847" t="s">
        <v>92</v>
      </c>
      <c r="G2847">
        <v>2333.4601399949306</v>
      </c>
      <c r="H2847" t="s">
        <v>248</v>
      </c>
      <c r="I2847">
        <v>0</v>
      </c>
      <c r="J2847">
        <v>0</v>
      </c>
      <c r="K2847">
        <v>0</v>
      </c>
      <c r="L2847">
        <v>0</v>
      </c>
      <c r="M2847" t="s">
        <v>187</v>
      </c>
      <c r="N2847">
        <v>10349.8859513487</v>
      </c>
      <c r="O2847" t="s">
        <v>248</v>
      </c>
      <c r="P2847" t="b">
        <v>1</v>
      </c>
      <c r="Q2847">
        <v>6255.2440598712055</v>
      </c>
      <c r="R2847">
        <v>31689.934536043915</v>
      </c>
      <c r="S2847">
        <v>0.9906258794604228</v>
      </c>
      <c r="T2847">
        <v>44.489393942501202</v>
      </c>
      <c r="U2847">
        <v>0</v>
      </c>
      <c r="V2847">
        <v>0</v>
      </c>
    </row>
    <row r="2848" spans="1:22" x14ac:dyDescent="0.2">
      <c r="A2848"/>
      <c r="B2848">
        <v>71070</v>
      </c>
      <c r="C2848" t="s">
        <v>271</v>
      </c>
      <c r="D2848" t="s">
        <v>192</v>
      </c>
      <c r="E2848" t="s">
        <v>1272</v>
      </c>
      <c r="F2848" t="s">
        <v>92</v>
      </c>
      <c r="G2848">
        <v>2527.0432001092295</v>
      </c>
      <c r="H2848" t="s">
        <v>248</v>
      </c>
      <c r="M2848" t="s">
        <v>187</v>
      </c>
      <c r="N2848">
        <v>10349.8859513487</v>
      </c>
      <c r="O2848" t="s">
        <v>248</v>
      </c>
      <c r="P2848" t="b">
        <v>1</v>
      </c>
      <c r="Q2848">
        <v>6255.2440598712055</v>
      </c>
      <c r="R2848">
        <v>31689.934536043915</v>
      </c>
      <c r="S2848">
        <v>0.9906258794604228</v>
      </c>
      <c r="T2848">
        <v>44.489393942501202</v>
      </c>
      <c r="U2848">
        <v>0</v>
      </c>
      <c r="V2848">
        <v>0</v>
      </c>
    </row>
    <row r="2849" spans="1:22" x14ac:dyDescent="0.2">
      <c r="A2849"/>
      <c r="B2849">
        <v>71071</v>
      </c>
      <c r="C2849" t="s">
        <v>272</v>
      </c>
      <c r="D2849" t="s">
        <v>192</v>
      </c>
      <c r="E2849" t="s">
        <v>1272</v>
      </c>
      <c r="F2849" t="s">
        <v>92</v>
      </c>
      <c r="G2849">
        <v>2527.0432001092295</v>
      </c>
      <c r="H2849" t="s">
        <v>248</v>
      </c>
      <c r="I2849">
        <v>0</v>
      </c>
      <c r="J2849">
        <v>0</v>
      </c>
      <c r="K2849">
        <v>0</v>
      </c>
      <c r="L2849">
        <v>0</v>
      </c>
      <c r="M2849" t="s">
        <v>187</v>
      </c>
      <c r="N2849">
        <v>10543.469011462999</v>
      </c>
      <c r="O2849" t="s">
        <v>248</v>
      </c>
      <c r="P2849" t="b">
        <v>1</v>
      </c>
      <c r="Q2849">
        <v>6393.5416429990728</v>
      </c>
      <c r="R2849">
        <v>31825.389654533559</v>
      </c>
      <c r="S2849">
        <v>0.94058975668202049</v>
      </c>
      <c r="T2849">
        <v>44.340370385301675</v>
      </c>
      <c r="U2849">
        <v>0</v>
      </c>
      <c r="V2849">
        <v>0</v>
      </c>
    </row>
    <row r="2850" spans="1:22" x14ac:dyDescent="0.2">
      <c r="A2850"/>
      <c r="B2850">
        <v>71071</v>
      </c>
      <c r="C2850" t="s">
        <v>272</v>
      </c>
      <c r="D2850" t="s">
        <v>192</v>
      </c>
      <c r="E2850" t="s">
        <v>1272</v>
      </c>
      <c r="F2850" t="s">
        <v>92</v>
      </c>
      <c r="G2850">
        <v>3983.7454211004306</v>
      </c>
      <c r="H2850" t="s">
        <v>248</v>
      </c>
      <c r="M2850" t="s">
        <v>187</v>
      </c>
      <c r="N2850">
        <v>10543.469011462999</v>
      </c>
      <c r="O2850" t="s">
        <v>248</v>
      </c>
      <c r="P2850" t="b">
        <v>1</v>
      </c>
      <c r="Q2850">
        <v>6393.5416429990728</v>
      </c>
      <c r="R2850">
        <v>31825.389654533559</v>
      </c>
      <c r="S2850">
        <v>0.94058975668202049</v>
      </c>
      <c r="T2850">
        <v>44.340370385301675</v>
      </c>
      <c r="U2850">
        <v>0</v>
      </c>
      <c r="V2850">
        <v>0</v>
      </c>
    </row>
    <row r="2851" spans="1:22" x14ac:dyDescent="0.2">
      <c r="A2851"/>
      <c r="B2851">
        <v>71072</v>
      </c>
      <c r="C2851" t="s">
        <v>273</v>
      </c>
      <c r="D2851" t="s">
        <v>192</v>
      </c>
      <c r="E2851" t="s">
        <v>1272</v>
      </c>
      <c r="F2851" t="s">
        <v>92</v>
      </c>
      <c r="G2851">
        <v>3983.7454211004306</v>
      </c>
      <c r="H2851" t="s">
        <v>248</v>
      </c>
      <c r="I2851">
        <v>0</v>
      </c>
      <c r="J2851">
        <v>0</v>
      </c>
      <c r="K2851">
        <v>0</v>
      </c>
      <c r="L2851">
        <v>0</v>
      </c>
      <c r="M2851" t="s">
        <v>187</v>
      </c>
      <c r="N2851">
        <v>12000.1712324542</v>
      </c>
      <c r="O2851" t="s">
        <v>248</v>
      </c>
      <c r="P2851" t="b">
        <v>1</v>
      </c>
      <c r="Q2851">
        <v>6758.7786876255232</v>
      </c>
      <c r="R2851">
        <v>33094.320340259474</v>
      </c>
      <c r="S2851">
        <v>1.8920750650910354</v>
      </c>
      <c r="T2851">
        <v>105.45030386661969</v>
      </c>
      <c r="U2851">
        <v>0</v>
      </c>
      <c r="V2851">
        <v>0</v>
      </c>
    </row>
    <row r="2852" spans="1:22" x14ac:dyDescent="0.2">
      <c r="A2852"/>
      <c r="B2852">
        <v>71072</v>
      </c>
      <c r="C2852" t="s">
        <v>273</v>
      </c>
      <c r="D2852" t="s">
        <v>192</v>
      </c>
      <c r="E2852" t="s">
        <v>1272</v>
      </c>
      <c r="F2852" t="s">
        <v>92</v>
      </c>
      <c r="G2852">
        <v>4177.3284812147294</v>
      </c>
      <c r="H2852" t="s">
        <v>248</v>
      </c>
      <c r="M2852" t="s">
        <v>187</v>
      </c>
      <c r="N2852">
        <v>12000.1712324542</v>
      </c>
      <c r="O2852" t="s">
        <v>248</v>
      </c>
      <c r="P2852" t="b">
        <v>1</v>
      </c>
      <c r="Q2852">
        <v>6758.7786876255232</v>
      </c>
      <c r="R2852">
        <v>33094.320340259474</v>
      </c>
      <c r="S2852">
        <v>1.8920750650910354</v>
      </c>
      <c r="T2852">
        <v>105.45030386661969</v>
      </c>
      <c r="U2852">
        <v>0</v>
      </c>
      <c r="V2852">
        <v>0</v>
      </c>
    </row>
    <row r="2853" spans="1:22" x14ac:dyDescent="0.2">
      <c r="A2853"/>
      <c r="B2853">
        <v>71073</v>
      </c>
      <c r="C2853" t="s">
        <v>274</v>
      </c>
      <c r="D2853" t="s">
        <v>192</v>
      </c>
      <c r="E2853" t="s">
        <v>1272</v>
      </c>
      <c r="F2853" t="s">
        <v>92</v>
      </c>
      <c r="G2853">
        <v>4177.3284812147294</v>
      </c>
      <c r="H2853" t="s">
        <v>248</v>
      </c>
      <c r="I2853">
        <v>0</v>
      </c>
      <c r="J2853">
        <v>0</v>
      </c>
      <c r="K2853">
        <v>0</v>
      </c>
      <c r="L2853">
        <v>0</v>
      </c>
      <c r="M2853" t="s">
        <v>187</v>
      </c>
      <c r="N2853">
        <v>12193.754292568499</v>
      </c>
      <c r="O2853" t="s">
        <v>248</v>
      </c>
      <c r="P2853" t="b">
        <v>1</v>
      </c>
      <c r="Q2853">
        <v>6706.9837066443788</v>
      </c>
      <c r="R2853">
        <v>33280.84524702085</v>
      </c>
      <c r="S2853">
        <v>1.8941766581494164</v>
      </c>
      <c r="T2853">
        <v>106.05182838767458</v>
      </c>
      <c r="U2853">
        <v>0</v>
      </c>
      <c r="V2853">
        <v>0</v>
      </c>
    </row>
    <row r="2854" spans="1:22" x14ac:dyDescent="0.2">
      <c r="A2854"/>
      <c r="B2854">
        <v>71073</v>
      </c>
      <c r="C2854" t="s">
        <v>274</v>
      </c>
      <c r="D2854" t="s">
        <v>192</v>
      </c>
      <c r="E2854" t="s">
        <v>1272</v>
      </c>
      <c r="F2854" t="s">
        <v>92</v>
      </c>
      <c r="G2854">
        <v>4805.1728609507309</v>
      </c>
      <c r="H2854" t="s">
        <v>248</v>
      </c>
      <c r="M2854" t="s">
        <v>187</v>
      </c>
      <c r="N2854">
        <v>12193.754292568499</v>
      </c>
      <c r="O2854" t="s">
        <v>248</v>
      </c>
      <c r="P2854" t="b">
        <v>1</v>
      </c>
      <c r="Q2854">
        <v>6706.9837066443788</v>
      </c>
      <c r="R2854">
        <v>33280.84524702085</v>
      </c>
      <c r="S2854">
        <v>1.8941766581494164</v>
      </c>
      <c r="T2854">
        <v>106.05182838767458</v>
      </c>
      <c r="U2854">
        <v>0</v>
      </c>
      <c r="V2854">
        <v>0</v>
      </c>
    </row>
    <row r="2855" spans="1:22" x14ac:dyDescent="0.2">
      <c r="A2855"/>
      <c r="B2855">
        <v>71074</v>
      </c>
      <c r="C2855" t="s">
        <v>275</v>
      </c>
      <c r="D2855" t="s">
        <v>192</v>
      </c>
      <c r="E2855" t="s">
        <v>1272</v>
      </c>
      <c r="F2855" t="s">
        <v>92</v>
      </c>
      <c r="G2855">
        <v>4805.1728609507309</v>
      </c>
      <c r="H2855" t="s">
        <v>248</v>
      </c>
      <c r="I2855">
        <v>0</v>
      </c>
      <c r="J2855">
        <v>0</v>
      </c>
      <c r="K2855">
        <v>0</v>
      </c>
      <c r="L2855">
        <v>0</v>
      </c>
      <c r="M2855" t="s">
        <v>187</v>
      </c>
      <c r="N2855">
        <v>12821.598672304501</v>
      </c>
      <c r="O2855" t="s">
        <v>248</v>
      </c>
      <c r="P2855" t="b">
        <v>1</v>
      </c>
      <c r="Q2855">
        <v>6536.5687205246331</v>
      </c>
      <c r="R2855">
        <v>33884.968317294013</v>
      </c>
      <c r="S2855">
        <v>4.3468565106573562</v>
      </c>
      <c r="T2855">
        <v>105.01972907094111</v>
      </c>
      <c r="U2855">
        <v>0</v>
      </c>
      <c r="V2855">
        <v>0</v>
      </c>
    </row>
    <row r="2856" spans="1:22" x14ac:dyDescent="0.2">
      <c r="A2856"/>
      <c r="B2856">
        <v>71074</v>
      </c>
      <c r="C2856" t="s">
        <v>275</v>
      </c>
      <c r="D2856" t="s">
        <v>192</v>
      </c>
      <c r="E2856" t="s">
        <v>1272</v>
      </c>
      <c r="F2856" t="s">
        <v>92</v>
      </c>
      <c r="G2856">
        <v>4997.7743620948304</v>
      </c>
      <c r="H2856" t="s">
        <v>248</v>
      </c>
      <c r="M2856" t="s">
        <v>187</v>
      </c>
      <c r="N2856">
        <v>12821.598672304501</v>
      </c>
      <c r="O2856" t="s">
        <v>248</v>
      </c>
      <c r="P2856" t="b">
        <v>1</v>
      </c>
      <c r="Q2856">
        <v>6536.5687205246331</v>
      </c>
      <c r="R2856">
        <v>33884.968317294013</v>
      </c>
      <c r="S2856">
        <v>4.3468565106573562</v>
      </c>
      <c r="T2856">
        <v>105.01972907094111</v>
      </c>
      <c r="U2856">
        <v>0</v>
      </c>
      <c r="V2856">
        <v>0</v>
      </c>
    </row>
    <row r="2857" spans="1:22" x14ac:dyDescent="0.2">
      <c r="A2857"/>
      <c r="B2857">
        <v>71075</v>
      </c>
      <c r="C2857" t="s">
        <v>276</v>
      </c>
      <c r="D2857" t="s">
        <v>192</v>
      </c>
      <c r="E2857" t="s">
        <v>1272</v>
      </c>
      <c r="F2857" t="s">
        <v>92</v>
      </c>
      <c r="G2857">
        <v>4997.7743620948304</v>
      </c>
      <c r="H2857" t="s">
        <v>248</v>
      </c>
      <c r="I2857">
        <v>0</v>
      </c>
      <c r="J2857">
        <v>0</v>
      </c>
      <c r="K2857">
        <v>0</v>
      </c>
      <c r="L2857">
        <v>0</v>
      </c>
      <c r="M2857" t="s">
        <v>187</v>
      </c>
      <c r="N2857">
        <v>13014.2001734486</v>
      </c>
      <c r="O2857" t="s">
        <v>248</v>
      </c>
      <c r="P2857" t="b">
        <v>1</v>
      </c>
      <c r="Q2857">
        <v>6486.7225346251789</v>
      </c>
      <c r="R2857">
        <v>34071.007798095532</v>
      </c>
      <c r="S2857">
        <v>4.3519116716175388</v>
      </c>
      <c r="T2857">
        <v>104.93728943288696</v>
      </c>
      <c r="U2857">
        <v>0</v>
      </c>
      <c r="V2857">
        <v>0</v>
      </c>
    </row>
    <row r="2858" spans="1:22" x14ac:dyDescent="0.2">
      <c r="A2858"/>
      <c r="B2858">
        <v>71075</v>
      </c>
      <c r="C2858" t="s">
        <v>276</v>
      </c>
      <c r="D2858" t="s">
        <v>192</v>
      </c>
      <c r="E2858" t="s">
        <v>1272</v>
      </c>
      <c r="F2858" t="s">
        <v>92</v>
      </c>
      <c r="G2858">
        <v>4999.7374800353309</v>
      </c>
      <c r="H2858" t="s">
        <v>248</v>
      </c>
      <c r="M2858" t="s">
        <v>187</v>
      </c>
      <c r="N2858">
        <v>13014.2001734486</v>
      </c>
      <c r="O2858" t="s">
        <v>248</v>
      </c>
      <c r="P2858" t="b">
        <v>1</v>
      </c>
      <c r="Q2858">
        <v>6486.7225346251789</v>
      </c>
      <c r="R2858">
        <v>34071.007798095532</v>
      </c>
      <c r="S2858">
        <v>4.3519116716175388</v>
      </c>
      <c r="T2858">
        <v>104.93728943288696</v>
      </c>
      <c r="U2858">
        <v>0</v>
      </c>
      <c r="V2858">
        <v>0</v>
      </c>
    </row>
    <row r="2859" spans="1:22" x14ac:dyDescent="0.2">
      <c r="A2859"/>
      <c r="B2859">
        <v>71076</v>
      </c>
      <c r="C2859" t="s">
        <v>277</v>
      </c>
      <c r="D2859" t="s">
        <v>192</v>
      </c>
      <c r="E2859" t="s">
        <v>1272</v>
      </c>
      <c r="F2859" t="s">
        <v>92</v>
      </c>
      <c r="G2859">
        <v>4999.7374800353309</v>
      </c>
      <c r="H2859" t="s">
        <v>248</v>
      </c>
      <c r="I2859">
        <v>0</v>
      </c>
      <c r="J2859">
        <v>0</v>
      </c>
      <c r="K2859">
        <v>0</v>
      </c>
      <c r="L2859">
        <v>0</v>
      </c>
      <c r="M2859" t="s">
        <v>187</v>
      </c>
      <c r="N2859">
        <v>13016.163291389101</v>
      </c>
      <c r="O2859" t="s">
        <v>248</v>
      </c>
      <c r="P2859" t="b">
        <v>1</v>
      </c>
      <c r="Q2859">
        <v>6486.2165530012389</v>
      </c>
      <c r="R2859">
        <v>34072.904588702499</v>
      </c>
      <c r="S2859">
        <v>4.3517181788752834</v>
      </c>
      <c r="T2859">
        <v>104.93517371415093</v>
      </c>
      <c r="U2859">
        <v>0</v>
      </c>
      <c r="V2859">
        <v>0</v>
      </c>
    </row>
    <row r="2860" spans="1:22" x14ac:dyDescent="0.2">
      <c r="A2860"/>
      <c r="B2860">
        <v>71076</v>
      </c>
      <c r="C2860" t="s">
        <v>277</v>
      </c>
      <c r="D2860" t="s">
        <v>192</v>
      </c>
      <c r="E2860" t="s">
        <v>1272</v>
      </c>
      <c r="F2860" t="s">
        <v>92</v>
      </c>
      <c r="G2860">
        <v>5946.0290364921302</v>
      </c>
      <c r="H2860" t="s">
        <v>248</v>
      </c>
      <c r="M2860" t="s">
        <v>187</v>
      </c>
      <c r="N2860">
        <v>13016.163291389101</v>
      </c>
      <c r="O2860" t="s">
        <v>248</v>
      </c>
      <c r="P2860" t="b">
        <v>1</v>
      </c>
      <c r="Q2860">
        <v>6486.2165530012389</v>
      </c>
      <c r="R2860">
        <v>34072.904588702499</v>
      </c>
      <c r="S2860">
        <v>4.3517181788752834</v>
      </c>
      <c r="T2860">
        <v>104.93517371415093</v>
      </c>
      <c r="U2860">
        <v>0</v>
      </c>
      <c r="V2860">
        <v>0</v>
      </c>
    </row>
    <row r="2861" spans="1:22" x14ac:dyDescent="0.2">
      <c r="A2861"/>
      <c r="B2861">
        <v>71077</v>
      </c>
      <c r="C2861" t="s">
        <v>278</v>
      </c>
      <c r="D2861" t="s">
        <v>192</v>
      </c>
      <c r="E2861" t="s">
        <v>1272</v>
      </c>
      <c r="F2861" t="s">
        <v>92</v>
      </c>
      <c r="G2861">
        <v>5946.0290364921302</v>
      </c>
      <c r="H2861" t="s">
        <v>248</v>
      </c>
      <c r="I2861">
        <v>0</v>
      </c>
      <c r="J2861">
        <v>0</v>
      </c>
      <c r="K2861">
        <v>0</v>
      </c>
      <c r="L2861">
        <v>0</v>
      </c>
      <c r="M2861" t="s">
        <v>187</v>
      </c>
      <c r="N2861">
        <v>13962.4548478459</v>
      </c>
      <c r="O2861" t="s">
        <v>248</v>
      </c>
      <c r="P2861" t="b">
        <v>1</v>
      </c>
      <c r="Q2861">
        <v>6457.4907503645281</v>
      </c>
      <c r="R2861">
        <v>35011.974922237299</v>
      </c>
      <c r="S2861">
        <v>-2.0550474245580563</v>
      </c>
      <c r="T2861">
        <v>88.048981811497129</v>
      </c>
      <c r="U2861">
        <v>0</v>
      </c>
      <c r="V2861">
        <v>0</v>
      </c>
    </row>
    <row r="2862" spans="1:22" x14ac:dyDescent="0.2">
      <c r="A2862"/>
      <c r="B2862">
        <v>71077</v>
      </c>
      <c r="C2862" t="s">
        <v>278</v>
      </c>
      <c r="D2862" t="s">
        <v>192</v>
      </c>
      <c r="E2862" t="s">
        <v>1272</v>
      </c>
      <c r="F2862" t="s">
        <v>92</v>
      </c>
      <c r="G2862">
        <v>6139.6120966065309</v>
      </c>
      <c r="H2862" t="s">
        <v>248</v>
      </c>
      <c r="M2862" t="s">
        <v>187</v>
      </c>
      <c r="N2862">
        <v>13962.4548478459</v>
      </c>
      <c r="O2862" t="s">
        <v>248</v>
      </c>
      <c r="P2862" t="b">
        <v>1</v>
      </c>
      <c r="Q2862">
        <v>6457.4907503645281</v>
      </c>
      <c r="R2862">
        <v>35011.974922237299</v>
      </c>
      <c r="S2862">
        <v>-2.0550474245580563</v>
      </c>
      <c r="T2862">
        <v>88.048981811497129</v>
      </c>
      <c r="U2862">
        <v>0</v>
      </c>
      <c r="V2862">
        <v>0</v>
      </c>
    </row>
    <row r="2863" spans="1:22" x14ac:dyDescent="0.2">
      <c r="A2863"/>
      <c r="B2863">
        <v>71078</v>
      </c>
      <c r="C2863" t="s">
        <v>279</v>
      </c>
      <c r="D2863" t="s">
        <v>192</v>
      </c>
      <c r="E2863" t="s">
        <v>1272</v>
      </c>
      <c r="F2863" t="s">
        <v>92</v>
      </c>
      <c r="G2863">
        <v>6139.6120966065309</v>
      </c>
      <c r="H2863" t="s">
        <v>248</v>
      </c>
      <c r="I2863">
        <v>0</v>
      </c>
      <c r="J2863">
        <v>0</v>
      </c>
      <c r="K2863">
        <v>0</v>
      </c>
      <c r="L2863">
        <v>0</v>
      </c>
      <c r="M2863" t="s">
        <v>187</v>
      </c>
      <c r="N2863">
        <v>14156.037907960301</v>
      </c>
      <c r="O2863" t="s">
        <v>248</v>
      </c>
      <c r="P2863" t="b">
        <v>1</v>
      </c>
      <c r="Q2863">
        <v>6464.2485085908493</v>
      </c>
      <c r="R2863">
        <v>35205.439782090252</v>
      </c>
      <c r="S2863">
        <v>-2.0490565928833364</v>
      </c>
      <c r="T2863">
        <v>87.787211817371769</v>
      </c>
      <c r="U2863">
        <v>0</v>
      </c>
      <c r="V2863">
        <v>0</v>
      </c>
    </row>
    <row r="2864" spans="1:22" x14ac:dyDescent="0.2">
      <c r="A2864"/>
      <c r="B2864">
        <v>71078</v>
      </c>
      <c r="C2864" t="s">
        <v>279</v>
      </c>
      <c r="D2864" t="s">
        <v>192</v>
      </c>
      <c r="E2864" t="s">
        <v>1272</v>
      </c>
      <c r="F2864" t="s">
        <v>92</v>
      </c>
      <c r="G2864">
        <v>6887.933024352029</v>
      </c>
      <c r="H2864" t="s">
        <v>248</v>
      </c>
      <c r="M2864" t="s">
        <v>187</v>
      </c>
      <c r="N2864">
        <v>14156.037907960301</v>
      </c>
      <c r="O2864" t="s">
        <v>248</v>
      </c>
      <c r="P2864" t="b">
        <v>1</v>
      </c>
      <c r="Q2864">
        <v>6464.2485085908493</v>
      </c>
      <c r="R2864">
        <v>35205.439782090252</v>
      </c>
      <c r="S2864">
        <v>-2.0490565928833364</v>
      </c>
      <c r="T2864">
        <v>87.787211817371769</v>
      </c>
      <c r="U2864">
        <v>0</v>
      </c>
      <c r="V2864">
        <v>0</v>
      </c>
    </row>
    <row r="2865" spans="1:22" x14ac:dyDescent="0.2">
      <c r="A2865"/>
      <c r="B2865">
        <v>71079</v>
      </c>
      <c r="C2865" t="s">
        <v>280</v>
      </c>
      <c r="D2865" t="s">
        <v>192</v>
      </c>
      <c r="E2865" t="s">
        <v>1272</v>
      </c>
      <c r="F2865" t="s">
        <v>92</v>
      </c>
      <c r="G2865">
        <v>6887.933024352029</v>
      </c>
      <c r="H2865" t="s">
        <v>248</v>
      </c>
      <c r="I2865">
        <v>0</v>
      </c>
      <c r="J2865">
        <v>0</v>
      </c>
      <c r="K2865">
        <v>0</v>
      </c>
      <c r="L2865">
        <v>0</v>
      </c>
      <c r="M2865" t="s">
        <v>187</v>
      </c>
      <c r="N2865">
        <v>14904.3588357058</v>
      </c>
      <c r="O2865" t="s">
        <v>248</v>
      </c>
      <c r="P2865" t="b">
        <v>1</v>
      </c>
      <c r="Q2865">
        <v>6599.876902621415</v>
      </c>
      <c r="R2865">
        <v>35940.582514937203</v>
      </c>
      <c r="S2865">
        <v>-3.9745091320490484</v>
      </c>
      <c r="T2865">
        <v>79.09207000742343</v>
      </c>
      <c r="U2865">
        <v>0</v>
      </c>
      <c r="V2865">
        <v>0</v>
      </c>
    </row>
    <row r="2866" spans="1:22" x14ac:dyDescent="0.2">
      <c r="A2866"/>
      <c r="B2866">
        <v>71079</v>
      </c>
      <c r="C2866" t="s">
        <v>280</v>
      </c>
      <c r="D2866" t="s">
        <v>192</v>
      </c>
      <c r="E2866" t="s">
        <v>1272</v>
      </c>
      <c r="F2866" t="s">
        <v>92</v>
      </c>
      <c r="G2866">
        <v>7088.3869972581288</v>
      </c>
      <c r="H2866" t="s">
        <v>248</v>
      </c>
      <c r="M2866" t="s">
        <v>187</v>
      </c>
      <c r="N2866">
        <v>14904.3588357058</v>
      </c>
      <c r="O2866" t="s">
        <v>248</v>
      </c>
      <c r="P2866" t="b">
        <v>1</v>
      </c>
      <c r="Q2866">
        <v>6599.876902621415</v>
      </c>
      <c r="R2866">
        <v>35940.582514937203</v>
      </c>
      <c r="S2866">
        <v>-3.9745091320490484</v>
      </c>
      <c r="T2866">
        <v>79.09207000742343</v>
      </c>
      <c r="U2866">
        <v>0</v>
      </c>
      <c r="V2866">
        <v>0</v>
      </c>
    </row>
    <row r="2867" spans="1:22" x14ac:dyDescent="0.2">
      <c r="A2867"/>
      <c r="B2867">
        <v>71080</v>
      </c>
      <c r="C2867" t="s">
        <v>281</v>
      </c>
      <c r="D2867" t="s">
        <v>192</v>
      </c>
      <c r="E2867" t="s">
        <v>1272</v>
      </c>
      <c r="F2867" t="s">
        <v>92</v>
      </c>
      <c r="G2867">
        <v>7088.3869972581288</v>
      </c>
      <c r="H2867" t="s">
        <v>248</v>
      </c>
      <c r="I2867">
        <v>0</v>
      </c>
      <c r="J2867">
        <v>0</v>
      </c>
      <c r="K2867">
        <v>0</v>
      </c>
      <c r="L2867">
        <v>0</v>
      </c>
      <c r="M2867" t="s">
        <v>187</v>
      </c>
      <c r="N2867">
        <v>15104.8128086119</v>
      </c>
      <c r="O2867" t="s">
        <v>248</v>
      </c>
      <c r="P2867" t="b">
        <v>1</v>
      </c>
      <c r="Q2867">
        <v>6638.1311357011537</v>
      </c>
      <c r="R2867">
        <v>36137.352426050958</v>
      </c>
      <c r="S2867">
        <v>-3.955785923803349</v>
      </c>
      <c r="T2867">
        <v>79.045911896989935</v>
      </c>
      <c r="U2867">
        <v>0</v>
      </c>
      <c r="V2867">
        <v>0</v>
      </c>
    </row>
    <row r="2868" spans="1:22" x14ac:dyDescent="0.2">
      <c r="A2868"/>
      <c r="B2868">
        <v>71080</v>
      </c>
      <c r="C2868" t="s">
        <v>281</v>
      </c>
      <c r="D2868" t="s">
        <v>192</v>
      </c>
      <c r="E2868" t="s">
        <v>1272</v>
      </c>
      <c r="F2868" t="s">
        <v>92</v>
      </c>
      <c r="G2868">
        <v>7130.5940329792302</v>
      </c>
      <c r="H2868" t="s">
        <v>248</v>
      </c>
      <c r="M2868" t="s">
        <v>187</v>
      </c>
      <c r="N2868">
        <v>15104.8128086119</v>
      </c>
      <c r="O2868" t="s">
        <v>248</v>
      </c>
      <c r="P2868" t="b">
        <v>1</v>
      </c>
      <c r="Q2868">
        <v>6638.1311357011537</v>
      </c>
      <c r="R2868">
        <v>36137.352426050958</v>
      </c>
      <c r="S2868">
        <v>-3.955785923803349</v>
      </c>
      <c r="T2868">
        <v>79.045911896989935</v>
      </c>
      <c r="U2868">
        <v>0</v>
      </c>
      <c r="V2868">
        <v>0</v>
      </c>
    </row>
    <row r="2869" spans="1:22" x14ac:dyDescent="0.2">
      <c r="A2869"/>
      <c r="B2869">
        <v>71081</v>
      </c>
      <c r="C2869" t="s">
        <v>282</v>
      </c>
      <c r="D2869" t="s">
        <v>192</v>
      </c>
      <c r="E2869" t="s">
        <v>1272</v>
      </c>
      <c r="F2869" t="s">
        <v>92</v>
      </c>
      <c r="G2869">
        <v>7130.5940329792302</v>
      </c>
      <c r="H2869" t="s">
        <v>248</v>
      </c>
      <c r="I2869">
        <v>0</v>
      </c>
      <c r="J2869">
        <v>0</v>
      </c>
      <c r="K2869">
        <v>0</v>
      </c>
      <c r="L2869">
        <v>0</v>
      </c>
      <c r="M2869" t="s">
        <v>187</v>
      </c>
      <c r="N2869">
        <v>15147.019844332999</v>
      </c>
      <c r="O2869" t="s">
        <v>248</v>
      </c>
      <c r="P2869" t="b">
        <v>1</v>
      </c>
      <c r="Q2869">
        <v>6646.0986165290815</v>
      </c>
      <c r="R2869">
        <v>36178.800609394078</v>
      </c>
      <c r="S2869">
        <v>-3.9668070614441326</v>
      </c>
      <c r="T2869">
        <v>79.200200864408771</v>
      </c>
      <c r="U2869">
        <v>0</v>
      </c>
      <c r="V2869">
        <v>0</v>
      </c>
    </row>
    <row r="2870" spans="1:22" x14ac:dyDescent="0.2">
      <c r="A2870"/>
      <c r="B2870">
        <v>71081</v>
      </c>
      <c r="C2870" t="s">
        <v>282</v>
      </c>
      <c r="D2870" t="s">
        <v>192</v>
      </c>
      <c r="E2870" t="s">
        <v>1272</v>
      </c>
      <c r="F2870" t="s">
        <v>116</v>
      </c>
      <c r="G2870">
        <v>38.390059149512126</v>
      </c>
      <c r="H2870" t="s">
        <v>248</v>
      </c>
      <c r="M2870" t="s">
        <v>187</v>
      </c>
      <c r="N2870">
        <v>15147.019844332999</v>
      </c>
      <c r="O2870" t="s">
        <v>248</v>
      </c>
      <c r="P2870" t="b">
        <v>1</v>
      </c>
      <c r="Q2870">
        <v>6646.0986165290815</v>
      </c>
      <c r="R2870">
        <v>36178.800609394078</v>
      </c>
      <c r="S2870">
        <v>-3.9668070614441326</v>
      </c>
      <c r="T2870">
        <v>79.200200864408771</v>
      </c>
      <c r="U2870">
        <v>0</v>
      </c>
      <c r="V2870">
        <v>0</v>
      </c>
    </row>
    <row r="2871" spans="1:22" x14ac:dyDescent="0.2">
      <c r="A2871"/>
      <c r="B2871">
        <v>71081</v>
      </c>
      <c r="C2871" t="s">
        <v>282</v>
      </c>
      <c r="D2871" t="s">
        <v>192</v>
      </c>
      <c r="E2871" t="s">
        <v>1272</v>
      </c>
      <c r="F2871" t="s">
        <v>283</v>
      </c>
      <c r="G2871">
        <v>0</v>
      </c>
      <c r="H2871" t="s">
        <v>248</v>
      </c>
      <c r="M2871" t="s">
        <v>187</v>
      </c>
      <c r="N2871">
        <v>15147.019844332999</v>
      </c>
      <c r="O2871" t="s">
        <v>248</v>
      </c>
      <c r="P2871" t="b">
        <v>1</v>
      </c>
      <c r="Q2871">
        <v>6646.0986165290815</v>
      </c>
      <c r="R2871">
        <v>36178.800609394078</v>
      </c>
      <c r="S2871">
        <v>-3.9668070614441326</v>
      </c>
      <c r="T2871">
        <v>79.200200864408771</v>
      </c>
      <c r="U2871">
        <v>0</v>
      </c>
      <c r="V2871">
        <v>0</v>
      </c>
    </row>
    <row r="2872" spans="1:22" x14ac:dyDescent="0.2">
      <c r="A2872"/>
      <c r="B2872">
        <v>71082</v>
      </c>
      <c r="C2872" t="s">
        <v>284</v>
      </c>
      <c r="D2872" t="s">
        <v>192</v>
      </c>
      <c r="E2872" t="s">
        <v>1272</v>
      </c>
      <c r="F2872" t="s">
        <v>116</v>
      </c>
      <c r="G2872">
        <v>38.390059149512126</v>
      </c>
      <c r="H2872" t="s">
        <v>248</v>
      </c>
      <c r="I2872">
        <v>0</v>
      </c>
      <c r="J2872">
        <v>0</v>
      </c>
      <c r="K2872">
        <v>0</v>
      </c>
      <c r="L2872">
        <v>0</v>
      </c>
      <c r="M2872" t="s">
        <v>187</v>
      </c>
      <c r="N2872">
        <v>15263.865911975399</v>
      </c>
      <c r="O2872" t="s">
        <v>248</v>
      </c>
      <c r="P2872" t="b">
        <v>1</v>
      </c>
      <c r="Q2872">
        <v>6667.674992423008</v>
      </c>
      <c r="R2872">
        <v>36293.637219651406</v>
      </c>
      <c r="S2872">
        <v>-3.9579565111095434</v>
      </c>
      <c r="T2872">
        <v>79.403455966100751</v>
      </c>
      <c r="U2872">
        <v>0</v>
      </c>
      <c r="V2872">
        <v>0</v>
      </c>
    </row>
    <row r="2873" spans="1:22" x14ac:dyDescent="0.2">
      <c r="A2873"/>
      <c r="B2873">
        <v>71082</v>
      </c>
      <c r="C2873" t="s">
        <v>284</v>
      </c>
      <c r="D2873" t="s">
        <v>192</v>
      </c>
      <c r="E2873" t="s">
        <v>1272</v>
      </c>
      <c r="F2873" t="s">
        <v>118</v>
      </c>
      <c r="G2873">
        <v>52.97649938205592</v>
      </c>
      <c r="H2873" t="s">
        <v>248</v>
      </c>
      <c r="M2873" t="s">
        <v>187</v>
      </c>
      <c r="N2873">
        <v>15263.865911975399</v>
      </c>
      <c r="O2873" t="s">
        <v>248</v>
      </c>
      <c r="P2873" t="b">
        <v>1</v>
      </c>
      <c r="Q2873">
        <v>6667.674992423008</v>
      </c>
      <c r="R2873">
        <v>36293.637219651406</v>
      </c>
      <c r="S2873">
        <v>-3.9579565111095434</v>
      </c>
      <c r="T2873">
        <v>79.403455966100751</v>
      </c>
      <c r="U2873">
        <v>0</v>
      </c>
      <c r="V2873">
        <v>0</v>
      </c>
    </row>
    <row r="2874" spans="1:22" x14ac:dyDescent="0.2">
      <c r="A2874"/>
      <c r="B2874">
        <v>71082</v>
      </c>
      <c r="C2874" t="s">
        <v>284</v>
      </c>
      <c r="D2874" t="s">
        <v>192</v>
      </c>
      <c r="E2874" t="s">
        <v>1272</v>
      </c>
      <c r="F2874" t="s">
        <v>244</v>
      </c>
      <c r="G2874">
        <v>39.7899999999999</v>
      </c>
      <c r="H2874" t="s">
        <v>248</v>
      </c>
      <c r="M2874" t="s">
        <v>187</v>
      </c>
      <c r="N2874">
        <v>15263.865911975399</v>
      </c>
      <c r="O2874" t="s">
        <v>248</v>
      </c>
      <c r="P2874" t="b">
        <v>1</v>
      </c>
      <c r="Q2874">
        <v>6667.674992423008</v>
      </c>
      <c r="R2874">
        <v>36293.637219651406</v>
      </c>
      <c r="S2874">
        <v>-3.9579565111095434</v>
      </c>
      <c r="T2874">
        <v>79.403455966100751</v>
      </c>
      <c r="U2874">
        <v>0</v>
      </c>
      <c r="V2874">
        <v>0</v>
      </c>
    </row>
    <row r="2875" spans="1:22" x14ac:dyDescent="0.2">
      <c r="A2875"/>
      <c r="B2875">
        <v>71082</v>
      </c>
      <c r="C2875" t="s">
        <v>284</v>
      </c>
      <c r="D2875" t="s">
        <v>192</v>
      </c>
      <c r="E2875" t="s">
        <v>1272</v>
      </c>
      <c r="F2875" t="s">
        <v>180</v>
      </c>
      <c r="G2875">
        <v>70</v>
      </c>
      <c r="H2875" t="s">
        <v>248</v>
      </c>
      <c r="M2875" t="s">
        <v>187</v>
      </c>
      <c r="N2875">
        <v>15263.865911975399</v>
      </c>
      <c r="O2875" t="s">
        <v>248</v>
      </c>
      <c r="P2875" t="b">
        <v>1</v>
      </c>
      <c r="Q2875">
        <v>6667.674992423008</v>
      </c>
      <c r="R2875">
        <v>36293.637219651406</v>
      </c>
      <c r="S2875">
        <v>-3.9579565111095434</v>
      </c>
      <c r="T2875">
        <v>79.403455966100751</v>
      </c>
      <c r="U2875">
        <v>0</v>
      </c>
      <c r="V2875">
        <v>0</v>
      </c>
    </row>
    <row r="2876" spans="1:22" x14ac:dyDescent="0.2">
      <c r="A2876"/>
      <c r="B2876">
        <v>71083</v>
      </c>
      <c r="C2876" t="s">
        <v>285</v>
      </c>
      <c r="D2876" t="s">
        <v>192</v>
      </c>
      <c r="E2876" t="s">
        <v>1272</v>
      </c>
      <c r="F2876" t="s">
        <v>118</v>
      </c>
      <c r="G2876">
        <v>52.97649938205592</v>
      </c>
      <c r="H2876" t="s">
        <v>248</v>
      </c>
      <c r="I2876">
        <v>0</v>
      </c>
      <c r="J2876">
        <v>0</v>
      </c>
      <c r="K2876">
        <v>0</v>
      </c>
      <c r="L2876">
        <v>0</v>
      </c>
      <c r="M2876" t="s">
        <v>187</v>
      </c>
      <c r="N2876">
        <v>15370.8694079462</v>
      </c>
      <c r="O2876" t="s">
        <v>248</v>
      </c>
      <c r="P2876" t="b">
        <v>1</v>
      </c>
      <c r="Q2876">
        <v>6687.3623719164907</v>
      </c>
      <c r="R2876">
        <v>36398.813978330429</v>
      </c>
      <c r="S2876">
        <v>-3.9645306648430609</v>
      </c>
      <c r="T2876">
        <v>79.278185309062152</v>
      </c>
      <c r="U2876">
        <v>0</v>
      </c>
      <c r="V2876">
        <v>0</v>
      </c>
    </row>
    <row r="2877" spans="1:22" x14ac:dyDescent="0.2">
      <c r="A2877"/>
      <c r="B2877">
        <v>71083</v>
      </c>
      <c r="C2877" t="s">
        <v>285</v>
      </c>
      <c r="D2877" t="s">
        <v>192</v>
      </c>
      <c r="E2877" t="s">
        <v>1272</v>
      </c>
      <c r="F2877" t="s">
        <v>118</v>
      </c>
      <c r="G2877">
        <v>315.17425505315492</v>
      </c>
      <c r="H2877" t="s">
        <v>248</v>
      </c>
      <c r="M2877" t="s">
        <v>187</v>
      </c>
      <c r="N2877">
        <v>15370.8694079462</v>
      </c>
      <c r="O2877" t="s">
        <v>248</v>
      </c>
      <c r="P2877" t="b">
        <v>1</v>
      </c>
      <c r="Q2877">
        <v>6687.3623719164907</v>
      </c>
      <c r="R2877">
        <v>36398.813978330429</v>
      </c>
      <c r="S2877">
        <v>-3.9645306648430609</v>
      </c>
      <c r="T2877">
        <v>79.278185309062152</v>
      </c>
      <c r="U2877">
        <v>0</v>
      </c>
      <c r="V2877">
        <v>0</v>
      </c>
    </row>
    <row r="2878" spans="1:22" x14ac:dyDescent="0.2">
      <c r="A2878"/>
      <c r="B2878">
        <v>71084</v>
      </c>
      <c r="C2878" t="s">
        <v>286</v>
      </c>
      <c r="D2878" t="s">
        <v>192</v>
      </c>
      <c r="E2878" t="s">
        <v>1272</v>
      </c>
      <c r="F2878" t="s">
        <v>118</v>
      </c>
      <c r="G2878">
        <v>315.17425505315492</v>
      </c>
      <c r="H2878" t="s">
        <v>248</v>
      </c>
      <c r="I2878">
        <v>0</v>
      </c>
      <c r="J2878">
        <v>0</v>
      </c>
      <c r="K2878">
        <v>0</v>
      </c>
      <c r="L2878">
        <v>0</v>
      </c>
      <c r="M2878" t="s">
        <v>187</v>
      </c>
      <c r="N2878">
        <v>15633.067163617299</v>
      </c>
      <c r="O2878" t="s">
        <v>248</v>
      </c>
      <c r="P2878" t="b">
        <v>1</v>
      </c>
      <c r="Q2878">
        <v>6780.0219345426203</v>
      </c>
      <c r="R2878">
        <v>36641.841481899282</v>
      </c>
      <c r="S2878">
        <v>-9.0820447737829078</v>
      </c>
      <c r="T2878">
        <v>56.411716493749786</v>
      </c>
      <c r="U2878">
        <v>0</v>
      </c>
      <c r="V2878">
        <v>0</v>
      </c>
    </row>
    <row r="2879" spans="1:22" x14ac:dyDescent="0.2">
      <c r="A2879"/>
      <c r="B2879">
        <v>71084</v>
      </c>
      <c r="C2879" t="s">
        <v>286</v>
      </c>
      <c r="D2879" t="s">
        <v>192</v>
      </c>
      <c r="E2879" t="s">
        <v>1272</v>
      </c>
      <c r="F2879" t="s">
        <v>118</v>
      </c>
      <c r="G2879">
        <v>316.97006859155823</v>
      </c>
      <c r="H2879" t="s">
        <v>248</v>
      </c>
      <c r="M2879" t="s">
        <v>187</v>
      </c>
      <c r="N2879">
        <v>15633.067163617299</v>
      </c>
      <c r="O2879" t="s">
        <v>248</v>
      </c>
      <c r="P2879" t="b">
        <v>1</v>
      </c>
      <c r="Q2879">
        <v>6780.0219345426203</v>
      </c>
      <c r="R2879">
        <v>36641.841481899282</v>
      </c>
      <c r="S2879">
        <v>-9.0820447737829078</v>
      </c>
      <c r="T2879">
        <v>56.411716493749786</v>
      </c>
      <c r="U2879">
        <v>0</v>
      </c>
      <c r="V2879">
        <v>0</v>
      </c>
    </row>
    <row r="2880" spans="1:22" x14ac:dyDescent="0.2">
      <c r="A2880"/>
      <c r="B2880">
        <v>71085</v>
      </c>
      <c r="C2880" t="s">
        <v>287</v>
      </c>
      <c r="D2880" t="s">
        <v>192</v>
      </c>
      <c r="E2880" t="s">
        <v>1272</v>
      </c>
      <c r="F2880" t="s">
        <v>118</v>
      </c>
      <c r="G2880">
        <v>316.97006859155823</v>
      </c>
      <c r="H2880" t="s">
        <v>248</v>
      </c>
      <c r="I2880">
        <v>0</v>
      </c>
      <c r="J2880">
        <v>0</v>
      </c>
      <c r="K2880">
        <v>0</v>
      </c>
      <c r="L2880">
        <v>0</v>
      </c>
      <c r="M2880" t="s">
        <v>187</v>
      </c>
      <c r="N2880">
        <v>15634.862977155701</v>
      </c>
      <c r="O2880" t="s">
        <v>248</v>
      </c>
      <c r="P2880" t="b">
        <v>1</v>
      </c>
      <c r="Q2880">
        <v>6781.0176778409659</v>
      </c>
      <c r="R2880">
        <v>36643.335899099358</v>
      </c>
      <c r="S2880">
        <v>-9.0945412386145641</v>
      </c>
      <c r="T2880">
        <v>56.236563970597871</v>
      </c>
      <c r="U2880">
        <v>0</v>
      </c>
      <c r="V2880">
        <v>0</v>
      </c>
    </row>
    <row r="2881" spans="1:22" x14ac:dyDescent="0.2">
      <c r="A2881"/>
      <c r="B2881">
        <v>71085</v>
      </c>
      <c r="C2881" t="s">
        <v>287</v>
      </c>
      <c r="D2881" t="s">
        <v>192</v>
      </c>
      <c r="E2881" t="s">
        <v>1272</v>
      </c>
      <c r="F2881" t="s">
        <v>118</v>
      </c>
      <c r="G2881">
        <v>360.96750028175535</v>
      </c>
      <c r="H2881" t="s">
        <v>248</v>
      </c>
      <c r="M2881" t="s">
        <v>187</v>
      </c>
      <c r="N2881">
        <v>15634.862977155701</v>
      </c>
      <c r="O2881" t="s">
        <v>248</v>
      </c>
      <c r="P2881" t="b">
        <v>1</v>
      </c>
      <c r="Q2881">
        <v>6781.0176778409659</v>
      </c>
      <c r="R2881">
        <v>36643.335899099358</v>
      </c>
      <c r="S2881">
        <v>-9.0945412386145641</v>
      </c>
      <c r="T2881">
        <v>56.236563970597871</v>
      </c>
      <c r="U2881">
        <v>0</v>
      </c>
      <c r="V2881">
        <v>0</v>
      </c>
    </row>
    <row r="2882" spans="1:22" x14ac:dyDescent="0.2">
      <c r="A2882"/>
      <c r="B2882">
        <v>71086</v>
      </c>
      <c r="C2882" t="s">
        <v>288</v>
      </c>
      <c r="D2882" t="s">
        <v>192</v>
      </c>
      <c r="E2882" t="s">
        <v>1272</v>
      </c>
      <c r="F2882" t="s">
        <v>283</v>
      </c>
      <c r="G2882">
        <v>39.7899999999999</v>
      </c>
      <c r="H2882" t="s">
        <v>248</v>
      </c>
      <c r="I2882">
        <v>0</v>
      </c>
      <c r="J2882">
        <v>0</v>
      </c>
      <c r="K2882">
        <v>0</v>
      </c>
      <c r="L2882">
        <v>0</v>
      </c>
      <c r="M2882" t="s">
        <v>283</v>
      </c>
      <c r="N2882">
        <v>39.7899999999999</v>
      </c>
      <c r="O2882" t="s">
        <v>248</v>
      </c>
      <c r="P2882" t="b">
        <v>1</v>
      </c>
      <c r="Q2882">
        <v>6670.4878339178595</v>
      </c>
      <c r="R2882">
        <v>36294.418568310582</v>
      </c>
      <c r="S2882">
        <v>-3.9605843996901635</v>
      </c>
      <c r="T2882">
        <v>72.23060904396587</v>
      </c>
      <c r="U2882">
        <v>0</v>
      </c>
      <c r="V2882">
        <v>0</v>
      </c>
    </row>
    <row r="2883" spans="1:22" x14ac:dyDescent="0.2">
      <c r="A2883"/>
      <c r="B2883">
        <v>71086</v>
      </c>
      <c r="C2883" t="s">
        <v>288</v>
      </c>
      <c r="D2883" t="s">
        <v>192</v>
      </c>
      <c r="E2883" t="s">
        <v>1272</v>
      </c>
      <c r="F2883" t="s">
        <v>184</v>
      </c>
      <c r="G2883">
        <v>15</v>
      </c>
      <c r="H2883" t="s">
        <v>248</v>
      </c>
      <c r="M2883" t="s">
        <v>283</v>
      </c>
      <c r="N2883">
        <v>39.7899999999999</v>
      </c>
      <c r="O2883" t="s">
        <v>248</v>
      </c>
      <c r="P2883" t="b">
        <v>1</v>
      </c>
      <c r="Q2883">
        <v>6670.4878339178595</v>
      </c>
      <c r="R2883">
        <v>36294.418568310582</v>
      </c>
      <c r="S2883">
        <v>-3.9605843996901635</v>
      </c>
      <c r="T2883">
        <v>72.23060904396587</v>
      </c>
      <c r="U2883">
        <v>0</v>
      </c>
      <c r="V2883">
        <v>0</v>
      </c>
    </row>
    <row r="2884" spans="1:22" x14ac:dyDescent="0.2">
      <c r="A2884"/>
      <c r="B2884">
        <v>71087</v>
      </c>
      <c r="C2884" t="s">
        <v>289</v>
      </c>
      <c r="D2884" t="s">
        <v>192</v>
      </c>
      <c r="E2884" t="s">
        <v>1272</v>
      </c>
      <c r="F2884" t="s">
        <v>184</v>
      </c>
      <c r="G2884">
        <v>15</v>
      </c>
      <c r="H2884" t="s">
        <v>248</v>
      </c>
      <c r="I2884">
        <v>0</v>
      </c>
      <c r="J2884">
        <v>0</v>
      </c>
      <c r="K2884">
        <v>0</v>
      </c>
      <c r="L2884">
        <v>0</v>
      </c>
      <c r="M2884" t="s">
        <v>184</v>
      </c>
      <c r="N2884">
        <v>15</v>
      </c>
      <c r="O2884" t="s">
        <v>248</v>
      </c>
      <c r="P2884" t="b">
        <v>1</v>
      </c>
      <c r="Q2884">
        <v>6682.5155122773849</v>
      </c>
      <c r="R2884">
        <v>36345.481453567947</v>
      </c>
      <c r="S2884">
        <v>-3.9662399433126847</v>
      </c>
      <c r="T2884">
        <v>78.618875943677068</v>
      </c>
      <c r="U2884">
        <v>0</v>
      </c>
      <c r="V2884">
        <v>0</v>
      </c>
    </row>
    <row r="2885" spans="1:22" x14ac:dyDescent="0.2">
      <c r="A2885"/>
      <c r="B2885">
        <v>71087</v>
      </c>
      <c r="C2885" t="s">
        <v>289</v>
      </c>
      <c r="D2885" t="s">
        <v>192</v>
      </c>
      <c r="E2885" t="s">
        <v>1272</v>
      </c>
      <c r="F2885" t="s">
        <v>184</v>
      </c>
      <c r="G2885">
        <v>64</v>
      </c>
      <c r="H2885" t="s">
        <v>248</v>
      </c>
      <c r="M2885" t="s">
        <v>184</v>
      </c>
      <c r="N2885">
        <v>15</v>
      </c>
      <c r="O2885" t="s">
        <v>248</v>
      </c>
      <c r="P2885" t="b">
        <v>1</v>
      </c>
      <c r="Q2885">
        <v>6682.5155122773849</v>
      </c>
      <c r="R2885">
        <v>36345.481453567947</v>
      </c>
      <c r="S2885">
        <v>-3.9662399433126847</v>
      </c>
      <c r="T2885">
        <v>78.618875943677068</v>
      </c>
      <c r="U2885">
        <v>0</v>
      </c>
      <c r="V2885">
        <v>0</v>
      </c>
    </row>
    <row r="2886" spans="1:22" x14ac:dyDescent="0.2">
      <c r="A2886"/>
      <c r="B2886">
        <v>71088</v>
      </c>
      <c r="C2886" t="s">
        <v>290</v>
      </c>
      <c r="D2886" t="s">
        <v>192</v>
      </c>
      <c r="E2886" t="s">
        <v>1272</v>
      </c>
      <c r="F2886" t="s">
        <v>184</v>
      </c>
      <c r="G2886">
        <v>64</v>
      </c>
      <c r="H2886" t="s">
        <v>248</v>
      </c>
      <c r="I2886">
        <v>0</v>
      </c>
      <c r="J2886">
        <v>0</v>
      </c>
      <c r="K2886">
        <v>0</v>
      </c>
      <c r="L2886">
        <v>0</v>
      </c>
      <c r="M2886" t="s">
        <v>184</v>
      </c>
      <c r="N2886">
        <v>64</v>
      </c>
      <c r="O2886" t="s">
        <v>248</v>
      </c>
      <c r="P2886" t="b">
        <v>1</v>
      </c>
      <c r="Q2886">
        <v>6695.1989640339571</v>
      </c>
      <c r="R2886">
        <v>36392.779795326038</v>
      </c>
      <c r="S2886">
        <v>-3.9628556846869127</v>
      </c>
      <c r="T2886">
        <v>73.071240555530963</v>
      </c>
      <c r="U2886">
        <v>0</v>
      </c>
      <c r="V2886">
        <v>0</v>
      </c>
    </row>
    <row r="2887" spans="1:22" x14ac:dyDescent="0.2">
      <c r="A2887"/>
      <c r="B2887">
        <v>71088</v>
      </c>
      <c r="C2887" t="s">
        <v>290</v>
      </c>
      <c r="D2887" t="s">
        <v>192</v>
      </c>
      <c r="E2887" t="s">
        <v>1272</v>
      </c>
      <c r="F2887" t="s">
        <v>184</v>
      </c>
      <c r="G2887">
        <v>386</v>
      </c>
      <c r="H2887" t="s">
        <v>248</v>
      </c>
      <c r="M2887" t="s">
        <v>184</v>
      </c>
      <c r="N2887">
        <v>64</v>
      </c>
      <c r="O2887" t="s">
        <v>248</v>
      </c>
      <c r="P2887" t="b">
        <v>1</v>
      </c>
      <c r="Q2887">
        <v>6695.1989640339571</v>
      </c>
      <c r="R2887">
        <v>36392.779795326038</v>
      </c>
      <c r="S2887">
        <v>-3.9628556846869127</v>
      </c>
      <c r="T2887">
        <v>73.071240555530963</v>
      </c>
      <c r="U2887">
        <v>0</v>
      </c>
      <c r="V2887">
        <v>0</v>
      </c>
    </row>
    <row r="2888" spans="1:22" x14ac:dyDescent="0.2">
      <c r="A2888"/>
      <c r="B2888">
        <v>71089</v>
      </c>
      <c r="C2888" t="s">
        <v>291</v>
      </c>
      <c r="D2888" t="s">
        <v>192</v>
      </c>
      <c r="E2888" t="s">
        <v>1272</v>
      </c>
      <c r="F2888" t="s">
        <v>180</v>
      </c>
      <c r="G2888">
        <v>70</v>
      </c>
      <c r="H2888" t="s">
        <v>248</v>
      </c>
      <c r="I2888">
        <v>0</v>
      </c>
      <c r="J2888">
        <v>0</v>
      </c>
      <c r="K2888">
        <v>0</v>
      </c>
      <c r="L2888">
        <v>0</v>
      </c>
      <c r="M2888" t="s">
        <v>180</v>
      </c>
      <c r="N2888">
        <v>70</v>
      </c>
      <c r="O2888" t="s">
        <v>248</v>
      </c>
      <c r="P2888" t="b">
        <v>1</v>
      </c>
      <c r="Q2888">
        <v>6696.5120851355377</v>
      </c>
      <c r="R2888">
        <v>36414.105261649871</v>
      </c>
      <c r="S2888">
        <v>-3.9621601538399238</v>
      </c>
      <c r="T2888">
        <v>72.908686704239898</v>
      </c>
      <c r="U2888">
        <v>0</v>
      </c>
      <c r="V2888">
        <v>0</v>
      </c>
    </row>
    <row r="2889" spans="1:22" x14ac:dyDescent="0.2">
      <c r="A2889"/>
      <c r="B2889">
        <v>71089</v>
      </c>
      <c r="C2889" t="s">
        <v>291</v>
      </c>
      <c r="D2889" t="s">
        <v>192</v>
      </c>
      <c r="E2889" t="s">
        <v>1272</v>
      </c>
      <c r="F2889" t="s">
        <v>180</v>
      </c>
      <c r="G2889">
        <v>374</v>
      </c>
      <c r="H2889" t="s">
        <v>248</v>
      </c>
      <c r="M2889" t="s">
        <v>180</v>
      </c>
      <c r="N2889">
        <v>70</v>
      </c>
      <c r="O2889" t="s">
        <v>248</v>
      </c>
      <c r="P2889" t="b">
        <v>1</v>
      </c>
      <c r="Q2889">
        <v>6696.5120851355377</v>
      </c>
      <c r="R2889">
        <v>36414.105261649871</v>
      </c>
      <c r="S2889">
        <v>-3.9621601538399238</v>
      </c>
      <c r="T2889">
        <v>72.908686704239898</v>
      </c>
      <c r="U2889">
        <v>0</v>
      </c>
      <c r="V2889">
        <v>0</v>
      </c>
    </row>
    <row r="2890" spans="1:22" x14ac:dyDescent="0.2">
      <c r="A2890"/>
      <c r="B2890">
        <v>72000</v>
      </c>
      <c r="C2890" t="s">
        <v>293</v>
      </c>
      <c r="D2890" t="s">
        <v>69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</row>
    <row r="2891" spans="1:22" x14ac:dyDescent="0.2">
      <c r="A2891"/>
      <c r="B2891">
        <v>72001</v>
      </c>
      <c r="C2891" t="s">
        <v>1323</v>
      </c>
      <c r="D2891" t="s">
        <v>65</v>
      </c>
      <c r="F2891" t="s">
        <v>122</v>
      </c>
      <c r="G2891">
        <v>156.44878122724731</v>
      </c>
      <c r="H2891" t="s">
        <v>248</v>
      </c>
      <c r="I2891">
        <v>-5</v>
      </c>
      <c r="J2891">
        <v>0</v>
      </c>
      <c r="K2891">
        <v>0</v>
      </c>
      <c r="L2891">
        <v>0</v>
      </c>
      <c r="M2891" t="s">
        <v>188</v>
      </c>
      <c r="N2891">
        <v>480.38356667393998</v>
      </c>
      <c r="O2891" t="s">
        <v>248</v>
      </c>
      <c r="P2891" t="b">
        <v>1</v>
      </c>
      <c r="Q2891">
        <v>4964.5470163602668</v>
      </c>
      <c r="R2891">
        <v>22076.78497706242</v>
      </c>
      <c r="S2891">
        <v>-3.0169234902879859E-3</v>
      </c>
      <c r="T2891">
        <v>79.401622693265125</v>
      </c>
      <c r="U2891">
        <v>0</v>
      </c>
      <c r="V2891">
        <v>0</v>
      </c>
    </row>
    <row r="2892" spans="1:22" x14ac:dyDescent="0.2">
      <c r="A2892"/>
      <c r="B2892">
        <v>72002</v>
      </c>
      <c r="C2892" t="s">
        <v>1324</v>
      </c>
      <c r="D2892" t="s">
        <v>59</v>
      </c>
      <c r="E2892" t="s">
        <v>1091</v>
      </c>
      <c r="F2892" t="s">
        <v>122</v>
      </c>
      <c r="G2892">
        <v>156.44878122724731</v>
      </c>
      <c r="H2892" t="s">
        <v>248</v>
      </c>
      <c r="I2892">
        <v>-2.5</v>
      </c>
      <c r="J2892">
        <v>0</v>
      </c>
      <c r="K2892">
        <v>270</v>
      </c>
      <c r="L2892">
        <v>0</v>
      </c>
      <c r="M2892" t="s">
        <v>188</v>
      </c>
      <c r="N2892">
        <v>480.38356667393998</v>
      </c>
      <c r="O2892" t="s">
        <v>248</v>
      </c>
      <c r="P2892" t="b">
        <v>1</v>
      </c>
      <c r="Q2892">
        <v>4967.0043677565272</v>
      </c>
      <c r="R2892">
        <v>22076.325168281186</v>
      </c>
      <c r="S2892">
        <v>-3.0169234902879859E-3</v>
      </c>
      <c r="T2892">
        <v>-10.598377306734847</v>
      </c>
      <c r="U2892">
        <v>0</v>
      </c>
      <c r="V2892">
        <v>0</v>
      </c>
    </row>
    <row r="2893" spans="1:22" x14ac:dyDescent="0.2">
      <c r="A2893"/>
      <c r="B2893">
        <v>72003</v>
      </c>
      <c r="C2893" t="s">
        <v>1325</v>
      </c>
      <c r="D2893" t="s">
        <v>57</v>
      </c>
      <c r="E2893" t="s">
        <v>1091</v>
      </c>
      <c r="F2893" t="s">
        <v>122</v>
      </c>
      <c r="G2893">
        <v>156.44878122724731</v>
      </c>
      <c r="H2893" t="s">
        <v>248</v>
      </c>
      <c r="I2893">
        <v>-2.5</v>
      </c>
      <c r="J2893">
        <v>0</v>
      </c>
      <c r="K2893">
        <v>270</v>
      </c>
      <c r="L2893">
        <v>0</v>
      </c>
      <c r="M2893" t="s">
        <v>188</v>
      </c>
      <c r="N2893">
        <v>480.38356667393998</v>
      </c>
      <c r="O2893" t="s">
        <v>248</v>
      </c>
      <c r="P2893" t="b">
        <v>1</v>
      </c>
      <c r="Q2893">
        <v>4967.0043677565272</v>
      </c>
      <c r="R2893">
        <v>22076.325168281186</v>
      </c>
      <c r="S2893">
        <v>-3.0169234902879859E-3</v>
      </c>
      <c r="T2893">
        <v>-10.598377306734847</v>
      </c>
      <c r="U2893">
        <v>0</v>
      </c>
      <c r="V2893">
        <v>0</v>
      </c>
    </row>
    <row r="2894" spans="1:22" x14ac:dyDescent="0.2">
      <c r="A2894"/>
      <c r="B2894">
        <v>72004</v>
      </c>
      <c r="C2894" t="s">
        <v>1326</v>
      </c>
      <c r="D2894" t="s">
        <v>55</v>
      </c>
      <c r="E2894" t="s">
        <v>52</v>
      </c>
      <c r="F2894" t="s">
        <v>122</v>
      </c>
      <c r="G2894">
        <v>156.44878122724731</v>
      </c>
      <c r="H2894" t="s">
        <v>248</v>
      </c>
      <c r="I2894">
        <v>-2.5</v>
      </c>
      <c r="J2894">
        <v>0</v>
      </c>
      <c r="K2894">
        <v>270</v>
      </c>
      <c r="L2894">
        <v>0</v>
      </c>
      <c r="M2894" t="s">
        <v>188</v>
      </c>
      <c r="N2894">
        <v>480.38356667393998</v>
      </c>
      <c r="O2894" t="s">
        <v>248</v>
      </c>
      <c r="P2894" t="b">
        <v>1</v>
      </c>
      <c r="Q2894">
        <v>4967.0043677565272</v>
      </c>
      <c r="R2894">
        <v>22076.325168281186</v>
      </c>
      <c r="S2894">
        <v>-3.0169234902879859E-3</v>
      </c>
      <c r="T2894">
        <v>-10.598377306734847</v>
      </c>
      <c r="U2894">
        <v>0</v>
      </c>
      <c r="V2894">
        <v>0</v>
      </c>
    </row>
    <row r="2895" spans="1:22" x14ac:dyDescent="0.2">
      <c r="A2895"/>
      <c r="B2895">
        <v>72005</v>
      </c>
      <c r="C2895" t="s">
        <v>1327</v>
      </c>
      <c r="D2895" t="s">
        <v>54</v>
      </c>
      <c r="E2895" t="s">
        <v>52</v>
      </c>
      <c r="F2895" t="s">
        <v>122</v>
      </c>
      <c r="G2895">
        <v>156.44878122724731</v>
      </c>
      <c r="H2895" t="s">
        <v>248</v>
      </c>
      <c r="I2895">
        <v>-2.5</v>
      </c>
      <c r="J2895">
        <v>0</v>
      </c>
      <c r="K2895">
        <v>270</v>
      </c>
      <c r="L2895">
        <v>0</v>
      </c>
      <c r="M2895" t="s">
        <v>188</v>
      </c>
      <c r="N2895">
        <v>480.38356667393998</v>
      </c>
      <c r="O2895" t="s">
        <v>248</v>
      </c>
      <c r="P2895" t="b">
        <v>1</v>
      </c>
      <c r="Q2895">
        <v>4967.0043677565272</v>
      </c>
      <c r="R2895">
        <v>22076.325168281186</v>
      </c>
      <c r="S2895">
        <v>-3.0169234902879859E-3</v>
      </c>
      <c r="T2895">
        <v>-10.598377306734847</v>
      </c>
      <c r="U2895">
        <v>0</v>
      </c>
      <c r="V2895">
        <v>0</v>
      </c>
    </row>
    <row r="2896" spans="1:22" x14ac:dyDescent="0.2">
      <c r="A2896"/>
      <c r="B2896">
        <v>72006</v>
      </c>
      <c r="C2896" t="s">
        <v>1328</v>
      </c>
      <c r="D2896" t="s">
        <v>53</v>
      </c>
      <c r="E2896" t="s">
        <v>52</v>
      </c>
      <c r="F2896" t="s">
        <v>122</v>
      </c>
      <c r="G2896">
        <v>156.44878122724731</v>
      </c>
      <c r="H2896" t="s">
        <v>248</v>
      </c>
      <c r="I2896">
        <v>-2.5</v>
      </c>
      <c r="J2896">
        <v>0</v>
      </c>
      <c r="K2896">
        <v>270</v>
      </c>
      <c r="L2896">
        <v>0</v>
      </c>
      <c r="M2896" t="s">
        <v>188</v>
      </c>
      <c r="N2896">
        <v>480.38356667393998</v>
      </c>
      <c r="O2896" t="s">
        <v>248</v>
      </c>
      <c r="P2896" t="b">
        <v>1</v>
      </c>
      <c r="Q2896">
        <v>4967.0043677565272</v>
      </c>
      <c r="R2896">
        <v>22076.325168281186</v>
      </c>
      <c r="S2896">
        <v>-3.0169234902879859E-3</v>
      </c>
      <c r="T2896">
        <v>-10.598377306734847</v>
      </c>
      <c r="U2896">
        <v>0</v>
      </c>
      <c r="V2896">
        <v>0</v>
      </c>
    </row>
    <row r="2897" spans="1:22" x14ac:dyDescent="0.2">
      <c r="A2897"/>
      <c r="B2897">
        <v>72007</v>
      </c>
      <c r="C2897" t="s">
        <v>1329</v>
      </c>
      <c r="D2897" t="s">
        <v>65</v>
      </c>
      <c r="F2897" t="s">
        <v>84</v>
      </c>
      <c r="G2897">
        <v>156.33890513113374</v>
      </c>
      <c r="H2897" t="s">
        <v>248</v>
      </c>
      <c r="I2897">
        <v>5</v>
      </c>
      <c r="J2897">
        <v>0</v>
      </c>
      <c r="K2897">
        <v>0</v>
      </c>
      <c r="L2897">
        <v>0</v>
      </c>
      <c r="M2897" t="s">
        <v>187</v>
      </c>
      <c r="N2897">
        <v>480.26770760169001</v>
      </c>
      <c r="O2897" t="s">
        <v>248</v>
      </c>
      <c r="P2897" t="b">
        <v>1</v>
      </c>
      <c r="Q2897">
        <v>4979.1025174706519</v>
      </c>
      <c r="R2897">
        <v>22073.437839062975</v>
      </c>
      <c r="S2897">
        <v>-5.0527001990157416E-3</v>
      </c>
      <c r="T2897">
        <v>79.547626077368619</v>
      </c>
      <c r="U2897">
        <v>0</v>
      </c>
      <c r="V2897">
        <v>0</v>
      </c>
    </row>
    <row r="2898" spans="1:22" x14ac:dyDescent="0.2">
      <c r="A2898"/>
      <c r="B2898">
        <v>72008</v>
      </c>
      <c r="C2898" t="s">
        <v>1330</v>
      </c>
      <c r="D2898" t="s">
        <v>59</v>
      </c>
      <c r="E2898" t="s">
        <v>1091</v>
      </c>
      <c r="F2898" t="s">
        <v>84</v>
      </c>
      <c r="G2898">
        <v>156.33890513113374</v>
      </c>
      <c r="H2898" t="s">
        <v>248</v>
      </c>
      <c r="I2898">
        <v>2.5</v>
      </c>
      <c r="J2898">
        <v>0</v>
      </c>
      <c r="K2898">
        <v>90</v>
      </c>
      <c r="L2898">
        <v>0</v>
      </c>
      <c r="M2898" t="s">
        <v>187</v>
      </c>
      <c r="N2898">
        <v>480.26770760169001</v>
      </c>
      <c r="O2898" t="s">
        <v>248</v>
      </c>
      <c r="P2898" t="b">
        <v>1</v>
      </c>
      <c r="Q2898">
        <v>4976.6440023510686</v>
      </c>
      <c r="R2898">
        <v>22073.891384437531</v>
      </c>
      <c r="S2898">
        <v>-5.0527001990157416E-3</v>
      </c>
      <c r="T2898">
        <v>169.54762607736862</v>
      </c>
      <c r="U2898">
        <v>0</v>
      </c>
      <c r="V2898">
        <v>0</v>
      </c>
    </row>
    <row r="2899" spans="1:22" x14ac:dyDescent="0.2">
      <c r="A2899"/>
      <c r="B2899">
        <v>72009</v>
      </c>
      <c r="C2899" t="s">
        <v>1331</v>
      </c>
      <c r="D2899" t="s">
        <v>57</v>
      </c>
      <c r="E2899" t="s">
        <v>1091</v>
      </c>
      <c r="F2899" t="s">
        <v>84</v>
      </c>
      <c r="G2899">
        <v>156.33890513113374</v>
      </c>
      <c r="H2899" t="s">
        <v>248</v>
      </c>
      <c r="I2899">
        <v>2.5</v>
      </c>
      <c r="J2899">
        <v>0</v>
      </c>
      <c r="K2899">
        <v>90</v>
      </c>
      <c r="L2899">
        <v>0</v>
      </c>
      <c r="M2899" t="s">
        <v>187</v>
      </c>
      <c r="N2899">
        <v>480.26770760169001</v>
      </c>
      <c r="O2899" t="s">
        <v>248</v>
      </c>
      <c r="P2899" t="b">
        <v>1</v>
      </c>
      <c r="Q2899">
        <v>4976.6440023510686</v>
      </c>
      <c r="R2899">
        <v>22073.891384437531</v>
      </c>
      <c r="S2899">
        <v>-5.0527001990157416E-3</v>
      </c>
      <c r="T2899">
        <v>169.54762607736862</v>
      </c>
      <c r="U2899">
        <v>0</v>
      </c>
      <c r="V2899">
        <v>0</v>
      </c>
    </row>
    <row r="2900" spans="1:22" x14ac:dyDescent="0.2">
      <c r="A2900"/>
      <c r="B2900">
        <v>72010</v>
      </c>
      <c r="C2900" t="s">
        <v>1332</v>
      </c>
      <c r="D2900" t="s">
        <v>55</v>
      </c>
      <c r="E2900" t="s">
        <v>52</v>
      </c>
      <c r="F2900" t="s">
        <v>84</v>
      </c>
      <c r="G2900">
        <v>156.33890513113374</v>
      </c>
      <c r="H2900" t="s">
        <v>248</v>
      </c>
      <c r="I2900">
        <v>2.5</v>
      </c>
      <c r="J2900">
        <v>0</v>
      </c>
      <c r="K2900">
        <v>90</v>
      </c>
      <c r="L2900">
        <v>0</v>
      </c>
      <c r="M2900" t="s">
        <v>187</v>
      </c>
      <c r="N2900">
        <v>480.26770760169001</v>
      </c>
      <c r="O2900" t="s">
        <v>248</v>
      </c>
      <c r="P2900" t="b">
        <v>1</v>
      </c>
      <c r="Q2900">
        <v>4976.6440023510686</v>
      </c>
      <c r="R2900">
        <v>22073.891384437531</v>
      </c>
      <c r="S2900">
        <v>-5.0527001990157416E-3</v>
      </c>
      <c r="T2900">
        <v>169.54762607736862</v>
      </c>
      <c r="U2900">
        <v>0</v>
      </c>
      <c r="V2900">
        <v>0</v>
      </c>
    </row>
    <row r="2901" spans="1:22" x14ac:dyDescent="0.2">
      <c r="A2901"/>
      <c r="B2901">
        <v>72011</v>
      </c>
      <c r="C2901" t="s">
        <v>1333</v>
      </c>
      <c r="D2901" t="s">
        <v>54</v>
      </c>
      <c r="E2901" t="s">
        <v>52</v>
      </c>
      <c r="F2901" t="s">
        <v>84</v>
      </c>
      <c r="G2901">
        <v>156.33890513113374</v>
      </c>
      <c r="H2901" t="s">
        <v>248</v>
      </c>
      <c r="I2901">
        <v>2.5</v>
      </c>
      <c r="J2901">
        <v>0</v>
      </c>
      <c r="K2901">
        <v>90</v>
      </c>
      <c r="L2901">
        <v>0</v>
      </c>
      <c r="M2901" t="s">
        <v>187</v>
      </c>
      <c r="N2901">
        <v>480.26770760169001</v>
      </c>
      <c r="O2901" t="s">
        <v>248</v>
      </c>
      <c r="P2901" t="b">
        <v>1</v>
      </c>
      <c r="Q2901">
        <v>4976.6440023510686</v>
      </c>
      <c r="R2901">
        <v>22073.891384437531</v>
      </c>
      <c r="S2901">
        <v>-5.0527001990157416E-3</v>
      </c>
      <c r="T2901">
        <v>169.54762607736862</v>
      </c>
      <c r="U2901">
        <v>0</v>
      </c>
      <c r="V2901">
        <v>0</v>
      </c>
    </row>
    <row r="2902" spans="1:22" x14ac:dyDescent="0.2">
      <c r="A2902"/>
      <c r="B2902">
        <v>72012</v>
      </c>
      <c r="C2902" t="s">
        <v>1334</v>
      </c>
      <c r="D2902" t="s">
        <v>53</v>
      </c>
      <c r="E2902" t="s">
        <v>52</v>
      </c>
      <c r="F2902" t="s">
        <v>84</v>
      </c>
      <c r="G2902">
        <v>156.33890513113374</v>
      </c>
      <c r="H2902" t="s">
        <v>248</v>
      </c>
      <c r="I2902">
        <v>2.5</v>
      </c>
      <c r="J2902">
        <v>0</v>
      </c>
      <c r="K2902">
        <v>90</v>
      </c>
      <c r="L2902">
        <v>0</v>
      </c>
      <c r="M2902" t="s">
        <v>187</v>
      </c>
      <c r="N2902">
        <v>480.26770760169001</v>
      </c>
      <c r="O2902" t="s">
        <v>248</v>
      </c>
      <c r="P2902" t="b">
        <v>1</v>
      </c>
      <c r="Q2902">
        <v>4976.6440023510686</v>
      </c>
      <c r="R2902">
        <v>22073.891384437531</v>
      </c>
      <c r="S2902">
        <v>-5.0527001990157416E-3</v>
      </c>
      <c r="T2902">
        <v>169.54762607736862</v>
      </c>
      <c r="U2902">
        <v>0</v>
      </c>
      <c r="V2902">
        <v>0</v>
      </c>
    </row>
    <row r="2903" spans="1:22" x14ac:dyDescent="0.2">
      <c r="A2903"/>
      <c r="B2903">
        <v>72013</v>
      </c>
      <c r="C2903" t="s">
        <v>299</v>
      </c>
      <c r="D2903" t="s">
        <v>69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</row>
    <row r="2904" spans="1:22" x14ac:dyDescent="0.2">
      <c r="A2904"/>
      <c r="B2904">
        <v>72014</v>
      </c>
      <c r="C2904" t="s">
        <v>1335</v>
      </c>
      <c r="D2904" t="s">
        <v>65</v>
      </c>
      <c r="F2904" t="s">
        <v>123</v>
      </c>
      <c r="G2904">
        <v>1356.0932665108244</v>
      </c>
      <c r="H2904" t="s">
        <v>248</v>
      </c>
      <c r="I2904">
        <v>-5</v>
      </c>
      <c r="J2904">
        <v>0</v>
      </c>
      <c r="K2904">
        <v>0</v>
      </c>
      <c r="L2904">
        <v>0</v>
      </c>
      <c r="M2904" t="s">
        <v>188</v>
      </c>
      <c r="N2904">
        <v>2056.8741856254301</v>
      </c>
      <c r="O2904" t="s">
        <v>248</v>
      </c>
      <c r="P2904" t="b">
        <v>1</v>
      </c>
      <c r="Q2904">
        <v>5065.4236196701759</v>
      </c>
      <c r="R2904">
        <v>23608.32905997198</v>
      </c>
      <c r="S2904">
        <v>7.4139142264247937</v>
      </c>
      <c r="T2904">
        <v>88.23727820768957</v>
      </c>
      <c r="U2904">
        <v>0</v>
      </c>
      <c r="V2904">
        <v>0</v>
      </c>
    </row>
    <row r="2905" spans="1:22" x14ac:dyDescent="0.2">
      <c r="A2905"/>
      <c r="B2905">
        <v>72015</v>
      </c>
      <c r="C2905" t="s">
        <v>1336</v>
      </c>
      <c r="D2905" t="s">
        <v>59</v>
      </c>
      <c r="E2905" t="s">
        <v>1091</v>
      </c>
      <c r="F2905" t="s">
        <v>123</v>
      </c>
      <c r="G2905">
        <v>1356.0932665108244</v>
      </c>
      <c r="H2905" t="s">
        <v>248</v>
      </c>
      <c r="I2905">
        <v>-2.5</v>
      </c>
      <c r="J2905">
        <v>0</v>
      </c>
      <c r="K2905">
        <v>270</v>
      </c>
      <c r="L2905">
        <v>0</v>
      </c>
      <c r="M2905" t="s">
        <v>188</v>
      </c>
      <c r="N2905">
        <v>2056.8741856254301</v>
      </c>
      <c r="O2905" t="s">
        <v>248</v>
      </c>
      <c r="P2905" t="b">
        <v>1</v>
      </c>
      <c r="Q2905">
        <v>5067.9224366339595</v>
      </c>
      <c r="R2905">
        <v>23608.252158856834</v>
      </c>
      <c r="S2905">
        <v>7.4139142264247937</v>
      </c>
      <c r="T2905">
        <v>-1.7627217923104581</v>
      </c>
      <c r="U2905">
        <v>0</v>
      </c>
      <c r="V2905">
        <v>0</v>
      </c>
    </row>
    <row r="2906" spans="1:22" x14ac:dyDescent="0.2">
      <c r="A2906"/>
      <c r="B2906">
        <v>72016</v>
      </c>
      <c r="C2906" t="s">
        <v>1337</v>
      </c>
      <c r="D2906" t="s">
        <v>57</v>
      </c>
      <c r="E2906" t="s">
        <v>1091</v>
      </c>
      <c r="F2906" t="s">
        <v>123</v>
      </c>
      <c r="G2906">
        <v>1356.0932665108244</v>
      </c>
      <c r="H2906" t="s">
        <v>248</v>
      </c>
      <c r="I2906">
        <v>-2.5</v>
      </c>
      <c r="J2906">
        <v>0</v>
      </c>
      <c r="K2906">
        <v>270</v>
      </c>
      <c r="L2906">
        <v>0</v>
      </c>
      <c r="M2906" t="s">
        <v>188</v>
      </c>
      <c r="N2906">
        <v>2056.8741856254301</v>
      </c>
      <c r="O2906" t="s">
        <v>248</v>
      </c>
      <c r="P2906" t="b">
        <v>1</v>
      </c>
      <c r="Q2906">
        <v>5067.9224366339595</v>
      </c>
      <c r="R2906">
        <v>23608.252158856834</v>
      </c>
      <c r="S2906">
        <v>7.4139142264247937</v>
      </c>
      <c r="T2906">
        <v>-1.7627217923104581</v>
      </c>
      <c r="U2906">
        <v>0</v>
      </c>
      <c r="V2906">
        <v>0</v>
      </c>
    </row>
    <row r="2907" spans="1:22" x14ac:dyDescent="0.2">
      <c r="A2907"/>
      <c r="B2907">
        <v>72017</v>
      </c>
      <c r="C2907" t="s">
        <v>1338</v>
      </c>
      <c r="D2907" t="s">
        <v>55</v>
      </c>
      <c r="E2907" t="s">
        <v>52</v>
      </c>
      <c r="F2907" t="s">
        <v>123</v>
      </c>
      <c r="G2907">
        <v>1356.0932665108244</v>
      </c>
      <c r="H2907" t="s">
        <v>248</v>
      </c>
      <c r="I2907">
        <v>-2.5</v>
      </c>
      <c r="J2907">
        <v>0</v>
      </c>
      <c r="K2907">
        <v>270</v>
      </c>
      <c r="L2907">
        <v>0</v>
      </c>
      <c r="M2907" t="s">
        <v>188</v>
      </c>
      <c r="N2907">
        <v>2056.8741856254301</v>
      </c>
      <c r="O2907" t="s">
        <v>248</v>
      </c>
      <c r="P2907" t="b">
        <v>1</v>
      </c>
      <c r="Q2907">
        <v>5067.9224366339595</v>
      </c>
      <c r="R2907">
        <v>23608.252158856834</v>
      </c>
      <c r="S2907">
        <v>7.4139142264247937</v>
      </c>
      <c r="T2907">
        <v>-1.7627217923104581</v>
      </c>
      <c r="U2907">
        <v>0</v>
      </c>
      <c r="V2907">
        <v>0</v>
      </c>
    </row>
    <row r="2908" spans="1:22" x14ac:dyDescent="0.2">
      <c r="A2908"/>
      <c r="B2908">
        <v>72018</v>
      </c>
      <c r="C2908" t="s">
        <v>1339</v>
      </c>
      <c r="D2908" t="s">
        <v>54</v>
      </c>
      <c r="E2908" t="s">
        <v>52</v>
      </c>
      <c r="F2908" t="s">
        <v>123</v>
      </c>
      <c r="G2908">
        <v>1356.0932665108244</v>
      </c>
      <c r="H2908" t="s">
        <v>248</v>
      </c>
      <c r="I2908">
        <v>-2.5</v>
      </c>
      <c r="J2908">
        <v>0</v>
      </c>
      <c r="K2908">
        <v>270</v>
      </c>
      <c r="L2908">
        <v>0</v>
      </c>
      <c r="M2908" t="s">
        <v>188</v>
      </c>
      <c r="N2908">
        <v>2056.8741856254301</v>
      </c>
      <c r="O2908" t="s">
        <v>248</v>
      </c>
      <c r="P2908" t="b">
        <v>1</v>
      </c>
      <c r="Q2908">
        <v>5067.9224366339595</v>
      </c>
      <c r="R2908">
        <v>23608.252158856834</v>
      </c>
      <c r="S2908">
        <v>7.4139142264247937</v>
      </c>
      <c r="T2908">
        <v>-1.7627217923104581</v>
      </c>
      <c r="U2908">
        <v>0</v>
      </c>
      <c r="V2908">
        <v>0</v>
      </c>
    </row>
    <row r="2909" spans="1:22" x14ac:dyDescent="0.2">
      <c r="A2909"/>
      <c r="B2909">
        <v>72019</v>
      </c>
      <c r="C2909" t="s">
        <v>1340</v>
      </c>
      <c r="D2909" t="s">
        <v>53</v>
      </c>
      <c r="E2909" t="s">
        <v>52</v>
      </c>
      <c r="F2909" t="s">
        <v>123</v>
      </c>
      <c r="G2909">
        <v>1356.0932665108244</v>
      </c>
      <c r="H2909" t="s">
        <v>248</v>
      </c>
      <c r="I2909">
        <v>-2.5</v>
      </c>
      <c r="J2909">
        <v>0</v>
      </c>
      <c r="K2909">
        <v>270</v>
      </c>
      <c r="L2909">
        <v>0</v>
      </c>
      <c r="M2909" t="s">
        <v>188</v>
      </c>
      <c r="N2909">
        <v>2056.8741856254301</v>
      </c>
      <c r="O2909" t="s">
        <v>248</v>
      </c>
      <c r="P2909" t="b">
        <v>1</v>
      </c>
      <c r="Q2909">
        <v>5067.9224366339595</v>
      </c>
      <c r="R2909">
        <v>23608.252158856834</v>
      </c>
      <c r="S2909">
        <v>7.4139142264247937</v>
      </c>
      <c r="T2909">
        <v>-1.7627217923104581</v>
      </c>
      <c r="U2909">
        <v>0</v>
      </c>
      <c r="V2909">
        <v>0</v>
      </c>
    </row>
    <row r="2910" spans="1:22" x14ac:dyDescent="0.2">
      <c r="A2910"/>
      <c r="B2910">
        <v>72020</v>
      </c>
      <c r="C2910" t="s">
        <v>1341</v>
      </c>
      <c r="D2910" t="s">
        <v>65</v>
      </c>
      <c r="F2910" t="s">
        <v>87</v>
      </c>
      <c r="G2910">
        <v>1279.0338111855315</v>
      </c>
      <c r="H2910" t="s">
        <v>248</v>
      </c>
      <c r="I2910">
        <v>5</v>
      </c>
      <c r="J2910">
        <v>0</v>
      </c>
      <c r="K2910">
        <v>0</v>
      </c>
      <c r="L2910">
        <v>0</v>
      </c>
      <c r="M2910" t="s">
        <v>187</v>
      </c>
      <c r="N2910">
        <v>2057.7901431227601</v>
      </c>
      <c r="O2910" t="s">
        <v>248</v>
      </c>
      <c r="P2910" t="b">
        <v>1</v>
      </c>
      <c r="Q2910">
        <v>5080.3591915308025</v>
      </c>
      <c r="R2910">
        <v>23607.557014915797</v>
      </c>
      <c r="S2910">
        <v>7.3995566255324086</v>
      </c>
      <c r="T2910">
        <v>88.288229773035255</v>
      </c>
      <c r="U2910">
        <v>0</v>
      </c>
      <c r="V2910">
        <v>0</v>
      </c>
    </row>
    <row r="2911" spans="1:22" x14ac:dyDescent="0.2">
      <c r="A2911"/>
      <c r="B2911">
        <v>72021</v>
      </c>
      <c r="C2911" t="s">
        <v>1342</v>
      </c>
      <c r="D2911" t="s">
        <v>59</v>
      </c>
      <c r="E2911" t="s">
        <v>1091</v>
      </c>
      <c r="F2911" t="s">
        <v>87</v>
      </c>
      <c r="G2911">
        <v>1279.0338111855315</v>
      </c>
      <c r="H2911" t="s">
        <v>248</v>
      </c>
      <c r="I2911">
        <v>2.5</v>
      </c>
      <c r="J2911">
        <v>0</v>
      </c>
      <c r="K2911">
        <v>90</v>
      </c>
      <c r="L2911">
        <v>0</v>
      </c>
      <c r="M2911" t="s">
        <v>187</v>
      </c>
      <c r="N2911">
        <v>2057.7901431227601</v>
      </c>
      <c r="O2911" t="s">
        <v>248</v>
      </c>
      <c r="P2911" t="b">
        <v>1</v>
      </c>
      <c r="Q2911">
        <v>5077.8603071690159</v>
      </c>
      <c r="R2911">
        <v>23607.631693871434</v>
      </c>
      <c r="S2911">
        <v>7.3995566255324086</v>
      </c>
      <c r="T2911">
        <v>178.28822977303525</v>
      </c>
      <c r="U2911">
        <v>0</v>
      </c>
      <c r="V2911">
        <v>0</v>
      </c>
    </row>
    <row r="2912" spans="1:22" x14ac:dyDescent="0.2">
      <c r="A2912"/>
      <c r="B2912">
        <v>72022</v>
      </c>
      <c r="C2912" t="s">
        <v>1343</v>
      </c>
      <c r="D2912" t="s">
        <v>57</v>
      </c>
      <c r="E2912" t="s">
        <v>1091</v>
      </c>
      <c r="F2912" t="s">
        <v>87</v>
      </c>
      <c r="G2912">
        <v>1279.0338111855315</v>
      </c>
      <c r="H2912" t="s">
        <v>248</v>
      </c>
      <c r="I2912">
        <v>2.5</v>
      </c>
      <c r="J2912">
        <v>0</v>
      </c>
      <c r="K2912">
        <v>90</v>
      </c>
      <c r="L2912">
        <v>0</v>
      </c>
      <c r="M2912" t="s">
        <v>187</v>
      </c>
      <c r="N2912">
        <v>2057.7901431227601</v>
      </c>
      <c r="O2912" t="s">
        <v>248</v>
      </c>
      <c r="P2912" t="b">
        <v>1</v>
      </c>
      <c r="Q2912">
        <v>5077.8603071690159</v>
      </c>
      <c r="R2912">
        <v>23607.631693871434</v>
      </c>
      <c r="S2912">
        <v>7.3995566255324086</v>
      </c>
      <c r="T2912">
        <v>178.28822977303525</v>
      </c>
      <c r="U2912">
        <v>0</v>
      </c>
      <c r="V2912">
        <v>0</v>
      </c>
    </row>
    <row r="2913" spans="1:22" x14ac:dyDescent="0.2">
      <c r="A2913"/>
      <c r="B2913">
        <v>72023</v>
      </c>
      <c r="C2913" t="s">
        <v>1344</v>
      </c>
      <c r="D2913" t="s">
        <v>55</v>
      </c>
      <c r="E2913" t="s">
        <v>52</v>
      </c>
      <c r="F2913" t="s">
        <v>87</v>
      </c>
      <c r="G2913">
        <v>1279.0338111855315</v>
      </c>
      <c r="H2913" t="s">
        <v>248</v>
      </c>
      <c r="I2913">
        <v>2.5</v>
      </c>
      <c r="J2913">
        <v>0</v>
      </c>
      <c r="K2913">
        <v>90</v>
      </c>
      <c r="L2913">
        <v>0</v>
      </c>
      <c r="M2913" t="s">
        <v>187</v>
      </c>
      <c r="N2913">
        <v>2057.7901431227601</v>
      </c>
      <c r="O2913" t="s">
        <v>248</v>
      </c>
      <c r="P2913" t="b">
        <v>1</v>
      </c>
      <c r="Q2913">
        <v>5077.8603071690159</v>
      </c>
      <c r="R2913">
        <v>23607.631693871434</v>
      </c>
      <c r="S2913">
        <v>7.3995566255324086</v>
      </c>
      <c r="T2913">
        <v>178.28822977303525</v>
      </c>
      <c r="U2913">
        <v>0</v>
      </c>
      <c r="V2913">
        <v>0</v>
      </c>
    </row>
    <row r="2914" spans="1:22" x14ac:dyDescent="0.2">
      <c r="A2914"/>
      <c r="B2914">
        <v>72024</v>
      </c>
      <c r="C2914" t="s">
        <v>1345</v>
      </c>
      <c r="D2914" t="s">
        <v>54</v>
      </c>
      <c r="E2914" t="s">
        <v>52</v>
      </c>
      <c r="F2914" t="s">
        <v>87</v>
      </c>
      <c r="G2914">
        <v>1279.0338111855315</v>
      </c>
      <c r="H2914" t="s">
        <v>248</v>
      </c>
      <c r="I2914">
        <v>2.5</v>
      </c>
      <c r="J2914">
        <v>0</v>
      </c>
      <c r="K2914">
        <v>90</v>
      </c>
      <c r="L2914">
        <v>0</v>
      </c>
      <c r="M2914" t="s">
        <v>187</v>
      </c>
      <c r="N2914">
        <v>2057.7901431227601</v>
      </c>
      <c r="O2914" t="s">
        <v>248</v>
      </c>
      <c r="P2914" t="b">
        <v>1</v>
      </c>
      <c r="Q2914">
        <v>5077.8603071690159</v>
      </c>
      <c r="R2914">
        <v>23607.631693871434</v>
      </c>
      <c r="S2914">
        <v>7.3995566255324086</v>
      </c>
      <c r="T2914">
        <v>178.28822977303525</v>
      </c>
      <c r="U2914">
        <v>0</v>
      </c>
      <c r="V2914">
        <v>0</v>
      </c>
    </row>
    <row r="2915" spans="1:22" x14ac:dyDescent="0.2">
      <c r="A2915"/>
      <c r="B2915">
        <v>72025</v>
      </c>
      <c r="C2915" t="s">
        <v>1346</v>
      </c>
      <c r="D2915" t="s">
        <v>53</v>
      </c>
      <c r="E2915" t="s">
        <v>52</v>
      </c>
      <c r="F2915" t="s">
        <v>87</v>
      </c>
      <c r="G2915">
        <v>1279.0338111855315</v>
      </c>
      <c r="H2915" t="s">
        <v>248</v>
      </c>
      <c r="I2915">
        <v>2.5</v>
      </c>
      <c r="J2915">
        <v>0</v>
      </c>
      <c r="K2915">
        <v>90</v>
      </c>
      <c r="L2915">
        <v>0</v>
      </c>
      <c r="M2915" t="s">
        <v>187</v>
      </c>
      <c r="N2915">
        <v>2057.7901431227601</v>
      </c>
      <c r="O2915" t="s">
        <v>248</v>
      </c>
      <c r="P2915" t="b">
        <v>1</v>
      </c>
      <c r="Q2915">
        <v>5077.8603071690159</v>
      </c>
      <c r="R2915">
        <v>23607.631693871434</v>
      </c>
      <c r="S2915">
        <v>7.3995566255324086</v>
      </c>
      <c r="T2915">
        <v>178.28822977303525</v>
      </c>
      <c r="U2915">
        <v>0</v>
      </c>
      <c r="V2915">
        <v>0</v>
      </c>
    </row>
    <row r="2916" spans="1:22" x14ac:dyDescent="0.2">
      <c r="A2916"/>
      <c r="B2916">
        <v>72026</v>
      </c>
      <c r="C2916" t="s">
        <v>305</v>
      </c>
      <c r="D2916" t="s">
        <v>69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</row>
    <row r="2917" spans="1:22" x14ac:dyDescent="0.2">
      <c r="A2917"/>
      <c r="B2917">
        <v>72027</v>
      </c>
      <c r="C2917" t="s">
        <v>1347</v>
      </c>
      <c r="D2917" t="s">
        <v>65</v>
      </c>
      <c r="F2917" t="s">
        <v>123</v>
      </c>
      <c r="G2917">
        <v>2922.681450438954</v>
      </c>
      <c r="H2917" t="s">
        <v>248</v>
      </c>
      <c r="I2917">
        <v>-5</v>
      </c>
      <c r="J2917">
        <v>0</v>
      </c>
      <c r="K2917">
        <v>0</v>
      </c>
      <c r="L2917">
        <v>0</v>
      </c>
      <c r="M2917" t="s">
        <v>188</v>
      </c>
      <c r="N2917">
        <v>3623.4623695535602</v>
      </c>
      <c r="O2917" t="s">
        <v>248</v>
      </c>
      <c r="P2917" t="b">
        <v>1</v>
      </c>
      <c r="Q2917">
        <v>5116.1437210609138</v>
      </c>
      <c r="R2917">
        <v>25165.391913452866</v>
      </c>
      <c r="S2917">
        <v>-2.6268868109315751</v>
      </c>
      <c r="T2917">
        <v>69.959459491228841</v>
      </c>
      <c r="U2917">
        <v>0</v>
      </c>
      <c r="V2917">
        <v>0</v>
      </c>
    </row>
    <row r="2918" spans="1:22" x14ac:dyDescent="0.2">
      <c r="A2918"/>
      <c r="B2918">
        <v>72028</v>
      </c>
      <c r="C2918" t="s">
        <v>1348</v>
      </c>
      <c r="D2918" t="s">
        <v>59</v>
      </c>
      <c r="E2918" t="s">
        <v>1091</v>
      </c>
      <c r="F2918" t="s">
        <v>123</v>
      </c>
      <c r="G2918">
        <v>2922.681450438954</v>
      </c>
      <c r="H2918" t="s">
        <v>248</v>
      </c>
      <c r="I2918">
        <v>-2.5</v>
      </c>
      <c r="J2918">
        <v>0</v>
      </c>
      <c r="K2918">
        <v>270</v>
      </c>
      <c r="L2918">
        <v>0</v>
      </c>
      <c r="M2918" t="s">
        <v>188</v>
      </c>
      <c r="N2918">
        <v>3623.4623695535602</v>
      </c>
      <c r="O2918" t="s">
        <v>248</v>
      </c>
      <c r="P2918" t="b">
        <v>1</v>
      </c>
      <c r="Q2918">
        <v>5118.492347020846</v>
      </c>
      <c r="R2918">
        <v>25164.535201073864</v>
      </c>
      <c r="S2918">
        <v>-2.6268868109315751</v>
      </c>
      <c r="T2918">
        <v>-20.040540508771187</v>
      </c>
      <c r="U2918">
        <v>0</v>
      </c>
      <c r="V2918">
        <v>0</v>
      </c>
    </row>
    <row r="2919" spans="1:22" x14ac:dyDescent="0.2">
      <c r="A2919"/>
      <c r="B2919">
        <v>72029</v>
      </c>
      <c r="C2919" t="s">
        <v>1349</v>
      </c>
      <c r="D2919" t="s">
        <v>57</v>
      </c>
      <c r="E2919" t="s">
        <v>1091</v>
      </c>
      <c r="F2919" t="s">
        <v>123</v>
      </c>
      <c r="G2919">
        <v>2922.681450438954</v>
      </c>
      <c r="H2919" t="s">
        <v>248</v>
      </c>
      <c r="I2919">
        <v>-2.5</v>
      </c>
      <c r="J2919">
        <v>0</v>
      </c>
      <c r="K2919">
        <v>270</v>
      </c>
      <c r="L2919">
        <v>0</v>
      </c>
      <c r="M2919" t="s">
        <v>188</v>
      </c>
      <c r="N2919">
        <v>3623.4623695535602</v>
      </c>
      <c r="O2919" t="s">
        <v>248</v>
      </c>
      <c r="P2919" t="b">
        <v>1</v>
      </c>
      <c r="Q2919">
        <v>5118.492347020846</v>
      </c>
      <c r="R2919">
        <v>25164.535201073864</v>
      </c>
      <c r="S2919">
        <v>-2.6268868109315751</v>
      </c>
      <c r="T2919">
        <v>-20.040540508771187</v>
      </c>
      <c r="U2919">
        <v>0</v>
      </c>
      <c r="V2919">
        <v>0</v>
      </c>
    </row>
    <row r="2920" spans="1:22" x14ac:dyDescent="0.2">
      <c r="A2920"/>
      <c r="B2920">
        <v>72030</v>
      </c>
      <c r="C2920" t="s">
        <v>1350</v>
      </c>
      <c r="D2920" t="s">
        <v>55</v>
      </c>
      <c r="E2920" t="s">
        <v>52</v>
      </c>
      <c r="F2920" t="s">
        <v>123</v>
      </c>
      <c r="G2920">
        <v>2922.681450438954</v>
      </c>
      <c r="H2920" t="s">
        <v>248</v>
      </c>
      <c r="I2920">
        <v>-2.5</v>
      </c>
      <c r="J2920">
        <v>0</v>
      </c>
      <c r="K2920">
        <v>270</v>
      </c>
      <c r="L2920">
        <v>0</v>
      </c>
      <c r="M2920" t="s">
        <v>188</v>
      </c>
      <c r="N2920">
        <v>3623.4623695535602</v>
      </c>
      <c r="O2920" t="s">
        <v>248</v>
      </c>
      <c r="P2920" t="b">
        <v>1</v>
      </c>
      <c r="Q2920">
        <v>5118.492347020846</v>
      </c>
      <c r="R2920">
        <v>25164.535201073864</v>
      </c>
      <c r="S2920">
        <v>-2.6268868109315751</v>
      </c>
      <c r="T2920">
        <v>-20.040540508771187</v>
      </c>
      <c r="U2920">
        <v>0</v>
      </c>
      <c r="V2920">
        <v>0</v>
      </c>
    </row>
    <row r="2921" spans="1:22" x14ac:dyDescent="0.2">
      <c r="A2921"/>
      <c r="B2921">
        <v>72031</v>
      </c>
      <c r="C2921" t="s">
        <v>1351</v>
      </c>
      <c r="D2921" t="s">
        <v>54</v>
      </c>
      <c r="E2921" t="s">
        <v>52</v>
      </c>
      <c r="F2921" t="s">
        <v>123</v>
      </c>
      <c r="G2921">
        <v>2922.681450438954</v>
      </c>
      <c r="H2921" t="s">
        <v>248</v>
      </c>
      <c r="I2921">
        <v>-2.5</v>
      </c>
      <c r="J2921">
        <v>0</v>
      </c>
      <c r="K2921">
        <v>270</v>
      </c>
      <c r="L2921">
        <v>0</v>
      </c>
      <c r="M2921" t="s">
        <v>188</v>
      </c>
      <c r="N2921">
        <v>3623.4623695535602</v>
      </c>
      <c r="O2921" t="s">
        <v>248</v>
      </c>
      <c r="P2921" t="b">
        <v>1</v>
      </c>
      <c r="Q2921">
        <v>5118.492347020846</v>
      </c>
      <c r="R2921">
        <v>25164.535201073864</v>
      </c>
      <c r="S2921">
        <v>-2.6268868109315751</v>
      </c>
      <c r="T2921">
        <v>-20.040540508771187</v>
      </c>
      <c r="U2921">
        <v>0</v>
      </c>
      <c r="V2921">
        <v>0</v>
      </c>
    </row>
    <row r="2922" spans="1:22" x14ac:dyDescent="0.2">
      <c r="A2922"/>
      <c r="B2922">
        <v>72032</v>
      </c>
      <c r="C2922" t="s">
        <v>1352</v>
      </c>
      <c r="D2922" t="s">
        <v>53</v>
      </c>
      <c r="E2922" t="s">
        <v>52</v>
      </c>
      <c r="F2922" t="s">
        <v>123</v>
      </c>
      <c r="G2922">
        <v>2922.681450438954</v>
      </c>
      <c r="H2922" t="s">
        <v>248</v>
      </c>
      <c r="I2922">
        <v>-2.5</v>
      </c>
      <c r="J2922">
        <v>0</v>
      </c>
      <c r="K2922">
        <v>270</v>
      </c>
      <c r="L2922">
        <v>0</v>
      </c>
      <c r="M2922" t="s">
        <v>188</v>
      </c>
      <c r="N2922">
        <v>3623.4623695535602</v>
      </c>
      <c r="O2922" t="s">
        <v>248</v>
      </c>
      <c r="P2922" t="b">
        <v>1</v>
      </c>
      <c r="Q2922">
        <v>5118.492347020846</v>
      </c>
      <c r="R2922">
        <v>25164.535201073864</v>
      </c>
      <c r="S2922">
        <v>-2.6268868109315751</v>
      </c>
      <c r="T2922">
        <v>-20.040540508771187</v>
      </c>
      <c r="U2922">
        <v>0</v>
      </c>
      <c r="V2922">
        <v>0</v>
      </c>
    </row>
    <row r="2923" spans="1:22" x14ac:dyDescent="0.2">
      <c r="A2923"/>
      <c r="B2923">
        <v>72033</v>
      </c>
      <c r="C2923" t="s">
        <v>1353</v>
      </c>
      <c r="D2923" t="s">
        <v>65</v>
      </c>
      <c r="F2923" t="s">
        <v>87</v>
      </c>
      <c r="G2923">
        <v>2844.6469362659409</v>
      </c>
      <c r="H2923" t="s">
        <v>248</v>
      </c>
      <c r="I2923">
        <v>5</v>
      </c>
      <c r="J2923">
        <v>0</v>
      </c>
      <c r="K2923">
        <v>0</v>
      </c>
      <c r="L2923">
        <v>0</v>
      </c>
      <c r="M2923" t="s">
        <v>187</v>
      </c>
      <c r="N2923">
        <v>3623.4032682031698</v>
      </c>
      <c r="O2923" t="s">
        <v>248</v>
      </c>
      <c r="P2923" t="b">
        <v>1</v>
      </c>
      <c r="Q2923">
        <v>5130.2655149606644</v>
      </c>
      <c r="R2923">
        <v>25160.531753621734</v>
      </c>
      <c r="S2923">
        <v>-2.6263132821225343</v>
      </c>
      <c r="T2923">
        <v>69.905862453543477</v>
      </c>
      <c r="U2923">
        <v>0</v>
      </c>
      <c r="V2923">
        <v>0</v>
      </c>
    </row>
    <row r="2924" spans="1:22" x14ac:dyDescent="0.2">
      <c r="A2924"/>
      <c r="B2924">
        <v>72034</v>
      </c>
      <c r="C2924" t="s">
        <v>1354</v>
      </c>
      <c r="D2924" t="s">
        <v>59</v>
      </c>
      <c r="E2924" t="s">
        <v>1091</v>
      </c>
      <c r="F2924" t="s">
        <v>87</v>
      </c>
      <c r="G2924">
        <v>2844.6469362659409</v>
      </c>
      <c r="H2924" t="s">
        <v>248</v>
      </c>
      <c r="I2924">
        <v>2.5</v>
      </c>
      <c r="J2924">
        <v>0</v>
      </c>
      <c r="K2924">
        <v>90</v>
      </c>
      <c r="L2924">
        <v>0</v>
      </c>
      <c r="M2924" t="s">
        <v>187</v>
      </c>
      <c r="N2924">
        <v>3623.4032682031698</v>
      </c>
      <c r="O2924" t="s">
        <v>248</v>
      </c>
      <c r="P2924" t="b">
        <v>1</v>
      </c>
      <c r="Q2924">
        <v>5127.9176914353266</v>
      </c>
      <c r="R2924">
        <v>25161.390662635466</v>
      </c>
      <c r="S2924">
        <v>-2.6263132821225343</v>
      </c>
      <c r="T2924">
        <v>159.90586245354348</v>
      </c>
      <c r="U2924">
        <v>0</v>
      </c>
      <c r="V2924">
        <v>0</v>
      </c>
    </row>
    <row r="2925" spans="1:22" x14ac:dyDescent="0.2">
      <c r="A2925"/>
      <c r="B2925">
        <v>72035</v>
      </c>
      <c r="C2925" t="s">
        <v>1355</v>
      </c>
      <c r="D2925" t="s">
        <v>57</v>
      </c>
      <c r="E2925" t="s">
        <v>1091</v>
      </c>
      <c r="F2925" t="s">
        <v>87</v>
      </c>
      <c r="G2925">
        <v>2844.6469362659409</v>
      </c>
      <c r="H2925" t="s">
        <v>248</v>
      </c>
      <c r="I2925">
        <v>2.5</v>
      </c>
      <c r="J2925">
        <v>0</v>
      </c>
      <c r="K2925">
        <v>90</v>
      </c>
      <c r="L2925">
        <v>0</v>
      </c>
      <c r="M2925" t="s">
        <v>187</v>
      </c>
      <c r="N2925">
        <v>3623.4032682031698</v>
      </c>
      <c r="O2925" t="s">
        <v>248</v>
      </c>
      <c r="P2925" t="b">
        <v>1</v>
      </c>
      <c r="Q2925">
        <v>5127.9176914353266</v>
      </c>
      <c r="R2925">
        <v>25161.390662635466</v>
      </c>
      <c r="S2925">
        <v>-2.6263132821225343</v>
      </c>
      <c r="T2925">
        <v>159.90586245354348</v>
      </c>
      <c r="U2925">
        <v>0</v>
      </c>
      <c r="V2925">
        <v>0</v>
      </c>
    </row>
    <row r="2926" spans="1:22" x14ac:dyDescent="0.2">
      <c r="A2926"/>
      <c r="B2926">
        <v>72036</v>
      </c>
      <c r="C2926" t="s">
        <v>1356</v>
      </c>
      <c r="D2926" t="s">
        <v>55</v>
      </c>
      <c r="E2926" t="s">
        <v>52</v>
      </c>
      <c r="F2926" t="s">
        <v>87</v>
      </c>
      <c r="G2926">
        <v>2844.6469362659409</v>
      </c>
      <c r="H2926" t="s">
        <v>248</v>
      </c>
      <c r="I2926">
        <v>2.5</v>
      </c>
      <c r="J2926">
        <v>0</v>
      </c>
      <c r="K2926">
        <v>90</v>
      </c>
      <c r="L2926">
        <v>0</v>
      </c>
      <c r="M2926" t="s">
        <v>187</v>
      </c>
      <c r="N2926">
        <v>3623.4032682031698</v>
      </c>
      <c r="O2926" t="s">
        <v>248</v>
      </c>
      <c r="P2926" t="b">
        <v>1</v>
      </c>
      <c r="Q2926">
        <v>5127.9176914353266</v>
      </c>
      <c r="R2926">
        <v>25161.390662635466</v>
      </c>
      <c r="S2926">
        <v>-2.6263132821225343</v>
      </c>
      <c r="T2926">
        <v>159.90586245354348</v>
      </c>
      <c r="U2926">
        <v>0</v>
      </c>
      <c r="V2926">
        <v>0</v>
      </c>
    </row>
    <row r="2927" spans="1:22" x14ac:dyDescent="0.2">
      <c r="A2927"/>
      <c r="B2927">
        <v>72037</v>
      </c>
      <c r="C2927" t="s">
        <v>1357</v>
      </c>
      <c r="D2927" t="s">
        <v>54</v>
      </c>
      <c r="E2927" t="s">
        <v>52</v>
      </c>
      <c r="F2927" t="s">
        <v>87</v>
      </c>
      <c r="G2927">
        <v>2844.6469362659409</v>
      </c>
      <c r="H2927" t="s">
        <v>248</v>
      </c>
      <c r="I2927">
        <v>2.5</v>
      </c>
      <c r="J2927">
        <v>0</v>
      </c>
      <c r="K2927">
        <v>90</v>
      </c>
      <c r="L2927">
        <v>0</v>
      </c>
      <c r="M2927" t="s">
        <v>187</v>
      </c>
      <c r="N2927">
        <v>3623.4032682031698</v>
      </c>
      <c r="O2927" t="s">
        <v>248</v>
      </c>
      <c r="P2927" t="b">
        <v>1</v>
      </c>
      <c r="Q2927">
        <v>5127.9176914353266</v>
      </c>
      <c r="R2927">
        <v>25161.390662635466</v>
      </c>
      <c r="S2927">
        <v>-2.6263132821225343</v>
      </c>
      <c r="T2927">
        <v>159.90586245354348</v>
      </c>
      <c r="U2927">
        <v>0</v>
      </c>
      <c r="V2927">
        <v>0</v>
      </c>
    </row>
    <row r="2928" spans="1:22" x14ac:dyDescent="0.2">
      <c r="A2928"/>
      <c r="B2928">
        <v>72038</v>
      </c>
      <c r="C2928" t="s">
        <v>1358</v>
      </c>
      <c r="D2928" t="s">
        <v>53</v>
      </c>
      <c r="E2928" t="s">
        <v>52</v>
      </c>
      <c r="F2928" t="s">
        <v>87</v>
      </c>
      <c r="G2928">
        <v>2844.6469362659409</v>
      </c>
      <c r="H2928" t="s">
        <v>248</v>
      </c>
      <c r="I2928">
        <v>2.5</v>
      </c>
      <c r="J2928">
        <v>0</v>
      </c>
      <c r="K2928">
        <v>90</v>
      </c>
      <c r="L2928">
        <v>0</v>
      </c>
      <c r="M2928" t="s">
        <v>187</v>
      </c>
      <c r="N2928">
        <v>3623.4032682031698</v>
      </c>
      <c r="O2928" t="s">
        <v>248</v>
      </c>
      <c r="P2928" t="b">
        <v>1</v>
      </c>
      <c r="Q2928">
        <v>5127.9176914353266</v>
      </c>
      <c r="R2928">
        <v>25161.390662635466</v>
      </c>
      <c r="S2928">
        <v>-2.6263132821225343</v>
      </c>
      <c r="T2928">
        <v>159.90586245354348</v>
      </c>
      <c r="U2928">
        <v>0</v>
      </c>
      <c r="V2928">
        <v>0</v>
      </c>
    </row>
    <row r="2929" spans="1:22" x14ac:dyDescent="0.2">
      <c r="A2929"/>
      <c r="B2929">
        <v>72039</v>
      </c>
      <c r="C2929" t="s">
        <v>311</v>
      </c>
      <c r="D2929" t="s">
        <v>69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</row>
    <row r="2930" spans="1:22" x14ac:dyDescent="0.2">
      <c r="A2930"/>
      <c r="B2930">
        <v>72040</v>
      </c>
      <c r="C2930" t="s">
        <v>1359</v>
      </c>
      <c r="D2930" t="s">
        <v>65</v>
      </c>
      <c r="F2930" t="s">
        <v>123</v>
      </c>
      <c r="G2930">
        <v>3966.4191065636837</v>
      </c>
      <c r="H2930" t="s">
        <v>248</v>
      </c>
      <c r="I2930">
        <v>-5</v>
      </c>
      <c r="J2930">
        <v>0</v>
      </c>
      <c r="K2930">
        <v>0</v>
      </c>
      <c r="L2930">
        <v>0</v>
      </c>
      <c r="M2930" t="s">
        <v>188</v>
      </c>
      <c r="N2930">
        <v>4667.2000256782903</v>
      </c>
      <c r="O2930" t="s">
        <v>248</v>
      </c>
      <c r="P2930" t="b">
        <v>1</v>
      </c>
      <c r="Q2930">
        <v>5312.7215756551568</v>
      </c>
      <c r="R2930">
        <v>26185.517045336735</v>
      </c>
      <c r="S2930">
        <v>-2.3383218184564694</v>
      </c>
      <c r="T2930">
        <v>82.399774097704721</v>
      </c>
      <c r="U2930">
        <v>0</v>
      </c>
      <c r="V2930">
        <v>0</v>
      </c>
    </row>
    <row r="2931" spans="1:22" x14ac:dyDescent="0.2">
      <c r="A2931"/>
      <c r="B2931">
        <v>72041</v>
      </c>
      <c r="C2931" t="s">
        <v>1360</v>
      </c>
      <c r="D2931" t="s">
        <v>59</v>
      </c>
      <c r="E2931" t="s">
        <v>1091</v>
      </c>
      <c r="F2931" t="s">
        <v>123</v>
      </c>
      <c r="G2931">
        <v>3966.4191065636837</v>
      </c>
      <c r="H2931" t="s">
        <v>248</v>
      </c>
      <c r="I2931">
        <v>-2.5</v>
      </c>
      <c r="J2931">
        <v>0</v>
      </c>
      <c r="K2931">
        <v>270</v>
      </c>
      <c r="L2931">
        <v>0</v>
      </c>
      <c r="M2931" t="s">
        <v>188</v>
      </c>
      <c r="N2931">
        <v>4667.2000256782903</v>
      </c>
      <c r="O2931" t="s">
        <v>248</v>
      </c>
      <c r="P2931" t="b">
        <v>1</v>
      </c>
      <c r="Q2931">
        <v>5315.1996132021359</v>
      </c>
      <c r="R2931">
        <v>26185.186394590837</v>
      </c>
      <c r="S2931">
        <v>-2.3383218184564694</v>
      </c>
      <c r="T2931">
        <v>-7.6002259022952785</v>
      </c>
      <c r="U2931">
        <v>0</v>
      </c>
      <c r="V2931">
        <v>0</v>
      </c>
    </row>
    <row r="2932" spans="1:22" x14ac:dyDescent="0.2">
      <c r="A2932"/>
      <c r="B2932">
        <v>72042</v>
      </c>
      <c r="C2932" t="s">
        <v>1361</v>
      </c>
      <c r="D2932" t="s">
        <v>57</v>
      </c>
      <c r="E2932" t="s">
        <v>1091</v>
      </c>
      <c r="F2932" t="s">
        <v>123</v>
      </c>
      <c r="G2932">
        <v>3966.4191065636837</v>
      </c>
      <c r="H2932" t="s">
        <v>248</v>
      </c>
      <c r="I2932">
        <v>-2.5</v>
      </c>
      <c r="J2932">
        <v>0</v>
      </c>
      <c r="K2932">
        <v>270</v>
      </c>
      <c r="L2932">
        <v>0</v>
      </c>
      <c r="M2932" t="s">
        <v>188</v>
      </c>
      <c r="N2932">
        <v>4667.2000256782903</v>
      </c>
      <c r="O2932" t="s">
        <v>248</v>
      </c>
      <c r="P2932" t="b">
        <v>1</v>
      </c>
      <c r="Q2932">
        <v>5315.1996132021359</v>
      </c>
      <c r="R2932">
        <v>26185.186394590837</v>
      </c>
      <c r="S2932">
        <v>-2.3383218184564694</v>
      </c>
      <c r="T2932">
        <v>-7.6002259022952785</v>
      </c>
      <c r="U2932">
        <v>0</v>
      </c>
      <c r="V2932">
        <v>0</v>
      </c>
    </row>
    <row r="2933" spans="1:22" x14ac:dyDescent="0.2">
      <c r="A2933"/>
      <c r="B2933">
        <v>72043</v>
      </c>
      <c r="C2933" t="s">
        <v>1362</v>
      </c>
      <c r="D2933" t="s">
        <v>55</v>
      </c>
      <c r="E2933" t="s">
        <v>52</v>
      </c>
      <c r="F2933" t="s">
        <v>123</v>
      </c>
      <c r="G2933">
        <v>3966.4191065636837</v>
      </c>
      <c r="H2933" t="s">
        <v>248</v>
      </c>
      <c r="I2933">
        <v>-2.5</v>
      </c>
      <c r="J2933">
        <v>0</v>
      </c>
      <c r="K2933">
        <v>270</v>
      </c>
      <c r="L2933">
        <v>0</v>
      </c>
      <c r="M2933" t="s">
        <v>188</v>
      </c>
      <c r="N2933">
        <v>4667.2000256782903</v>
      </c>
      <c r="O2933" t="s">
        <v>248</v>
      </c>
      <c r="P2933" t="b">
        <v>1</v>
      </c>
      <c r="Q2933">
        <v>5315.1996132021359</v>
      </c>
      <c r="R2933">
        <v>26185.186394590837</v>
      </c>
      <c r="S2933">
        <v>-2.3383218184564694</v>
      </c>
      <c r="T2933">
        <v>-7.6002259022952785</v>
      </c>
      <c r="U2933">
        <v>0</v>
      </c>
      <c r="V2933">
        <v>0</v>
      </c>
    </row>
    <row r="2934" spans="1:22" x14ac:dyDescent="0.2">
      <c r="A2934"/>
      <c r="B2934">
        <v>72044</v>
      </c>
      <c r="C2934" t="s">
        <v>1363</v>
      </c>
      <c r="D2934" t="s">
        <v>54</v>
      </c>
      <c r="E2934" t="s">
        <v>52</v>
      </c>
      <c r="F2934" t="s">
        <v>123</v>
      </c>
      <c r="G2934">
        <v>3966.4191065636837</v>
      </c>
      <c r="H2934" t="s">
        <v>248</v>
      </c>
      <c r="I2934">
        <v>-2.5</v>
      </c>
      <c r="J2934">
        <v>0</v>
      </c>
      <c r="K2934">
        <v>270</v>
      </c>
      <c r="L2934">
        <v>0</v>
      </c>
      <c r="M2934" t="s">
        <v>188</v>
      </c>
      <c r="N2934">
        <v>4667.2000256782903</v>
      </c>
      <c r="O2934" t="s">
        <v>248</v>
      </c>
      <c r="P2934" t="b">
        <v>1</v>
      </c>
      <c r="Q2934">
        <v>5315.1996132021359</v>
      </c>
      <c r="R2934">
        <v>26185.186394590837</v>
      </c>
      <c r="S2934">
        <v>-2.3383218184564694</v>
      </c>
      <c r="T2934">
        <v>-7.6002259022952785</v>
      </c>
      <c r="U2934">
        <v>0</v>
      </c>
      <c r="V2934">
        <v>0</v>
      </c>
    </row>
    <row r="2935" spans="1:22" x14ac:dyDescent="0.2">
      <c r="A2935"/>
      <c r="B2935">
        <v>72045</v>
      </c>
      <c r="C2935" t="s">
        <v>1364</v>
      </c>
      <c r="D2935" t="s">
        <v>53</v>
      </c>
      <c r="E2935" t="s">
        <v>52</v>
      </c>
      <c r="F2935" t="s">
        <v>123</v>
      </c>
      <c r="G2935">
        <v>3966.4191065636837</v>
      </c>
      <c r="H2935" t="s">
        <v>248</v>
      </c>
      <c r="I2935">
        <v>-2.5</v>
      </c>
      <c r="J2935">
        <v>0</v>
      </c>
      <c r="K2935">
        <v>270</v>
      </c>
      <c r="L2935">
        <v>0</v>
      </c>
      <c r="M2935" t="s">
        <v>188</v>
      </c>
      <c r="N2935">
        <v>4667.2000256782903</v>
      </c>
      <c r="O2935" t="s">
        <v>248</v>
      </c>
      <c r="P2935" t="b">
        <v>1</v>
      </c>
      <c r="Q2935">
        <v>5315.1996132021359</v>
      </c>
      <c r="R2935">
        <v>26185.186394590837</v>
      </c>
      <c r="S2935">
        <v>-2.3383218184564694</v>
      </c>
      <c r="T2935">
        <v>-7.6002259022952785</v>
      </c>
      <c r="U2935">
        <v>0</v>
      </c>
      <c r="V2935">
        <v>0</v>
      </c>
    </row>
    <row r="2936" spans="1:22" x14ac:dyDescent="0.2">
      <c r="A2936"/>
      <c r="B2936">
        <v>72046</v>
      </c>
      <c r="C2936" t="s">
        <v>1365</v>
      </c>
      <c r="D2936" t="s">
        <v>65</v>
      </c>
      <c r="F2936" t="s">
        <v>87</v>
      </c>
      <c r="G2936">
        <v>3889.8562348885821</v>
      </c>
      <c r="H2936" t="s">
        <v>248</v>
      </c>
      <c r="I2936">
        <v>5</v>
      </c>
      <c r="J2936">
        <v>0</v>
      </c>
      <c r="K2936">
        <v>0</v>
      </c>
      <c r="L2936">
        <v>0</v>
      </c>
      <c r="M2936" t="s">
        <v>187</v>
      </c>
      <c r="N2936">
        <v>4668.6125668258101</v>
      </c>
      <c r="O2936" t="s">
        <v>248</v>
      </c>
      <c r="P2936" t="b">
        <v>1</v>
      </c>
      <c r="Q2936">
        <v>5327.6580323915405</v>
      </c>
      <c r="R2936">
        <v>26184.19850086424</v>
      </c>
      <c r="S2936">
        <v>-2.3571802031034301</v>
      </c>
      <c r="T2936">
        <v>82.37213564020216</v>
      </c>
      <c r="U2936">
        <v>0</v>
      </c>
      <c r="V2936">
        <v>0</v>
      </c>
    </row>
    <row r="2937" spans="1:22" x14ac:dyDescent="0.2">
      <c r="A2937"/>
      <c r="B2937">
        <v>72047</v>
      </c>
      <c r="C2937" t="s">
        <v>1366</v>
      </c>
      <c r="D2937" t="s">
        <v>59</v>
      </c>
      <c r="E2937" t="s">
        <v>1091</v>
      </c>
      <c r="F2937" t="s">
        <v>87</v>
      </c>
      <c r="G2937">
        <v>3889.8562348885821</v>
      </c>
      <c r="H2937" t="s">
        <v>248</v>
      </c>
      <c r="I2937">
        <v>2.5</v>
      </c>
      <c r="J2937">
        <v>0</v>
      </c>
      <c r="K2937">
        <v>90</v>
      </c>
      <c r="L2937">
        <v>0</v>
      </c>
      <c r="M2937" t="s">
        <v>187</v>
      </c>
      <c r="N2937">
        <v>4668.6125668258101</v>
      </c>
      <c r="O2937" t="s">
        <v>248</v>
      </c>
      <c r="P2937" t="b">
        <v>1</v>
      </c>
      <c r="Q2937">
        <v>5325.1801546328625</v>
      </c>
      <c r="R2937">
        <v>26184.530346932537</v>
      </c>
      <c r="S2937">
        <v>-2.3571802031034301</v>
      </c>
      <c r="T2937">
        <v>172.37213564020215</v>
      </c>
      <c r="U2937">
        <v>0</v>
      </c>
      <c r="V2937">
        <v>0</v>
      </c>
    </row>
    <row r="2938" spans="1:22" x14ac:dyDescent="0.2">
      <c r="A2938"/>
      <c r="B2938">
        <v>72048</v>
      </c>
      <c r="C2938" t="s">
        <v>1367</v>
      </c>
      <c r="D2938" t="s">
        <v>57</v>
      </c>
      <c r="E2938" t="s">
        <v>1091</v>
      </c>
      <c r="F2938" t="s">
        <v>87</v>
      </c>
      <c r="G2938">
        <v>3889.8562348885821</v>
      </c>
      <c r="H2938" t="s">
        <v>248</v>
      </c>
      <c r="I2938">
        <v>2.5</v>
      </c>
      <c r="J2938">
        <v>0</v>
      </c>
      <c r="K2938">
        <v>90</v>
      </c>
      <c r="L2938">
        <v>0</v>
      </c>
      <c r="M2938" t="s">
        <v>187</v>
      </c>
      <c r="N2938">
        <v>4668.6125668258101</v>
      </c>
      <c r="O2938" t="s">
        <v>248</v>
      </c>
      <c r="P2938" t="b">
        <v>1</v>
      </c>
      <c r="Q2938">
        <v>5325.1801546328625</v>
      </c>
      <c r="R2938">
        <v>26184.530346932537</v>
      </c>
      <c r="S2938">
        <v>-2.3571802031034301</v>
      </c>
      <c r="T2938">
        <v>172.37213564020215</v>
      </c>
      <c r="U2938">
        <v>0</v>
      </c>
      <c r="V2938">
        <v>0</v>
      </c>
    </row>
    <row r="2939" spans="1:22" x14ac:dyDescent="0.2">
      <c r="A2939"/>
      <c r="B2939">
        <v>72049</v>
      </c>
      <c r="C2939" t="s">
        <v>1368</v>
      </c>
      <c r="D2939" t="s">
        <v>55</v>
      </c>
      <c r="E2939" t="s">
        <v>52</v>
      </c>
      <c r="F2939" t="s">
        <v>87</v>
      </c>
      <c r="G2939">
        <v>3889.8562348885821</v>
      </c>
      <c r="H2939" t="s">
        <v>248</v>
      </c>
      <c r="I2939">
        <v>2.5</v>
      </c>
      <c r="J2939">
        <v>0</v>
      </c>
      <c r="K2939">
        <v>90</v>
      </c>
      <c r="L2939">
        <v>0</v>
      </c>
      <c r="M2939" t="s">
        <v>187</v>
      </c>
      <c r="N2939">
        <v>4668.6125668258101</v>
      </c>
      <c r="O2939" t="s">
        <v>248</v>
      </c>
      <c r="P2939" t="b">
        <v>1</v>
      </c>
      <c r="Q2939">
        <v>5325.1801546328625</v>
      </c>
      <c r="R2939">
        <v>26184.530346932537</v>
      </c>
      <c r="S2939">
        <v>-2.3571802031034301</v>
      </c>
      <c r="T2939">
        <v>172.37213564020215</v>
      </c>
      <c r="U2939">
        <v>0</v>
      </c>
      <c r="V2939">
        <v>0</v>
      </c>
    </row>
    <row r="2940" spans="1:22" x14ac:dyDescent="0.2">
      <c r="A2940"/>
      <c r="B2940">
        <v>72050</v>
      </c>
      <c r="C2940" t="s">
        <v>1369</v>
      </c>
      <c r="D2940" t="s">
        <v>54</v>
      </c>
      <c r="E2940" t="s">
        <v>52</v>
      </c>
      <c r="F2940" t="s">
        <v>87</v>
      </c>
      <c r="G2940">
        <v>3889.8562348885821</v>
      </c>
      <c r="H2940" t="s">
        <v>248</v>
      </c>
      <c r="I2940">
        <v>2.5</v>
      </c>
      <c r="J2940">
        <v>0</v>
      </c>
      <c r="K2940">
        <v>90</v>
      </c>
      <c r="L2940">
        <v>0</v>
      </c>
      <c r="M2940" t="s">
        <v>187</v>
      </c>
      <c r="N2940">
        <v>4668.6125668258101</v>
      </c>
      <c r="O2940" t="s">
        <v>248</v>
      </c>
      <c r="P2940" t="b">
        <v>1</v>
      </c>
      <c r="Q2940">
        <v>5325.1801546328625</v>
      </c>
      <c r="R2940">
        <v>26184.530346932537</v>
      </c>
      <c r="S2940">
        <v>-2.3571802031034301</v>
      </c>
      <c r="T2940">
        <v>172.37213564020215</v>
      </c>
      <c r="U2940">
        <v>0</v>
      </c>
      <c r="V2940">
        <v>0</v>
      </c>
    </row>
    <row r="2941" spans="1:22" x14ac:dyDescent="0.2">
      <c r="A2941"/>
      <c r="B2941">
        <v>72051</v>
      </c>
      <c r="C2941" t="s">
        <v>1370</v>
      </c>
      <c r="D2941" t="s">
        <v>53</v>
      </c>
      <c r="E2941" t="s">
        <v>52</v>
      </c>
      <c r="F2941" t="s">
        <v>87</v>
      </c>
      <c r="G2941">
        <v>3889.8562348885821</v>
      </c>
      <c r="H2941" t="s">
        <v>248</v>
      </c>
      <c r="I2941">
        <v>2.5</v>
      </c>
      <c r="J2941">
        <v>0</v>
      </c>
      <c r="K2941">
        <v>90</v>
      </c>
      <c r="L2941">
        <v>0</v>
      </c>
      <c r="M2941" t="s">
        <v>187</v>
      </c>
      <c r="N2941">
        <v>4668.6125668258101</v>
      </c>
      <c r="O2941" t="s">
        <v>248</v>
      </c>
      <c r="P2941" t="b">
        <v>1</v>
      </c>
      <c r="Q2941">
        <v>5325.1801546328625</v>
      </c>
      <c r="R2941">
        <v>26184.530346932537</v>
      </c>
      <c r="S2941">
        <v>-2.3571802031034301</v>
      </c>
      <c r="T2941">
        <v>172.37213564020215</v>
      </c>
      <c r="U2941">
        <v>0</v>
      </c>
      <c r="V2941">
        <v>0</v>
      </c>
    </row>
    <row r="2942" spans="1:22" x14ac:dyDescent="0.2">
      <c r="A2942"/>
      <c r="B2942">
        <v>72052</v>
      </c>
      <c r="C2942" t="s">
        <v>317</v>
      </c>
      <c r="D2942" t="s">
        <v>69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</row>
    <row r="2943" spans="1:22" x14ac:dyDescent="0.2">
      <c r="A2943"/>
      <c r="B2943">
        <v>72053</v>
      </c>
      <c r="C2943" t="s">
        <v>1371</v>
      </c>
      <c r="D2943" t="s">
        <v>65</v>
      </c>
      <c r="F2943" t="s">
        <v>124</v>
      </c>
      <c r="G2943">
        <v>123.54428514674237</v>
      </c>
      <c r="H2943" t="s">
        <v>248</v>
      </c>
      <c r="I2943">
        <v>-5</v>
      </c>
      <c r="J2943">
        <v>0</v>
      </c>
      <c r="K2943">
        <v>0</v>
      </c>
      <c r="L2943">
        <v>0</v>
      </c>
      <c r="M2943" t="s">
        <v>188</v>
      </c>
      <c r="N2943">
        <v>6537.1291300883204</v>
      </c>
      <c r="O2943" t="s">
        <v>248</v>
      </c>
      <c r="P2943" t="b">
        <v>1</v>
      </c>
      <c r="Q2943">
        <v>5637.2442503591874</v>
      </c>
      <c r="R2943">
        <v>28026.687647519564</v>
      </c>
      <c r="S2943">
        <v>5.2387706512334153</v>
      </c>
      <c r="T2943">
        <v>80.706291694702642</v>
      </c>
      <c r="U2943">
        <v>0</v>
      </c>
      <c r="V2943">
        <v>0</v>
      </c>
    </row>
    <row r="2944" spans="1:22" x14ac:dyDescent="0.2">
      <c r="A2944"/>
      <c r="B2944">
        <v>72054</v>
      </c>
      <c r="C2944" t="s">
        <v>1372</v>
      </c>
      <c r="D2944" t="s">
        <v>59</v>
      </c>
      <c r="E2944" t="s">
        <v>1091</v>
      </c>
      <c r="F2944" t="s">
        <v>124</v>
      </c>
      <c r="G2944">
        <v>123.54428514674237</v>
      </c>
      <c r="H2944" t="s">
        <v>248</v>
      </c>
      <c r="I2944">
        <v>-2.5</v>
      </c>
      <c r="J2944">
        <v>0</v>
      </c>
      <c r="K2944">
        <v>270</v>
      </c>
      <c r="L2944">
        <v>0</v>
      </c>
      <c r="M2944" t="s">
        <v>188</v>
      </c>
      <c r="N2944">
        <v>6537.1291300883204</v>
      </c>
      <c r="O2944" t="s">
        <v>248</v>
      </c>
      <c r="P2944" t="b">
        <v>1</v>
      </c>
      <c r="Q2944">
        <v>5639.7114339999362</v>
      </c>
      <c r="R2944">
        <v>28026.283908887748</v>
      </c>
      <c r="S2944">
        <v>5.2387706512334153</v>
      </c>
      <c r="T2944">
        <v>-9.2937083052973435</v>
      </c>
      <c r="U2944">
        <v>0</v>
      </c>
      <c r="V2944">
        <v>0</v>
      </c>
    </row>
    <row r="2945" spans="1:22" x14ac:dyDescent="0.2">
      <c r="A2945"/>
      <c r="B2945">
        <v>72055</v>
      </c>
      <c r="C2945" t="s">
        <v>1373</v>
      </c>
      <c r="D2945" t="s">
        <v>57</v>
      </c>
      <c r="E2945" t="s">
        <v>1091</v>
      </c>
      <c r="F2945" t="s">
        <v>124</v>
      </c>
      <c r="G2945">
        <v>123.54428514674237</v>
      </c>
      <c r="H2945" t="s">
        <v>248</v>
      </c>
      <c r="I2945">
        <v>-2.5</v>
      </c>
      <c r="J2945">
        <v>0</v>
      </c>
      <c r="K2945">
        <v>270</v>
      </c>
      <c r="L2945">
        <v>0</v>
      </c>
      <c r="M2945" t="s">
        <v>188</v>
      </c>
      <c r="N2945">
        <v>6537.1291300883204</v>
      </c>
      <c r="O2945" t="s">
        <v>248</v>
      </c>
      <c r="P2945" t="b">
        <v>1</v>
      </c>
      <c r="Q2945">
        <v>5639.7114339999362</v>
      </c>
      <c r="R2945">
        <v>28026.283908887748</v>
      </c>
      <c r="S2945">
        <v>5.2387706512334153</v>
      </c>
      <c r="T2945">
        <v>-9.2937083052973435</v>
      </c>
      <c r="U2945">
        <v>0</v>
      </c>
      <c r="V2945">
        <v>0</v>
      </c>
    </row>
    <row r="2946" spans="1:22" x14ac:dyDescent="0.2">
      <c r="A2946"/>
      <c r="B2946">
        <v>72056</v>
      </c>
      <c r="C2946" t="s">
        <v>1374</v>
      </c>
      <c r="D2946" t="s">
        <v>55</v>
      </c>
      <c r="E2946" t="s">
        <v>52</v>
      </c>
      <c r="F2946" t="s">
        <v>124</v>
      </c>
      <c r="G2946">
        <v>123.54428514674237</v>
      </c>
      <c r="H2946" t="s">
        <v>248</v>
      </c>
      <c r="I2946">
        <v>-2.5</v>
      </c>
      <c r="J2946">
        <v>0</v>
      </c>
      <c r="K2946">
        <v>270</v>
      </c>
      <c r="L2946">
        <v>0</v>
      </c>
      <c r="M2946" t="s">
        <v>188</v>
      </c>
      <c r="N2946">
        <v>6537.1291300883204</v>
      </c>
      <c r="O2946" t="s">
        <v>248</v>
      </c>
      <c r="P2946" t="b">
        <v>1</v>
      </c>
      <c r="Q2946">
        <v>5639.7114339999362</v>
      </c>
      <c r="R2946">
        <v>28026.283908887748</v>
      </c>
      <c r="S2946">
        <v>5.2387706512334153</v>
      </c>
      <c r="T2946">
        <v>-9.2937083052973435</v>
      </c>
      <c r="U2946">
        <v>0</v>
      </c>
      <c r="V2946">
        <v>0</v>
      </c>
    </row>
    <row r="2947" spans="1:22" x14ac:dyDescent="0.2">
      <c r="A2947"/>
      <c r="B2947">
        <v>72057</v>
      </c>
      <c r="C2947" t="s">
        <v>1375</v>
      </c>
      <c r="D2947" t="s">
        <v>54</v>
      </c>
      <c r="E2947" t="s">
        <v>52</v>
      </c>
      <c r="F2947" t="s">
        <v>124</v>
      </c>
      <c r="G2947">
        <v>123.54428514674237</v>
      </c>
      <c r="H2947" t="s">
        <v>248</v>
      </c>
      <c r="I2947">
        <v>-2.5</v>
      </c>
      <c r="J2947">
        <v>0</v>
      </c>
      <c r="K2947">
        <v>270</v>
      </c>
      <c r="L2947">
        <v>0</v>
      </c>
      <c r="M2947" t="s">
        <v>188</v>
      </c>
      <c r="N2947">
        <v>6537.1291300883204</v>
      </c>
      <c r="O2947" t="s">
        <v>248</v>
      </c>
      <c r="P2947" t="b">
        <v>1</v>
      </c>
      <c r="Q2947">
        <v>5639.7114339999362</v>
      </c>
      <c r="R2947">
        <v>28026.283908887748</v>
      </c>
      <c r="S2947">
        <v>5.2387706512334153</v>
      </c>
      <c r="T2947">
        <v>-9.2937083052973435</v>
      </c>
      <c r="U2947">
        <v>0</v>
      </c>
      <c r="V2947">
        <v>0</v>
      </c>
    </row>
    <row r="2948" spans="1:22" x14ac:dyDescent="0.2">
      <c r="A2948"/>
      <c r="B2948">
        <v>72058</v>
      </c>
      <c r="C2948" t="s">
        <v>1376</v>
      </c>
      <c r="D2948" t="s">
        <v>53</v>
      </c>
      <c r="E2948" t="s">
        <v>52</v>
      </c>
      <c r="F2948" t="s">
        <v>124</v>
      </c>
      <c r="G2948">
        <v>123.54428514674237</v>
      </c>
      <c r="H2948" t="s">
        <v>248</v>
      </c>
      <c r="I2948">
        <v>-2.5</v>
      </c>
      <c r="J2948">
        <v>0</v>
      </c>
      <c r="K2948">
        <v>270</v>
      </c>
      <c r="L2948">
        <v>0</v>
      </c>
      <c r="M2948" t="s">
        <v>188</v>
      </c>
      <c r="N2948">
        <v>6537.1291300883204</v>
      </c>
      <c r="O2948" t="s">
        <v>248</v>
      </c>
      <c r="P2948" t="b">
        <v>1</v>
      </c>
      <c r="Q2948">
        <v>5639.7114339999362</v>
      </c>
      <c r="R2948">
        <v>28026.283908887748</v>
      </c>
      <c r="S2948">
        <v>5.2387706512334153</v>
      </c>
      <c r="T2948">
        <v>-9.2937083052973435</v>
      </c>
      <c r="U2948">
        <v>0</v>
      </c>
      <c r="V2948">
        <v>0</v>
      </c>
    </row>
    <row r="2949" spans="1:22" x14ac:dyDescent="0.2">
      <c r="A2949"/>
      <c r="B2949">
        <v>72059</v>
      </c>
      <c r="C2949" t="s">
        <v>1377</v>
      </c>
      <c r="D2949" t="s">
        <v>65</v>
      </c>
      <c r="F2949" t="s">
        <v>89</v>
      </c>
      <c r="G2949">
        <v>200.62175199303056</v>
      </c>
      <c r="H2949" t="s">
        <v>248</v>
      </c>
      <c r="I2949">
        <v>5</v>
      </c>
      <c r="J2949">
        <v>0</v>
      </c>
      <c r="K2949">
        <v>0</v>
      </c>
      <c r="L2949">
        <v>0</v>
      </c>
      <c r="M2949" t="s">
        <v>187</v>
      </c>
      <c r="N2949">
        <v>6537.8408363970802</v>
      </c>
      <c r="O2949" t="s">
        <v>248</v>
      </c>
      <c r="P2949" t="b">
        <v>1</v>
      </c>
      <c r="Q2949">
        <v>5651.9774710465072</v>
      </c>
      <c r="R2949">
        <v>28024.394124377701</v>
      </c>
      <c r="S2949">
        <v>5.254187237210048</v>
      </c>
      <c r="T2949">
        <v>80.648153277121466</v>
      </c>
      <c r="U2949">
        <v>0</v>
      </c>
      <c r="V2949">
        <v>0</v>
      </c>
    </row>
    <row r="2950" spans="1:22" x14ac:dyDescent="0.2">
      <c r="A2950"/>
      <c r="B2950">
        <v>72060</v>
      </c>
      <c r="C2950" t="s">
        <v>1378</v>
      </c>
      <c r="D2950" t="s">
        <v>59</v>
      </c>
      <c r="E2950" t="s">
        <v>1091</v>
      </c>
      <c r="F2950" t="s">
        <v>89</v>
      </c>
      <c r="G2950">
        <v>200.62175199303056</v>
      </c>
      <c r="H2950" t="s">
        <v>248</v>
      </c>
      <c r="I2950">
        <v>2.5</v>
      </c>
      <c r="J2950">
        <v>0</v>
      </c>
      <c r="K2950">
        <v>90</v>
      </c>
      <c r="L2950">
        <v>0</v>
      </c>
      <c r="M2950" t="s">
        <v>187</v>
      </c>
      <c r="N2950">
        <v>6537.8408363970802</v>
      </c>
      <c r="O2950" t="s">
        <v>248</v>
      </c>
      <c r="P2950" t="b">
        <v>1</v>
      </c>
      <c r="Q2950">
        <v>5649.5106983521691</v>
      </c>
      <c r="R2950">
        <v>28024.800366269272</v>
      </c>
      <c r="S2950">
        <v>5.254187237210048</v>
      </c>
      <c r="T2950">
        <v>170.64815327712148</v>
      </c>
      <c r="U2950">
        <v>0</v>
      </c>
      <c r="V2950">
        <v>0</v>
      </c>
    </row>
    <row r="2951" spans="1:22" x14ac:dyDescent="0.2">
      <c r="A2951"/>
      <c r="B2951">
        <v>72061</v>
      </c>
      <c r="C2951" t="s">
        <v>1379</v>
      </c>
      <c r="D2951" t="s">
        <v>57</v>
      </c>
      <c r="E2951" t="s">
        <v>1091</v>
      </c>
      <c r="F2951" t="s">
        <v>89</v>
      </c>
      <c r="G2951">
        <v>200.62175199303056</v>
      </c>
      <c r="H2951" t="s">
        <v>248</v>
      </c>
      <c r="I2951">
        <v>2.5</v>
      </c>
      <c r="J2951">
        <v>0</v>
      </c>
      <c r="K2951">
        <v>90</v>
      </c>
      <c r="L2951">
        <v>0</v>
      </c>
      <c r="M2951" t="s">
        <v>187</v>
      </c>
      <c r="N2951">
        <v>6537.8408363970802</v>
      </c>
      <c r="O2951" t="s">
        <v>248</v>
      </c>
      <c r="P2951" t="b">
        <v>1</v>
      </c>
      <c r="Q2951">
        <v>5649.5106983521691</v>
      </c>
      <c r="R2951">
        <v>28024.800366269272</v>
      </c>
      <c r="S2951">
        <v>5.254187237210048</v>
      </c>
      <c r="T2951">
        <v>170.64815327712148</v>
      </c>
      <c r="U2951">
        <v>0</v>
      </c>
      <c r="V2951">
        <v>0</v>
      </c>
    </row>
    <row r="2952" spans="1:22" x14ac:dyDescent="0.2">
      <c r="A2952"/>
      <c r="B2952">
        <v>72062</v>
      </c>
      <c r="C2952" t="s">
        <v>1380</v>
      </c>
      <c r="D2952" t="s">
        <v>55</v>
      </c>
      <c r="E2952" t="s">
        <v>52</v>
      </c>
      <c r="F2952" t="s">
        <v>89</v>
      </c>
      <c r="G2952">
        <v>200.62175199303056</v>
      </c>
      <c r="H2952" t="s">
        <v>248</v>
      </c>
      <c r="I2952">
        <v>2.5</v>
      </c>
      <c r="J2952">
        <v>0</v>
      </c>
      <c r="K2952">
        <v>90</v>
      </c>
      <c r="L2952">
        <v>0</v>
      </c>
      <c r="M2952" t="s">
        <v>187</v>
      </c>
      <c r="N2952">
        <v>6537.8408363970802</v>
      </c>
      <c r="O2952" t="s">
        <v>248</v>
      </c>
      <c r="P2952" t="b">
        <v>1</v>
      </c>
      <c r="Q2952">
        <v>5649.5106983521691</v>
      </c>
      <c r="R2952">
        <v>28024.800366269272</v>
      </c>
      <c r="S2952">
        <v>5.254187237210048</v>
      </c>
      <c r="T2952">
        <v>170.64815327712148</v>
      </c>
      <c r="U2952">
        <v>0</v>
      </c>
      <c r="V2952">
        <v>0</v>
      </c>
    </row>
    <row r="2953" spans="1:22" x14ac:dyDescent="0.2">
      <c r="A2953"/>
      <c r="B2953">
        <v>72063</v>
      </c>
      <c r="C2953" t="s">
        <v>1381</v>
      </c>
      <c r="D2953" t="s">
        <v>54</v>
      </c>
      <c r="E2953" t="s">
        <v>52</v>
      </c>
      <c r="F2953" t="s">
        <v>89</v>
      </c>
      <c r="G2953">
        <v>200.62175199303056</v>
      </c>
      <c r="H2953" t="s">
        <v>248</v>
      </c>
      <c r="I2953">
        <v>2.5</v>
      </c>
      <c r="J2953">
        <v>0</v>
      </c>
      <c r="K2953">
        <v>90</v>
      </c>
      <c r="L2953">
        <v>0</v>
      </c>
      <c r="M2953" t="s">
        <v>187</v>
      </c>
      <c r="N2953">
        <v>6537.8408363970802</v>
      </c>
      <c r="O2953" t="s">
        <v>248</v>
      </c>
      <c r="P2953" t="b">
        <v>1</v>
      </c>
      <c r="Q2953">
        <v>5649.5106983521691</v>
      </c>
      <c r="R2953">
        <v>28024.800366269272</v>
      </c>
      <c r="S2953">
        <v>5.254187237210048</v>
      </c>
      <c r="T2953">
        <v>170.64815327712148</v>
      </c>
      <c r="U2953">
        <v>0</v>
      </c>
      <c r="V2953">
        <v>0</v>
      </c>
    </row>
    <row r="2954" spans="1:22" x14ac:dyDescent="0.2">
      <c r="A2954"/>
      <c r="B2954">
        <v>72064</v>
      </c>
      <c r="C2954" t="s">
        <v>1382</v>
      </c>
      <c r="D2954" t="s">
        <v>53</v>
      </c>
      <c r="E2954" t="s">
        <v>52</v>
      </c>
      <c r="F2954" t="s">
        <v>89</v>
      </c>
      <c r="G2954">
        <v>200.62175199303056</v>
      </c>
      <c r="H2954" t="s">
        <v>248</v>
      </c>
      <c r="I2954">
        <v>2.5</v>
      </c>
      <c r="J2954">
        <v>0</v>
      </c>
      <c r="K2954">
        <v>90</v>
      </c>
      <c r="L2954">
        <v>0</v>
      </c>
      <c r="M2954" t="s">
        <v>187</v>
      </c>
      <c r="N2954">
        <v>6537.8408363970802</v>
      </c>
      <c r="O2954" t="s">
        <v>248</v>
      </c>
      <c r="P2954" t="b">
        <v>1</v>
      </c>
      <c r="Q2954">
        <v>5649.5106983521691</v>
      </c>
      <c r="R2954">
        <v>28024.800366269272</v>
      </c>
      <c r="S2954">
        <v>5.254187237210048</v>
      </c>
      <c r="T2954">
        <v>170.64815327712148</v>
      </c>
      <c r="U2954">
        <v>0</v>
      </c>
      <c r="V2954">
        <v>0</v>
      </c>
    </row>
    <row r="2955" spans="1:22" x14ac:dyDescent="0.2">
      <c r="A2955"/>
      <c r="B2955">
        <v>72065</v>
      </c>
      <c r="C2955" t="s">
        <v>323</v>
      </c>
      <c r="D2955" t="s">
        <v>69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</row>
    <row r="2956" spans="1:22" x14ac:dyDescent="0.2">
      <c r="A2956"/>
      <c r="B2956">
        <v>72066</v>
      </c>
      <c r="C2956" t="s">
        <v>1383</v>
      </c>
      <c r="D2956" t="s">
        <v>65</v>
      </c>
      <c r="F2956" t="s">
        <v>125</v>
      </c>
      <c r="G2956">
        <v>1027.5434998429992</v>
      </c>
      <c r="H2956" t="s">
        <v>248</v>
      </c>
      <c r="I2956">
        <v>-5</v>
      </c>
      <c r="J2956">
        <v>0</v>
      </c>
      <c r="K2956">
        <v>0</v>
      </c>
      <c r="L2956">
        <v>0</v>
      </c>
      <c r="M2956" t="s">
        <v>188</v>
      </c>
      <c r="N2956">
        <v>7688.2109850947099</v>
      </c>
      <c r="O2956" t="s">
        <v>248</v>
      </c>
      <c r="P2956" t="b">
        <v>1</v>
      </c>
      <c r="Q2956">
        <v>5642.8770682590148</v>
      </c>
      <c r="R2956">
        <v>29161.806645600795</v>
      </c>
      <c r="S2956">
        <v>17.272785798912423</v>
      </c>
      <c r="T2956">
        <v>87.788676108553702</v>
      </c>
      <c r="U2956">
        <v>0</v>
      </c>
      <c r="V2956">
        <v>0</v>
      </c>
    </row>
    <row r="2957" spans="1:22" x14ac:dyDescent="0.2">
      <c r="A2957"/>
      <c r="B2957">
        <v>72067</v>
      </c>
      <c r="C2957" t="s">
        <v>1384</v>
      </c>
      <c r="D2957" t="s">
        <v>59</v>
      </c>
      <c r="E2957" t="s">
        <v>1091</v>
      </c>
      <c r="F2957" t="s">
        <v>125</v>
      </c>
      <c r="G2957">
        <v>1027.5434998429992</v>
      </c>
      <c r="H2957" t="s">
        <v>248</v>
      </c>
      <c r="I2957">
        <v>-2.5</v>
      </c>
      <c r="J2957">
        <v>0</v>
      </c>
      <c r="K2957">
        <v>270</v>
      </c>
      <c r="L2957">
        <v>0</v>
      </c>
      <c r="M2957" t="s">
        <v>188</v>
      </c>
      <c r="N2957">
        <v>7688.2109850947099</v>
      </c>
      <c r="O2957" t="s">
        <v>248</v>
      </c>
      <c r="P2957" t="b">
        <v>1</v>
      </c>
      <c r="Q2957">
        <v>5645.3752065339122</v>
      </c>
      <c r="R2957">
        <v>29161.710182346171</v>
      </c>
      <c r="S2957">
        <v>17.272785798912423</v>
      </c>
      <c r="T2957">
        <v>-2.2113238914462841</v>
      </c>
      <c r="U2957">
        <v>0</v>
      </c>
      <c r="V2957">
        <v>0</v>
      </c>
    </row>
    <row r="2958" spans="1:22" x14ac:dyDescent="0.2">
      <c r="A2958"/>
      <c r="B2958">
        <v>72068</v>
      </c>
      <c r="C2958" t="s">
        <v>1385</v>
      </c>
      <c r="D2958" t="s">
        <v>57</v>
      </c>
      <c r="E2958" t="s">
        <v>1091</v>
      </c>
      <c r="F2958" t="s">
        <v>125</v>
      </c>
      <c r="G2958">
        <v>1027.5434998429992</v>
      </c>
      <c r="H2958" t="s">
        <v>248</v>
      </c>
      <c r="I2958">
        <v>-2.5</v>
      </c>
      <c r="J2958">
        <v>0</v>
      </c>
      <c r="K2958">
        <v>270</v>
      </c>
      <c r="L2958">
        <v>0</v>
      </c>
      <c r="M2958" t="s">
        <v>188</v>
      </c>
      <c r="N2958">
        <v>7688.2109850947099</v>
      </c>
      <c r="O2958" t="s">
        <v>248</v>
      </c>
      <c r="P2958" t="b">
        <v>1</v>
      </c>
      <c r="Q2958">
        <v>5645.3752065339122</v>
      </c>
      <c r="R2958">
        <v>29161.710182346171</v>
      </c>
      <c r="S2958">
        <v>17.272785798912423</v>
      </c>
      <c r="T2958">
        <v>-2.2113238914462841</v>
      </c>
      <c r="U2958">
        <v>0</v>
      </c>
      <c r="V2958">
        <v>0</v>
      </c>
    </row>
    <row r="2959" spans="1:22" x14ac:dyDescent="0.2">
      <c r="A2959"/>
      <c r="B2959">
        <v>72069</v>
      </c>
      <c r="C2959" t="s">
        <v>1386</v>
      </c>
      <c r="D2959" t="s">
        <v>55</v>
      </c>
      <c r="E2959" t="s">
        <v>52</v>
      </c>
      <c r="F2959" t="s">
        <v>125</v>
      </c>
      <c r="G2959">
        <v>1027.5434998429992</v>
      </c>
      <c r="H2959" t="s">
        <v>248</v>
      </c>
      <c r="I2959">
        <v>-2.5</v>
      </c>
      <c r="J2959">
        <v>0</v>
      </c>
      <c r="K2959">
        <v>270</v>
      </c>
      <c r="L2959">
        <v>0</v>
      </c>
      <c r="M2959" t="s">
        <v>188</v>
      </c>
      <c r="N2959">
        <v>7688.2109850947099</v>
      </c>
      <c r="O2959" t="s">
        <v>248</v>
      </c>
      <c r="P2959" t="b">
        <v>1</v>
      </c>
      <c r="Q2959">
        <v>5645.3752065339122</v>
      </c>
      <c r="R2959">
        <v>29161.710182346171</v>
      </c>
      <c r="S2959">
        <v>17.272785798912423</v>
      </c>
      <c r="T2959">
        <v>-2.2113238914462841</v>
      </c>
      <c r="U2959">
        <v>0</v>
      </c>
      <c r="V2959">
        <v>0</v>
      </c>
    </row>
    <row r="2960" spans="1:22" x14ac:dyDescent="0.2">
      <c r="A2960"/>
      <c r="B2960">
        <v>72070</v>
      </c>
      <c r="C2960" t="s">
        <v>1387</v>
      </c>
      <c r="D2960" t="s">
        <v>54</v>
      </c>
      <c r="E2960" t="s">
        <v>52</v>
      </c>
      <c r="F2960" t="s">
        <v>125</v>
      </c>
      <c r="G2960">
        <v>1027.5434998429992</v>
      </c>
      <c r="H2960" t="s">
        <v>248</v>
      </c>
      <c r="I2960">
        <v>-2.5</v>
      </c>
      <c r="J2960">
        <v>0</v>
      </c>
      <c r="K2960">
        <v>270</v>
      </c>
      <c r="L2960">
        <v>0</v>
      </c>
      <c r="M2960" t="s">
        <v>188</v>
      </c>
      <c r="N2960">
        <v>7688.2109850947099</v>
      </c>
      <c r="O2960" t="s">
        <v>248</v>
      </c>
      <c r="P2960" t="b">
        <v>1</v>
      </c>
      <c r="Q2960">
        <v>5645.3752065339122</v>
      </c>
      <c r="R2960">
        <v>29161.710182346171</v>
      </c>
      <c r="S2960">
        <v>17.272785798912423</v>
      </c>
      <c r="T2960">
        <v>-2.2113238914462841</v>
      </c>
      <c r="U2960">
        <v>0</v>
      </c>
      <c r="V2960">
        <v>0</v>
      </c>
    </row>
    <row r="2961" spans="1:22" x14ac:dyDescent="0.2">
      <c r="A2961"/>
      <c r="B2961">
        <v>72071</v>
      </c>
      <c r="C2961" t="s">
        <v>1388</v>
      </c>
      <c r="D2961" t="s">
        <v>53</v>
      </c>
      <c r="E2961" t="s">
        <v>52</v>
      </c>
      <c r="F2961" t="s">
        <v>125</v>
      </c>
      <c r="G2961">
        <v>1027.5434998429992</v>
      </c>
      <c r="H2961" t="s">
        <v>248</v>
      </c>
      <c r="I2961">
        <v>-2.5</v>
      </c>
      <c r="J2961">
        <v>0</v>
      </c>
      <c r="K2961">
        <v>270</v>
      </c>
      <c r="L2961">
        <v>0</v>
      </c>
      <c r="M2961" t="s">
        <v>188</v>
      </c>
      <c r="N2961">
        <v>7688.2109850947099</v>
      </c>
      <c r="O2961" t="s">
        <v>248</v>
      </c>
      <c r="P2961" t="b">
        <v>1</v>
      </c>
      <c r="Q2961">
        <v>5645.3752065339122</v>
      </c>
      <c r="R2961">
        <v>29161.710182346171</v>
      </c>
      <c r="S2961">
        <v>17.272785798912423</v>
      </c>
      <c r="T2961">
        <v>-2.2113238914462841</v>
      </c>
      <c r="U2961">
        <v>0</v>
      </c>
      <c r="V2961">
        <v>0</v>
      </c>
    </row>
    <row r="2962" spans="1:22" x14ac:dyDescent="0.2">
      <c r="A2962"/>
      <c r="B2962">
        <v>72072</v>
      </c>
      <c r="C2962" t="s">
        <v>1389</v>
      </c>
      <c r="D2962" t="s">
        <v>65</v>
      </c>
      <c r="F2962" t="s">
        <v>91</v>
      </c>
      <c r="G2962">
        <v>947.45009644219476</v>
      </c>
      <c r="H2962" t="s">
        <v>248</v>
      </c>
      <c r="I2962">
        <v>5</v>
      </c>
      <c r="J2962">
        <v>0</v>
      </c>
      <c r="K2962">
        <v>0</v>
      </c>
      <c r="L2962">
        <v>0</v>
      </c>
      <c r="M2962" t="s">
        <v>187</v>
      </c>
      <c r="N2962">
        <v>7685.9048397710403</v>
      </c>
      <c r="O2962" t="s">
        <v>248</v>
      </c>
      <c r="P2962" t="b">
        <v>1</v>
      </c>
      <c r="Q2962">
        <v>5657.5619824303767</v>
      </c>
      <c r="R2962">
        <v>29157.688826856833</v>
      </c>
      <c r="S2962">
        <v>17.307765903819512</v>
      </c>
      <c r="T2962">
        <v>87.791531141052502</v>
      </c>
      <c r="U2962">
        <v>0</v>
      </c>
      <c r="V2962">
        <v>0</v>
      </c>
    </row>
    <row r="2963" spans="1:22" x14ac:dyDescent="0.2">
      <c r="A2963"/>
      <c r="B2963">
        <v>72073</v>
      </c>
      <c r="C2963" t="s">
        <v>1390</v>
      </c>
      <c r="D2963" t="s">
        <v>59</v>
      </c>
      <c r="E2963" t="s">
        <v>1091</v>
      </c>
      <c r="F2963" t="s">
        <v>91</v>
      </c>
      <c r="G2963">
        <v>947.45009644219476</v>
      </c>
      <c r="H2963" t="s">
        <v>248</v>
      </c>
      <c r="I2963">
        <v>2.5</v>
      </c>
      <c r="J2963">
        <v>0</v>
      </c>
      <c r="K2963">
        <v>90</v>
      </c>
      <c r="L2963">
        <v>0</v>
      </c>
      <c r="M2963" t="s">
        <v>187</v>
      </c>
      <c r="N2963">
        <v>7685.9048397710403</v>
      </c>
      <c r="O2963" t="s">
        <v>248</v>
      </c>
      <c r="P2963" t="b">
        <v>1</v>
      </c>
      <c r="Q2963">
        <v>5655.0638393518439</v>
      </c>
      <c r="R2963">
        <v>29157.785165629815</v>
      </c>
      <c r="S2963">
        <v>17.307765903819512</v>
      </c>
      <c r="T2963">
        <v>177.7915311410525</v>
      </c>
      <c r="U2963">
        <v>0</v>
      </c>
      <c r="V2963">
        <v>0</v>
      </c>
    </row>
    <row r="2964" spans="1:22" x14ac:dyDescent="0.2">
      <c r="A2964"/>
      <c r="B2964">
        <v>72074</v>
      </c>
      <c r="C2964" t="s">
        <v>1391</v>
      </c>
      <c r="D2964" t="s">
        <v>57</v>
      </c>
      <c r="E2964" t="s">
        <v>1091</v>
      </c>
      <c r="F2964" t="s">
        <v>91</v>
      </c>
      <c r="G2964">
        <v>947.45009644219476</v>
      </c>
      <c r="H2964" t="s">
        <v>248</v>
      </c>
      <c r="I2964">
        <v>2.5</v>
      </c>
      <c r="J2964">
        <v>0</v>
      </c>
      <c r="K2964">
        <v>90</v>
      </c>
      <c r="L2964">
        <v>0</v>
      </c>
      <c r="M2964" t="s">
        <v>187</v>
      </c>
      <c r="N2964">
        <v>7685.9048397710403</v>
      </c>
      <c r="O2964" t="s">
        <v>248</v>
      </c>
      <c r="P2964" t="b">
        <v>1</v>
      </c>
      <c r="Q2964">
        <v>5655.0638393518439</v>
      </c>
      <c r="R2964">
        <v>29157.785165629815</v>
      </c>
      <c r="S2964">
        <v>17.307765903819512</v>
      </c>
      <c r="T2964">
        <v>177.7915311410525</v>
      </c>
      <c r="U2964">
        <v>0</v>
      </c>
      <c r="V2964">
        <v>0</v>
      </c>
    </row>
    <row r="2965" spans="1:22" x14ac:dyDescent="0.2">
      <c r="A2965"/>
      <c r="B2965">
        <v>72075</v>
      </c>
      <c r="C2965" t="s">
        <v>1392</v>
      </c>
      <c r="D2965" t="s">
        <v>55</v>
      </c>
      <c r="E2965" t="s">
        <v>52</v>
      </c>
      <c r="F2965" t="s">
        <v>91</v>
      </c>
      <c r="G2965">
        <v>947.45009644219476</v>
      </c>
      <c r="H2965" t="s">
        <v>248</v>
      </c>
      <c r="I2965">
        <v>2.5</v>
      </c>
      <c r="J2965">
        <v>0</v>
      </c>
      <c r="K2965">
        <v>90</v>
      </c>
      <c r="L2965">
        <v>0</v>
      </c>
      <c r="M2965" t="s">
        <v>187</v>
      </c>
      <c r="N2965">
        <v>7685.9048397710403</v>
      </c>
      <c r="O2965" t="s">
        <v>248</v>
      </c>
      <c r="P2965" t="b">
        <v>1</v>
      </c>
      <c r="Q2965">
        <v>5655.0638393518439</v>
      </c>
      <c r="R2965">
        <v>29157.785165629815</v>
      </c>
      <c r="S2965">
        <v>17.307765903819512</v>
      </c>
      <c r="T2965">
        <v>177.7915311410525</v>
      </c>
      <c r="U2965">
        <v>0</v>
      </c>
      <c r="V2965">
        <v>0</v>
      </c>
    </row>
    <row r="2966" spans="1:22" x14ac:dyDescent="0.2">
      <c r="A2966"/>
      <c r="B2966">
        <v>72076</v>
      </c>
      <c r="C2966" t="s">
        <v>1393</v>
      </c>
      <c r="D2966" t="s">
        <v>54</v>
      </c>
      <c r="E2966" t="s">
        <v>52</v>
      </c>
      <c r="F2966" t="s">
        <v>91</v>
      </c>
      <c r="G2966">
        <v>947.45009644219476</v>
      </c>
      <c r="H2966" t="s">
        <v>248</v>
      </c>
      <c r="I2966">
        <v>2.5</v>
      </c>
      <c r="J2966">
        <v>0</v>
      </c>
      <c r="K2966">
        <v>90</v>
      </c>
      <c r="L2966">
        <v>0</v>
      </c>
      <c r="M2966" t="s">
        <v>187</v>
      </c>
      <c r="N2966">
        <v>7685.9048397710403</v>
      </c>
      <c r="O2966" t="s">
        <v>248</v>
      </c>
      <c r="P2966" t="b">
        <v>1</v>
      </c>
      <c r="Q2966">
        <v>5655.0638393518439</v>
      </c>
      <c r="R2966">
        <v>29157.785165629815</v>
      </c>
      <c r="S2966">
        <v>17.307765903819512</v>
      </c>
      <c r="T2966">
        <v>177.7915311410525</v>
      </c>
      <c r="U2966">
        <v>0</v>
      </c>
      <c r="V2966">
        <v>0</v>
      </c>
    </row>
    <row r="2967" spans="1:22" x14ac:dyDescent="0.2">
      <c r="A2967"/>
      <c r="B2967">
        <v>72077</v>
      </c>
      <c r="C2967" t="s">
        <v>1394</v>
      </c>
      <c r="D2967" t="s">
        <v>53</v>
      </c>
      <c r="E2967" t="s">
        <v>52</v>
      </c>
      <c r="F2967" t="s">
        <v>91</v>
      </c>
      <c r="G2967">
        <v>947.45009644219476</v>
      </c>
      <c r="H2967" t="s">
        <v>248</v>
      </c>
      <c r="I2967">
        <v>2.5</v>
      </c>
      <c r="J2967">
        <v>0</v>
      </c>
      <c r="K2967">
        <v>90</v>
      </c>
      <c r="L2967">
        <v>0</v>
      </c>
      <c r="M2967" t="s">
        <v>187</v>
      </c>
      <c r="N2967">
        <v>7685.9048397710403</v>
      </c>
      <c r="O2967" t="s">
        <v>248</v>
      </c>
      <c r="P2967" t="b">
        <v>1</v>
      </c>
      <c r="Q2967">
        <v>5655.0638393518439</v>
      </c>
      <c r="R2967">
        <v>29157.785165629815</v>
      </c>
      <c r="S2967">
        <v>17.307765903819512</v>
      </c>
      <c r="T2967">
        <v>177.7915311410525</v>
      </c>
      <c r="U2967">
        <v>0</v>
      </c>
      <c r="V2967">
        <v>0</v>
      </c>
    </row>
    <row r="2968" spans="1:22" x14ac:dyDescent="0.2">
      <c r="A2968"/>
      <c r="B2968">
        <v>72078</v>
      </c>
      <c r="C2968" t="s">
        <v>329</v>
      </c>
      <c r="D2968" t="s">
        <v>69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</row>
    <row r="2969" spans="1:22" x14ac:dyDescent="0.2">
      <c r="A2969"/>
      <c r="B2969">
        <v>72079</v>
      </c>
      <c r="C2969" t="s">
        <v>1395</v>
      </c>
      <c r="D2969" t="s">
        <v>65</v>
      </c>
      <c r="F2969" t="s">
        <v>126</v>
      </c>
      <c r="G2969">
        <v>495.82691333813773</v>
      </c>
      <c r="H2969" t="s">
        <v>248</v>
      </c>
      <c r="I2969">
        <v>-5</v>
      </c>
      <c r="J2969">
        <v>0</v>
      </c>
      <c r="K2969">
        <v>0</v>
      </c>
      <c r="L2969">
        <v>0</v>
      </c>
      <c r="M2969" t="s">
        <v>188</v>
      </c>
      <c r="N2969">
        <v>8511.0771220566494</v>
      </c>
      <c r="O2969" t="s">
        <v>248</v>
      </c>
      <c r="P2969" t="b">
        <v>1</v>
      </c>
      <c r="Q2969">
        <v>5704.9659982570038</v>
      </c>
      <c r="R2969">
        <v>29981.377781802057</v>
      </c>
      <c r="S2969">
        <v>8.8053921246960076</v>
      </c>
      <c r="T2969">
        <v>88.048344171665818</v>
      </c>
      <c r="U2969">
        <v>0</v>
      </c>
      <c r="V2969">
        <v>0</v>
      </c>
    </row>
    <row r="2970" spans="1:22" x14ac:dyDescent="0.2">
      <c r="A2970"/>
      <c r="B2970">
        <v>72080</v>
      </c>
      <c r="C2970" t="s">
        <v>1396</v>
      </c>
      <c r="D2970" t="s">
        <v>59</v>
      </c>
      <c r="E2970" t="s">
        <v>1091</v>
      </c>
      <c r="F2970" t="s">
        <v>126</v>
      </c>
      <c r="G2970">
        <v>495.82691333813773</v>
      </c>
      <c r="H2970" t="s">
        <v>248</v>
      </c>
      <c r="I2970">
        <v>-2.5</v>
      </c>
      <c r="J2970">
        <v>0</v>
      </c>
      <c r="K2970">
        <v>270</v>
      </c>
      <c r="L2970">
        <v>0</v>
      </c>
      <c r="M2970" t="s">
        <v>188</v>
      </c>
      <c r="N2970">
        <v>8511.0771220566494</v>
      </c>
      <c r="O2970" t="s">
        <v>248</v>
      </c>
      <c r="P2970" t="b">
        <v>1</v>
      </c>
      <c r="Q2970">
        <v>5707.4645480525933</v>
      </c>
      <c r="R2970">
        <v>29981.292641218533</v>
      </c>
      <c r="S2970">
        <v>8.8053921246960076</v>
      </c>
      <c r="T2970">
        <v>-1.9516558283341965</v>
      </c>
      <c r="U2970">
        <v>0</v>
      </c>
      <c r="V2970">
        <v>0</v>
      </c>
    </row>
    <row r="2971" spans="1:22" x14ac:dyDescent="0.2">
      <c r="A2971"/>
      <c r="B2971">
        <v>72081</v>
      </c>
      <c r="C2971" t="s">
        <v>1397</v>
      </c>
      <c r="D2971" t="s">
        <v>57</v>
      </c>
      <c r="E2971" t="s">
        <v>1091</v>
      </c>
      <c r="F2971" t="s">
        <v>126</v>
      </c>
      <c r="G2971">
        <v>495.82691333813773</v>
      </c>
      <c r="H2971" t="s">
        <v>248</v>
      </c>
      <c r="I2971">
        <v>-2.5</v>
      </c>
      <c r="J2971">
        <v>0</v>
      </c>
      <c r="K2971">
        <v>270</v>
      </c>
      <c r="L2971">
        <v>0</v>
      </c>
      <c r="M2971" t="s">
        <v>188</v>
      </c>
      <c r="N2971">
        <v>8511.0771220566494</v>
      </c>
      <c r="O2971" t="s">
        <v>248</v>
      </c>
      <c r="P2971" t="b">
        <v>1</v>
      </c>
      <c r="Q2971">
        <v>5707.4645480525933</v>
      </c>
      <c r="R2971">
        <v>29981.292641218533</v>
      </c>
      <c r="S2971">
        <v>8.8053921246960076</v>
      </c>
      <c r="T2971">
        <v>-1.9516558283341965</v>
      </c>
      <c r="U2971">
        <v>0</v>
      </c>
      <c r="V2971">
        <v>0</v>
      </c>
    </row>
    <row r="2972" spans="1:22" x14ac:dyDescent="0.2">
      <c r="A2972"/>
      <c r="B2972">
        <v>72082</v>
      </c>
      <c r="C2972" t="s">
        <v>1398</v>
      </c>
      <c r="D2972" t="s">
        <v>55</v>
      </c>
      <c r="E2972" t="s">
        <v>52</v>
      </c>
      <c r="F2972" t="s">
        <v>126</v>
      </c>
      <c r="G2972">
        <v>495.82691333813773</v>
      </c>
      <c r="H2972" t="s">
        <v>248</v>
      </c>
      <c r="I2972">
        <v>-2.5</v>
      </c>
      <c r="J2972">
        <v>0</v>
      </c>
      <c r="K2972">
        <v>270</v>
      </c>
      <c r="L2972">
        <v>0</v>
      </c>
      <c r="M2972" t="s">
        <v>188</v>
      </c>
      <c r="N2972">
        <v>8511.0771220566494</v>
      </c>
      <c r="O2972" t="s">
        <v>248</v>
      </c>
      <c r="P2972" t="b">
        <v>1</v>
      </c>
      <c r="Q2972">
        <v>5707.4645480525933</v>
      </c>
      <c r="R2972">
        <v>29981.292641218533</v>
      </c>
      <c r="S2972">
        <v>8.8053921246960076</v>
      </c>
      <c r="T2972">
        <v>-1.9516558283341965</v>
      </c>
      <c r="U2972">
        <v>0</v>
      </c>
      <c r="V2972">
        <v>0</v>
      </c>
    </row>
    <row r="2973" spans="1:22" x14ac:dyDescent="0.2">
      <c r="A2973"/>
      <c r="B2973">
        <v>72083</v>
      </c>
      <c r="C2973" t="s">
        <v>1399</v>
      </c>
      <c r="D2973" t="s">
        <v>54</v>
      </c>
      <c r="E2973" t="s">
        <v>52</v>
      </c>
      <c r="F2973" t="s">
        <v>126</v>
      </c>
      <c r="G2973">
        <v>495.82691333813773</v>
      </c>
      <c r="H2973" t="s">
        <v>248</v>
      </c>
      <c r="I2973">
        <v>-2.5</v>
      </c>
      <c r="J2973">
        <v>0</v>
      </c>
      <c r="K2973">
        <v>270</v>
      </c>
      <c r="L2973">
        <v>0</v>
      </c>
      <c r="M2973" t="s">
        <v>188</v>
      </c>
      <c r="N2973">
        <v>8511.0771220566494</v>
      </c>
      <c r="O2973" t="s">
        <v>248</v>
      </c>
      <c r="P2973" t="b">
        <v>1</v>
      </c>
      <c r="Q2973">
        <v>5707.4645480525933</v>
      </c>
      <c r="R2973">
        <v>29981.292641218533</v>
      </c>
      <c r="S2973">
        <v>8.8053921246960076</v>
      </c>
      <c r="T2973">
        <v>-1.9516558283341965</v>
      </c>
      <c r="U2973">
        <v>0</v>
      </c>
      <c r="V2973">
        <v>0</v>
      </c>
    </row>
    <row r="2974" spans="1:22" x14ac:dyDescent="0.2">
      <c r="A2974"/>
      <c r="B2974">
        <v>72084</v>
      </c>
      <c r="C2974" t="s">
        <v>1400</v>
      </c>
      <c r="D2974" t="s">
        <v>53</v>
      </c>
      <c r="E2974" t="s">
        <v>52</v>
      </c>
      <c r="F2974" t="s">
        <v>126</v>
      </c>
      <c r="G2974">
        <v>495.82691333813773</v>
      </c>
      <c r="H2974" t="s">
        <v>248</v>
      </c>
      <c r="I2974">
        <v>-2.5</v>
      </c>
      <c r="J2974">
        <v>0</v>
      </c>
      <c r="K2974">
        <v>270</v>
      </c>
      <c r="L2974">
        <v>0</v>
      </c>
      <c r="M2974" t="s">
        <v>188</v>
      </c>
      <c r="N2974">
        <v>8511.0771220566494</v>
      </c>
      <c r="O2974" t="s">
        <v>248</v>
      </c>
      <c r="P2974" t="b">
        <v>1</v>
      </c>
      <c r="Q2974">
        <v>5707.4645480525933</v>
      </c>
      <c r="R2974">
        <v>29981.292641218533</v>
      </c>
      <c r="S2974">
        <v>8.8053921246960076</v>
      </c>
      <c r="T2974">
        <v>-1.9516558283341965</v>
      </c>
      <c r="U2974">
        <v>0</v>
      </c>
      <c r="V2974">
        <v>0</v>
      </c>
    </row>
    <row r="2975" spans="1:22" x14ac:dyDescent="0.2">
      <c r="A2975"/>
      <c r="B2975">
        <v>72085</v>
      </c>
      <c r="C2975" t="s">
        <v>1401</v>
      </c>
      <c r="D2975" t="s">
        <v>65</v>
      </c>
      <c r="F2975" t="s">
        <v>92</v>
      </c>
      <c r="G2975">
        <v>492.27538099978187</v>
      </c>
      <c r="H2975" t="s">
        <v>248</v>
      </c>
      <c r="I2975">
        <v>5</v>
      </c>
      <c r="J2975">
        <v>0</v>
      </c>
      <c r="K2975">
        <v>0</v>
      </c>
      <c r="L2975">
        <v>0</v>
      </c>
      <c r="M2975" t="s">
        <v>187</v>
      </c>
      <c r="N2975">
        <v>8508.7011923535501</v>
      </c>
      <c r="O2975" t="s">
        <v>248</v>
      </c>
      <c r="P2975" t="b">
        <v>1</v>
      </c>
      <c r="Q2975">
        <v>5719.7792040160766</v>
      </c>
      <c r="R2975">
        <v>29977.2303951182</v>
      </c>
      <c r="S2975">
        <v>8.8483513392851254</v>
      </c>
      <c r="T2975">
        <v>88.034293451798007</v>
      </c>
      <c r="U2975">
        <v>0</v>
      </c>
      <c r="V2975">
        <v>0</v>
      </c>
    </row>
    <row r="2976" spans="1:22" x14ac:dyDescent="0.2">
      <c r="A2976"/>
      <c r="B2976">
        <v>72086</v>
      </c>
      <c r="C2976" t="s">
        <v>1402</v>
      </c>
      <c r="D2976" t="s">
        <v>59</v>
      </c>
      <c r="E2976" t="s">
        <v>1091</v>
      </c>
      <c r="F2976" t="s">
        <v>92</v>
      </c>
      <c r="G2976">
        <v>492.27538099978187</v>
      </c>
      <c r="H2976" t="s">
        <v>248</v>
      </c>
      <c r="I2976">
        <v>2.5</v>
      </c>
      <c r="J2976">
        <v>0</v>
      </c>
      <c r="K2976">
        <v>90</v>
      </c>
      <c r="L2976">
        <v>0</v>
      </c>
      <c r="M2976" t="s">
        <v>187</v>
      </c>
      <c r="N2976">
        <v>8508.7011923535501</v>
      </c>
      <c r="O2976" t="s">
        <v>248</v>
      </c>
      <c r="P2976" t="b">
        <v>1</v>
      </c>
      <c r="Q2976">
        <v>5717.2806751747548</v>
      </c>
      <c r="R2976">
        <v>29977.316148421829</v>
      </c>
      <c r="S2976">
        <v>8.8483513392851254</v>
      </c>
      <c r="T2976">
        <v>178.03429345179802</v>
      </c>
      <c r="U2976">
        <v>0</v>
      </c>
      <c r="V2976">
        <v>0</v>
      </c>
    </row>
    <row r="2977" spans="1:22" x14ac:dyDescent="0.2">
      <c r="A2977"/>
      <c r="B2977">
        <v>72087</v>
      </c>
      <c r="C2977" t="s">
        <v>1403</v>
      </c>
      <c r="D2977" t="s">
        <v>57</v>
      </c>
      <c r="E2977" t="s">
        <v>1091</v>
      </c>
      <c r="F2977" t="s">
        <v>92</v>
      </c>
      <c r="G2977">
        <v>492.27538099978187</v>
      </c>
      <c r="H2977" t="s">
        <v>248</v>
      </c>
      <c r="I2977">
        <v>2.5</v>
      </c>
      <c r="J2977">
        <v>0</v>
      </c>
      <c r="K2977">
        <v>90</v>
      </c>
      <c r="L2977">
        <v>0</v>
      </c>
      <c r="M2977" t="s">
        <v>187</v>
      </c>
      <c r="N2977">
        <v>8508.7011923535501</v>
      </c>
      <c r="O2977" t="s">
        <v>248</v>
      </c>
      <c r="P2977" t="b">
        <v>1</v>
      </c>
      <c r="Q2977">
        <v>5717.2806751747548</v>
      </c>
      <c r="R2977">
        <v>29977.316148421829</v>
      </c>
      <c r="S2977">
        <v>8.8483513392851254</v>
      </c>
      <c r="T2977">
        <v>178.03429345179802</v>
      </c>
      <c r="U2977">
        <v>0</v>
      </c>
      <c r="V2977">
        <v>0</v>
      </c>
    </row>
    <row r="2978" spans="1:22" x14ac:dyDescent="0.2">
      <c r="A2978"/>
      <c r="B2978">
        <v>72088</v>
      </c>
      <c r="C2978" t="s">
        <v>1404</v>
      </c>
      <c r="D2978" t="s">
        <v>55</v>
      </c>
      <c r="E2978" t="s">
        <v>52</v>
      </c>
      <c r="F2978" t="s">
        <v>92</v>
      </c>
      <c r="G2978">
        <v>492.27538099978187</v>
      </c>
      <c r="H2978" t="s">
        <v>248</v>
      </c>
      <c r="I2978">
        <v>2.5</v>
      </c>
      <c r="J2978">
        <v>0</v>
      </c>
      <c r="K2978">
        <v>90</v>
      </c>
      <c r="L2978">
        <v>0</v>
      </c>
      <c r="M2978" t="s">
        <v>187</v>
      </c>
      <c r="N2978">
        <v>8508.7011923535501</v>
      </c>
      <c r="O2978" t="s">
        <v>248</v>
      </c>
      <c r="P2978" t="b">
        <v>1</v>
      </c>
      <c r="Q2978">
        <v>5717.2806751747548</v>
      </c>
      <c r="R2978">
        <v>29977.316148421829</v>
      </c>
      <c r="S2978">
        <v>8.8483513392851254</v>
      </c>
      <c r="T2978">
        <v>178.03429345179802</v>
      </c>
      <c r="U2978">
        <v>0</v>
      </c>
      <c r="V2978">
        <v>0</v>
      </c>
    </row>
    <row r="2979" spans="1:22" x14ac:dyDescent="0.2">
      <c r="A2979"/>
      <c r="B2979">
        <v>72089</v>
      </c>
      <c r="C2979" t="s">
        <v>1405</v>
      </c>
      <c r="D2979" t="s">
        <v>54</v>
      </c>
      <c r="E2979" t="s">
        <v>52</v>
      </c>
      <c r="F2979" t="s">
        <v>92</v>
      </c>
      <c r="G2979">
        <v>492.27538099978187</v>
      </c>
      <c r="H2979" t="s">
        <v>248</v>
      </c>
      <c r="I2979">
        <v>2.5</v>
      </c>
      <c r="J2979">
        <v>0</v>
      </c>
      <c r="K2979">
        <v>90</v>
      </c>
      <c r="L2979">
        <v>0</v>
      </c>
      <c r="M2979" t="s">
        <v>187</v>
      </c>
      <c r="N2979">
        <v>8508.7011923535501</v>
      </c>
      <c r="O2979" t="s">
        <v>248</v>
      </c>
      <c r="P2979" t="b">
        <v>1</v>
      </c>
      <c r="Q2979">
        <v>5717.2806751747548</v>
      </c>
      <c r="R2979">
        <v>29977.316148421829</v>
      </c>
      <c r="S2979">
        <v>8.8483513392851254</v>
      </c>
      <c r="T2979">
        <v>178.03429345179802</v>
      </c>
      <c r="U2979">
        <v>0</v>
      </c>
      <c r="V2979">
        <v>0</v>
      </c>
    </row>
    <row r="2980" spans="1:22" x14ac:dyDescent="0.2">
      <c r="A2980"/>
      <c r="B2980">
        <v>72090</v>
      </c>
      <c r="C2980" t="s">
        <v>1406</v>
      </c>
      <c r="D2980" t="s">
        <v>53</v>
      </c>
      <c r="E2980" t="s">
        <v>52</v>
      </c>
      <c r="F2980" t="s">
        <v>92</v>
      </c>
      <c r="G2980">
        <v>492.27538099978187</v>
      </c>
      <c r="H2980" t="s">
        <v>248</v>
      </c>
      <c r="I2980">
        <v>2.5</v>
      </c>
      <c r="J2980">
        <v>0</v>
      </c>
      <c r="K2980">
        <v>90</v>
      </c>
      <c r="L2980">
        <v>0</v>
      </c>
      <c r="M2980" t="s">
        <v>187</v>
      </c>
      <c r="N2980">
        <v>8508.7011923535501</v>
      </c>
      <c r="O2980" t="s">
        <v>248</v>
      </c>
      <c r="P2980" t="b">
        <v>1</v>
      </c>
      <c r="Q2980">
        <v>5717.2806751747548</v>
      </c>
      <c r="R2980">
        <v>29977.316148421829</v>
      </c>
      <c r="S2980">
        <v>8.8483513392851254</v>
      </c>
      <c r="T2980">
        <v>178.03429345179802</v>
      </c>
      <c r="U2980">
        <v>0</v>
      </c>
      <c r="V2980">
        <v>0</v>
      </c>
    </row>
    <row r="2981" spans="1:22" x14ac:dyDescent="0.2">
      <c r="A2981"/>
      <c r="B2981">
        <v>72091</v>
      </c>
      <c r="C2981" t="s">
        <v>335</v>
      </c>
      <c r="D2981" t="s">
        <v>69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</row>
    <row r="2982" spans="1:22" x14ac:dyDescent="0.2">
      <c r="A2982"/>
      <c r="B2982">
        <v>72092</v>
      </c>
      <c r="C2982" t="s">
        <v>1407</v>
      </c>
      <c r="D2982" t="s">
        <v>65</v>
      </c>
      <c r="F2982" t="s">
        <v>126</v>
      </c>
      <c r="G2982">
        <v>1742.1866149473776</v>
      </c>
      <c r="H2982" t="s">
        <v>248</v>
      </c>
      <c r="I2982">
        <v>-5</v>
      </c>
      <c r="J2982">
        <v>0</v>
      </c>
      <c r="K2982">
        <v>0</v>
      </c>
      <c r="L2982">
        <v>0</v>
      </c>
      <c r="M2982" t="s">
        <v>188</v>
      </c>
      <c r="N2982">
        <v>9757.4368236658902</v>
      </c>
      <c r="O2982" t="s">
        <v>248</v>
      </c>
      <c r="P2982" t="b">
        <v>1</v>
      </c>
      <c r="Q2982">
        <v>5993.8582450176491</v>
      </c>
      <c r="R2982">
        <v>31166.14142759953</v>
      </c>
      <c r="S2982">
        <v>8.9873616499851501</v>
      </c>
      <c r="T2982">
        <v>76.984662172644136</v>
      </c>
      <c r="U2982">
        <v>0</v>
      </c>
      <c r="V2982">
        <v>0</v>
      </c>
    </row>
    <row r="2983" spans="1:22" x14ac:dyDescent="0.2">
      <c r="A2983"/>
      <c r="B2983">
        <v>72093</v>
      </c>
      <c r="C2983" t="s">
        <v>1408</v>
      </c>
      <c r="D2983" t="s">
        <v>59</v>
      </c>
      <c r="E2983" t="s">
        <v>1091</v>
      </c>
      <c r="F2983" t="s">
        <v>126</v>
      </c>
      <c r="G2983">
        <v>1742.1866149473776</v>
      </c>
      <c r="H2983" t="s">
        <v>248</v>
      </c>
      <c r="I2983">
        <v>-2.5</v>
      </c>
      <c r="J2983">
        <v>0</v>
      </c>
      <c r="K2983">
        <v>270</v>
      </c>
      <c r="L2983">
        <v>0</v>
      </c>
      <c r="M2983" t="s">
        <v>188</v>
      </c>
      <c r="N2983">
        <v>9757.4368236658902</v>
      </c>
      <c r="O2983" t="s">
        <v>248</v>
      </c>
      <c r="P2983" t="b">
        <v>1</v>
      </c>
      <c r="Q2983">
        <v>5996.2940195463216</v>
      </c>
      <c r="R2983">
        <v>31165.578397897414</v>
      </c>
      <c r="S2983">
        <v>8.9873616499851501</v>
      </c>
      <c r="T2983">
        <v>-13.015337827355893</v>
      </c>
      <c r="U2983">
        <v>0</v>
      </c>
      <c r="V2983">
        <v>0</v>
      </c>
    </row>
    <row r="2984" spans="1:22" x14ac:dyDescent="0.2">
      <c r="A2984"/>
      <c r="B2984">
        <v>72094</v>
      </c>
      <c r="C2984" t="s">
        <v>1409</v>
      </c>
      <c r="D2984" t="s">
        <v>57</v>
      </c>
      <c r="E2984" t="s">
        <v>1091</v>
      </c>
      <c r="F2984" t="s">
        <v>126</v>
      </c>
      <c r="G2984">
        <v>1742.1866149473776</v>
      </c>
      <c r="H2984" t="s">
        <v>248</v>
      </c>
      <c r="I2984">
        <v>-2.5</v>
      </c>
      <c r="J2984">
        <v>0</v>
      </c>
      <c r="K2984">
        <v>270</v>
      </c>
      <c r="L2984">
        <v>0</v>
      </c>
      <c r="M2984" t="s">
        <v>188</v>
      </c>
      <c r="N2984">
        <v>9757.4368236658902</v>
      </c>
      <c r="O2984" t="s">
        <v>248</v>
      </c>
      <c r="P2984" t="b">
        <v>1</v>
      </c>
      <c r="Q2984">
        <v>5996.2940195463216</v>
      </c>
      <c r="R2984">
        <v>31165.578397897414</v>
      </c>
      <c r="S2984">
        <v>8.9873616499851501</v>
      </c>
      <c r="T2984">
        <v>-13.015337827355893</v>
      </c>
      <c r="U2984">
        <v>0</v>
      </c>
      <c r="V2984">
        <v>0</v>
      </c>
    </row>
    <row r="2985" spans="1:22" x14ac:dyDescent="0.2">
      <c r="A2985"/>
      <c r="B2985">
        <v>72095</v>
      </c>
      <c r="C2985" t="s">
        <v>1410</v>
      </c>
      <c r="D2985" t="s">
        <v>55</v>
      </c>
      <c r="E2985" t="s">
        <v>52</v>
      </c>
      <c r="F2985" t="s">
        <v>126</v>
      </c>
      <c r="G2985">
        <v>1742.1866149473776</v>
      </c>
      <c r="H2985" t="s">
        <v>248</v>
      </c>
      <c r="I2985">
        <v>-2.5</v>
      </c>
      <c r="J2985">
        <v>0</v>
      </c>
      <c r="K2985">
        <v>270</v>
      </c>
      <c r="L2985">
        <v>0</v>
      </c>
      <c r="M2985" t="s">
        <v>188</v>
      </c>
      <c r="N2985">
        <v>9757.4368236658902</v>
      </c>
      <c r="O2985" t="s">
        <v>248</v>
      </c>
      <c r="P2985" t="b">
        <v>1</v>
      </c>
      <c r="Q2985">
        <v>5996.2940195463216</v>
      </c>
      <c r="R2985">
        <v>31165.578397897414</v>
      </c>
      <c r="S2985">
        <v>8.9873616499851501</v>
      </c>
      <c r="T2985">
        <v>-13.015337827355893</v>
      </c>
      <c r="U2985">
        <v>0</v>
      </c>
      <c r="V2985">
        <v>0</v>
      </c>
    </row>
    <row r="2986" spans="1:22" x14ac:dyDescent="0.2">
      <c r="A2986"/>
      <c r="B2986">
        <v>72096</v>
      </c>
      <c r="C2986" t="s">
        <v>1411</v>
      </c>
      <c r="D2986" t="s">
        <v>54</v>
      </c>
      <c r="E2986" t="s">
        <v>52</v>
      </c>
      <c r="F2986" t="s">
        <v>126</v>
      </c>
      <c r="G2986">
        <v>1742.1866149473776</v>
      </c>
      <c r="H2986" t="s">
        <v>248</v>
      </c>
      <c r="I2986">
        <v>-2.5</v>
      </c>
      <c r="J2986">
        <v>0</v>
      </c>
      <c r="K2986">
        <v>270</v>
      </c>
      <c r="L2986">
        <v>0</v>
      </c>
      <c r="M2986" t="s">
        <v>188</v>
      </c>
      <c r="N2986">
        <v>9757.4368236658902</v>
      </c>
      <c r="O2986" t="s">
        <v>248</v>
      </c>
      <c r="P2986" t="b">
        <v>1</v>
      </c>
      <c r="Q2986">
        <v>5996.2940195463216</v>
      </c>
      <c r="R2986">
        <v>31165.578397897414</v>
      </c>
      <c r="S2986">
        <v>8.9873616499851501</v>
      </c>
      <c r="T2986">
        <v>-13.015337827355893</v>
      </c>
      <c r="U2986">
        <v>0</v>
      </c>
      <c r="V2986">
        <v>0</v>
      </c>
    </row>
    <row r="2987" spans="1:22" x14ac:dyDescent="0.2">
      <c r="A2987"/>
      <c r="B2987">
        <v>72097</v>
      </c>
      <c r="C2987" t="s">
        <v>1412</v>
      </c>
      <c r="D2987" t="s">
        <v>53</v>
      </c>
      <c r="E2987" t="s">
        <v>52</v>
      </c>
      <c r="F2987" t="s">
        <v>126</v>
      </c>
      <c r="G2987">
        <v>1742.1866149473776</v>
      </c>
      <c r="H2987" t="s">
        <v>248</v>
      </c>
      <c r="I2987">
        <v>-2.5</v>
      </c>
      <c r="J2987">
        <v>0</v>
      </c>
      <c r="K2987">
        <v>270</v>
      </c>
      <c r="L2987">
        <v>0</v>
      </c>
      <c r="M2987" t="s">
        <v>188</v>
      </c>
      <c r="N2987">
        <v>9757.4368236658902</v>
      </c>
      <c r="O2987" t="s">
        <v>248</v>
      </c>
      <c r="P2987" t="b">
        <v>1</v>
      </c>
      <c r="Q2987">
        <v>5996.2940195463216</v>
      </c>
      <c r="R2987">
        <v>31165.578397897414</v>
      </c>
      <c r="S2987">
        <v>8.9873616499851501</v>
      </c>
      <c r="T2987">
        <v>-13.015337827355893</v>
      </c>
      <c r="U2987">
        <v>0</v>
      </c>
      <c r="V2987">
        <v>0</v>
      </c>
    </row>
    <row r="2988" spans="1:22" x14ac:dyDescent="0.2">
      <c r="A2988"/>
      <c r="B2988">
        <v>72098</v>
      </c>
      <c r="C2988" t="s">
        <v>1413</v>
      </c>
      <c r="D2988" t="s">
        <v>65</v>
      </c>
      <c r="F2988" t="s">
        <v>92</v>
      </c>
      <c r="G2988">
        <v>1738.4037561014493</v>
      </c>
      <c r="H2988" t="s">
        <v>248</v>
      </c>
      <c r="I2988">
        <v>5</v>
      </c>
      <c r="J2988">
        <v>0</v>
      </c>
      <c r="K2988">
        <v>0</v>
      </c>
      <c r="L2988">
        <v>0</v>
      </c>
      <c r="M2988" t="s">
        <v>187</v>
      </c>
      <c r="N2988">
        <v>9754.8295674552191</v>
      </c>
      <c r="O2988" t="s">
        <v>248</v>
      </c>
      <c r="P2988" t="b">
        <v>1</v>
      </c>
      <c r="Q2988">
        <v>6007.8029416203144</v>
      </c>
      <c r="R2988">
        <v>31159.933817500052</v>
      </c>
      <c r="S2988">
        <v>9.0482958964306857</v>
      </c>
      <c r="T2988">
        <v>77.153451701169331</v>
      </c>
      <c r="U2988">
        <v>0</v>
      </c>
      <c r="V2988">
        <v>0</v>
      </c>
    </row>
    <row r="2989" spans="1:22" x14ac:dyDescent="0.2">
      <c r="A2989"/>
      <c r="B2989">
        <v>72099</v>
      </c>
      <c r="C2989" t="s">
        <v>1414</v>
      </c>
      <c r="D2989" t="s">
        <v>59</v>
      </c>
      <c r="E2989" t="s">
        <v>1091</v>
      </c>
      <c r="F2989" t="s">
        <v>92</v>
      </c>
      <c r="G2989">
        <v>1738.4037561014493</v>
      </c>
      <c r="H2989" t="s">
        <v>248</v>
      </c>
      <c r="I2989">
        <v>2.5</v>
      </c>
      <c r="J2989">
        <v>0</v>
      </c>
      <c r="K2989">
        <v>90</v>
      </c>
      <c r="L2989">
        <v>0</v>
      </c>
      <c r="M2989" t="s">
        <v>187</v>
      </c>
      <c r="N2989">
        <v>9754.8295674552191</v>
      </c>
      <c r="O2989" t="s">
        <v>248</v>
      </c>
      <c r="P2989" t="b">
        <v>1</v>
      </c>
      <c r="Q2989">
        <v>6005.3655190157051</v>
      </c>
      <c r="R2989">
        <v>31160.489669140814</v>
      </c>
      <c r="S2989">
        <v>9.0482958964306857</v>
      </c>
      <c r="T2989">
        <v>167.15345170116933</v>
      </c>
      <c r="U2989">
        <v>0</v>
      </c>
      <c r="V2989">
        <v>0</v>
      </c>
    </row>
    <row r="2990" spans="1:22" x14ac:dyDescent="0.2">
      <c r="A2990"/>
      <c r="B2990">
        <v>72100</v>
      </c>
      <c r="C2990" t="s">
        <v>1415</v>
      </c>
      <c r="D2990" t="s">
        <v>57</v>
      </c>
      <c r="E2990" t="s">
        <v>1091</v>
      </c>
      <c r="F2990" t="s">
        <v>92</v>
      </c>
      <c r="G2990">
        <v>1738.4037561014493</v>
      </c>
      <c r="H2990" t="s">
        <v>248</v>
      </c>
      <c r="I2990">
        <v>2.5</v>
      </c>
      <c r="J2990">
        <v>0</v>
      </c>
      <c r="K2990">
        <v>90</v>
      </c>
      <c r="L2990">
        <v>0</v>
      </c>
      <c r="M2990" t="s">
        <v>187</v>
      </c>
      <c r="N2990">
        <v>9754.8295674552191</v>
      </c>
      <c r="O2990" t="s">
        <v>248</v>
      </c>
      <c r="P2990" t="b">
        <v>1</v>
      </c>
      <c r="Q2990">
        <v>6005.3655190157051</v>
      </c>
      <c r="R2990">
        <v>31160.489669140814</v>
      </c>
      <c r="S2990">
        <v>9.0482958964306857</v>
      </c>
      <c r="T2990">
        <v>167.15345170116933</v>
      </c>
      <c r="U2990">
        <v>0</v>
      </c>
      <c r="V2990">
        <v>0</v>
      </c>
    </row>
    <row r="2991" spans="1:22" x14ac:dyDescent="0.2">
      <c r="A2991"/>
      <c r="B2991">
        <v>72101</v>
      </c>
      <c r="C2991" t="s">
        <v>1416</v>
      </c>
      <c r="D2991" t="s">
        <v>55</v>
      </c>
      <c r="E2991" t="s">
        <v>52</v>
      </c>
      <c r="F2991" t="s">
        <v>92</v>
      </c>
      <c r="G2991">
        <v>1738.4037561014493</v>
      </c>
      <c r="H2991" t="s">
        <v>248</v>
      </c>
      <c r="I2991">
        <v>2.5</v>
      </c>
      <c r="J2991">
        <v>0</v>
      </c>
      <c r="K2991">
        <v>90</v>
      </c>
      <c r="L2991">
        <v>0</v>
      </c>
      <c r="M2991" t="s">
        <v>187</v>
      </c>
      <c r="N2991">
        <v>9754.8295674552191</v>
      </c>
      <c r="O2991" t="s">
        <v>248</v>
      </c>
      <c r="P2991" t="b">
        <v>1</v>
      </c>
      <c r="Q2991">
        <v>6005.3655190157051</v>
      </c>
      <c r="R2991">
        <v>31160.489669140814</v>
      </c>
      <c r="S2991">
        <v>9.0482958964306857</v>
      </c>
      <c r="T2991">
        <v>167.15345170116933</v>
      </c>
      <c r="U2991">
        <v>0</v>
      </c>
      <c r="V2991">
        <v>0</v>
      </c>
    </row>
    <row r="2992" spans="1:22" x14ac:dyDescent="0.2">
      <c r="A2992"/>
      <c r="B2992">
        <v>72102</v>
      </c>
      <c r="C2992" t="s">
        <v>1417</v>
      </c>
      <c r="D2992" t="s">
        <v>54</v>
      </c>
      <c r="E2992" t="s">
        <v>52</v>
      </c>
      <c r="F2992" t="s">
        <v>92</v>
      </c>
      <c r="G2992">
        <v>1738.4037561014493</v>
      </c>
      <c r="H2992" t="s">
        <v>248</v>
      </c>
      <c r="I2992">
        <v>2.5</v>
      </c>
      <c r="J2992">
        <v>0</v>
      </c>
      <c r="K2992">
        <v>90</v>
      </c>
      <c r="L2992">
        <v>0</v>
      </c>
      <c r="M2992" t="s">
        <v>187</v>
      </c>
      <c r="N2992">
        <v>9754.8295674552191</v>
      </c>
      <c r="O2992" t="s">
        <v>248</v>
      </c>
      <c r="P2992" t="b">
        <v>1</v>
      </c>
      <c r="Q2992">
        <v>6005.3655190157051</v>
      </c>
      <c r="R2992">
        <v>31160.489669140814</v>
      </c>
      <c r="S2992">
        <v>9.0482958964306857</v>
      </c>
      <c r="T2992">
        <v>167.15345170116933</v>
      </c>
      <c r="U2992">
        <v>0</v>
      </c>
      <c r="V2992">
        <v>0</v>
      </c>
    </row>
    <row r="2993" spans="1:22" x14ac:dyDescent="0.2">
      <c r="A2993"/>
      <c r="B2993">
        <v>72103</v>
      </c>
      <c r="C2993" t="s">
        <v>1418</v>
      </c>
      <c r="D2993" t="s">
        <v>53</v>
      </c>
      <c r="E2993" t="s">
        <v>52</v>
      </c>
      <c r="F2993" t="s">
        <v>92</v>
      </c>
      <c r="G2993">
        <v>1738.4037561014493</v>
      </c>
      <c r="H2993" t="s">
        <v>248</v>
      </c>
      <c r="I2993">
        <v>2.5</v>
      </c>
      <c r="J2993">
        <v>0</v>
      </c>
      <c r="K2993">
        <v>90</v>
      </c>
      <c r="L2993">
        <v>0</v>
      </c>
      <c r="M2993" t="s">
        <v>187</v>
      </c>
      <c r="N2993">
        <v>9754.8295674552191</v>
      </c>
      <c r="O2993" t="s">
        <v>248</v>
      </c>
      <c r="P2993" t="b">
        <v>1</v>
      </c>
      <c r="Q2993">
        <v>6005.3655190157051</v>
      </c>
      <c r="R2993">
        <v>31160.489669140814</v>
      </c>
      <c r="S2993">
        <v>9.0482958964306857</v>
      </c>
      <c r="T2993">
        <v>167.15345170116933</v>
      </c>
      <c r="U2993">
        <v>0</v>
      </c>
      <c r="V2993">
        <v>0</v>
      </c>
    </row>
    <row r="2994" spans="1:22" x14ac:dyDescent="0.2">
      <c r="A2994"/>
      <c r="B2994">
        <v>72104</v>
      </c>
      <c r="C2994" t="s">
        <v>341</v>
      </c>
      <c r="D2994" t="s">
        <v>69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</row>
    <row r="2995" spans="1:22" x14ac:dyDescent="0.2">
      <c r="A2995"/>
      <c r="B2995">
        <v>72105</v>
      </c>
      <c r="C2995" t="s">
        <v>1419</v>
      </c>
      <c r="D2995" t="s">
        <v>65</v>
      </c>
      <c r="F2995" t="s">
        <v>126</v>
      </c>
      <c r="G2995">
        <v>2436.4494564222882</v>
      </c>
      <c r="H2995" t="s">
        <v>248</v>
      </c>
      <c r="I2995">
        <v>-5</v>
      </c>
      <c r="J2995">
        <v>0</v>
      </c>
      <c r="K2995">
        <v>0</v>
      </c>
      <c r="L2995">
        <v>0</v>
      </c>
      <c r="M2995" t="s">
        <v>188</v>
      </c>
      <c r="N2995">
        <v>10451.699665140801</v>
      </c>
      <c r="O2995" t="s">
        <v>248</v>
      </c>
      <c r="P2995" t="b">
        <v>1</v>
      </c>
      <c r="Q2995">
        <v>6319.2083265422771</v>
      </c>
      <c r="R2995">
        <v>31766.568426129692</v>
      </c>
      <c r="S2995">
        <v>0.97585280056391022</v>
      </c>
      <c r="T2995">
        <v>44.389270320394466</v>
      </c>
      <c r="U2995">
        <v>0</v>
      </c>
      <c r="V2995">
        <v>0</v>
      </c>
    </row>
    <row r="2996" spans="1:22" x14ac:dyDescent="0.2">
      <c r="A2996"/>
      <c r="B2996">
        <v>72106</v>
      </c>
      <c r="C2996" t="s">
        <v>1420</v>
      </c>
      <c r="D2996" t="s">
        <v>59</v>
      </c>
      <c r="E2996" t="s">
        <v>1091</v>
      </c>
      <c r="F2996" t="s">
        <v>126</v>
      </c>
      <c r="G2996">
        <v>2436.4494564222882</v>
      </c>
      <c r="H2996" t="s">
        <v>248</v>
      </c>
      <c r="I2996">
        <v>-2.5</v>
      </c>
      <c r="J2996">
        <v>0</v>
      </c>
      <c r="K2996">
        <v>270</v>
      </c>
      <c r="L2996">
        <v>0</v>
      </c>
      <c r="M2996" t="s">
        <v>188</v>
      </c>
      <c r="N2996">
        <v>10451.699665140801</v>
      </c>
      <c r="O2996" t="s">
        <v>248</v>
      </c>
      <c r="P2996" t="b">
        <v>1</v>
      </c>
      <c r="Q2996">
        <v>6320.9571503677935</v>
      </c>
      <c r="R2996">
        <v>31764.781916900134</v>
      </c>
      <c r="S2996">
        <v>0.97585280056391022</v>
      </c>
      <c r="T2996">
        <v>-45.610729679605527</v>
      </c>
      <c r="U2996">
        <v>0</v>
      </c>
      <c r="V2996">
        <v>0</v>
      </c>
    </row>
    <row r="2997" spans="1:22" x14ac:dyDescent="0.2">
      <c r="A2997"/>
      <c r="B2997">
        <v>72107</v>
      </c>
      <c r="C2997" t="s">
        <v>1421</v>
      </c>
      <c r="D2997" t="s">
        <v>57</v>
      </c>
      <c r="E2997" t="s">
        <v>1091</v>
      </c>
      <c r="F2997" t="s">
        <v>126</v>
      </c>
      <c r="G2997">
        <v>2436.4494564222882</v>
      </c>
      <c r="H2997" t="s">
        <v>248</v>
      </c>
      <c r="I2997">
        <v>-2.5</v>
      </c>
      <c r="J2997">
        <v>0</v>
      </c>
      <c r="K2997">
        <v>270</v>
      </c>
      <c r="L2997">
        <v>0</v>
      </c>
      <c r="M2997" t="s">
        <v>188</v>
      </c>
      <c r="N2997">
        <v>10451.699665140801</v>
      </c>
      <c r="O2997" t="s">
        <v>248</v>
      </c>
      <c r="P2997" t="b">
        <v>1</v>
      </c>
      <c r="Q2997">
        <v>6320.9571503677935</v>
      </c>
      <c r="R2997">
        <v>31764.781916900134</v>
      </c>
      <c r="S2997">
        <v>0.97585280056391022</v>
      </c>
      <c r="T2997">
        <v>-45.610729679605527</v>
      </c>
      <c r="U2997">
        <v>0</v>
      </c>
      <c r="V2997">
        <v>0</v>
      </c>
    </row>
    <row r="2998" spans="1:22" x14ac:dyDescent="0.2">
      <c r="A2998"/>
      <c r="B2998">
        <v>72108</v>
      </c>
      <c r="C2998" t="s">
        <v>1422</v>
      </c>
      <c r="D2998" t="s">
        <v>55</v>
      </c>
      <c r="E2998" t="s">
        <v>52</v>
      </c>
      <c r="F2998" t="s">
        <v>126</v>
      </c>
      <c r="G2998">
        <v>2436.4494564222882</v>
      </c>
      <c r="H2998" t="s">
        <v>248</v>
      </c>
      <c r="I2998">
        <v>-2.5</v>
      </c>
      <c r="J2998">
        <v>0</v>
      </c>
      <c r="K2998">
        <v>270</v>
      </c>
      <c r="L2998">
        <v>0</v>
      </c>
      <c r="M2998" t="s">
        <v>188</v>
      </c>
      <c r="N2998">
        <v>10451.699665140801</v>
      </c>
      <c r="O2998" t="s">
        <v>248</v>
      </c>
      <c r="P2998" t="b">
        <v>1</v>
      </c>
      <c r="Q2998">
        <v>6320.9571503677935</v>
      </c>
      <c r="R2998">
        <v>31764.781916900134</v>
      </c>
      <c r="S2998">
        <v>0.97585280056391022</v>
      </c>
      <c r="T2998">
        <v>-45.610729679605527</v>
      </c>
      <c r="U2998">
        <v>0</v>
      </c>
      <c r="V2998">
        <v>0</v>
      </c>
    </row>
    <row r="2999" spans="1:22" x14ac:dyDescent="0.2">
      <c r="A2999"/>
      <c r="B2999">
        <v>72109</v>
      </c>
      <c r="C2999" t="s">
        <v>1423</v>
      </c>
      <c r="D2999" t="s">
        <v>54</v>
      </c>
      <c r="E2999" t="s">
        <v>52</v>
      </c>
      <c r="F2999" t="s">
        <v>126</v>
      </c>
      <c r="G2999">
        <v>2436.4494564222882</v>
      </c>
      <c r="H2999" t="s">
        <v>248</v>
      </c>
      <c r="I2999">
        <v>-2.5</v>
      </c>
      <c r="J2999">
        <v>0</v>
      </c>
      <c r="K2999">
        <v>270</v>
      </c>
      <c r="L2999">
        <v>0</v>
      </c>
      <c r="M2999" t="s">
        <v>188</v>
      </c>
      <c r="N2999">
        <v>10451.699665140801</v>
      </c>
      <c r="O2999" t="s">
        <v>248</v>
      </c>
      <c r="P2999" t="b">
        <v>1</v>
      </c>
      <c r="Q2999">
        <v>6320.9571503677935</v>
      </c>
      <c r="R2999">
        <v>31764.781916900134</v>
      </c>
      <c r="S2999">
        <v>0.97585280056391022</v>
      </c>
      <c r="T2999">
        <v>-45.610729679605527</v>
      </c>
      <c r="U2999">
        <v>0</v>
      </c>
      <c r="V2999">
        <v>0</v>
      </c>
    </row>
    <row r="3000" spans="1:22" x14ac:dyDescent="0.2">
      <c r="A3000"/>
      <c r="B3000">
        <v>72110</v>
      </c>
      <c r="C3000" t="s">
        <v>1424</v>
      </c>
      <c r="D3000" t="s">
        <v>53</v>
      </c>
      <c r="E3000" t="s">
        <v>52</v>
      </c>
      <c r="F3000" t="s">
        <v>126</v>
      </c>
      <c r="G3000">
        <v>2436.4494564222882</v>
      </c>
      <c r="H3000" t="s">
        <v>248</v>
      </c>
      <c r="I3000">
        <v>-2.5</v>
      </c>
      <c r="J3000">
        <v>0</v>
      </c>
      <c r="K3000">
        <v>270</v>
      </c>
      <c r="L3000">
        <v>0</v>
      </c>
      <c r="M3000" t="s">
        <v>188</v>
      </c>
      <c r="N3000">
        <v>10451.699665140801</v>
      </c>
      <c r="O3000" t="s">
        <v>248</v>
      </c>
      <c r="P3000" t="b">
        <v>1</v>
      </c>
      <c r="Q3000">
        <v>6320.9571503677935</v>
      </c>
      <c r="R3000">
        <v>31764.781916900134</v>
      </c>
      <c r="S3000">
        <v>0.97585280056391022</v>
      </c>
      <c r="T3000">
        <v>-45.610729679605527</v>
      </c>
      <c r="U3000">
        <v>0</v>
      </c>
      <c r="V3000">
        <v>0</v>
      </c>
    </row>
    <row r="3001" spans="1:22" x14ac:dyDescent="0.2">
      <c r="A3001"/>
      <c r="B3001">
        <v>72111</v>
      </c>
      <c r="C3001" t="s">
        <v>1425</v>
      </c>
      <c r="D3001" t="s">
        <v>65</v>
      </c>
      <c r="F3001" t="s">
        <v>92</v>
      </c>
      <c r="G3001">
        <v>2430.2560870674306</v>
      </c>
      <c r="H3001" t="s">
        <v>248</v>
      </c>
      <c r="I3001">
        <v>5</v>
      </c>
      <c r="J3001">
        <v>0</v>
      </c>
      <c r="K3001">
        <v>0</v>
      </c>
      <c r="L3001">
        <v>0</v>
      </c>
      <c r="M3001" t="s">
        <v>187</v>
      </c>
      <c r="N3001">
        <v>10446.6818984212</v>
      </c>
      <c r="O3001" t="s">
        <v>248</v>
      </c>
      <c r="P3001" t="b">
        <v>1</v>
      </c>
      <c r="Q3001">
        <v>6327.8500541544436</v>
      </c>
      <c r="R3001">
        <v>31754.138200602269</v>
      </c>
      <c r="S3001">
        <v>0.99500265067996319</v>
      </c>
      <c r="T3001">
        <v>44.400452715308553</v>
      </c>
      <c r="U3001">
        <v>0</v>
      </c>
      <c r="V3001">
        <v>0</v>
      </c>
    </row>
    <row r="3002" spans="1:22" x14ac:dyDescent="0.2">
      <c r="A3002"/>
      <c r="B3002">
        <v>72112</v>
      </c>
      <c r="C3002" t="s">
        <v>1426</v>
      </c>
      <c r="D3002" t="s">
        <v>59</v>
      </c>
      <c r="E3002" t="s">
        <v>1091</v>
      </c>
      <c r="F3002" t="s">
        <v>92</v>
      </c>
      <c r="G3002">
        <v>2430.2560870674306</v>
      </c>
      <c r="H3002" t="s">
        <v>248</v>
      </c>
      <c r="I3002">
        <v>2.5</v>
      </c>
      <c r="J3002">
        <v>0</v>
      </c>
      <c r="K3002">
        <v>90</v>
      </c>
      <c r="L3002">
        <v>0</v>
      </c>
      <c r="M3002" t="s">
        <v>187</v>
      </c>
      <c r="N3002">
        <v>10446.6818984212</v>
      </c>
      <c r="O3002" t="s">
        <v>248</v>
      </c>
      <c r="P3002" t="b">
        <v>1</v>
      </c>
      <c r="Q3002">
        <v>6326.1008816899275</v>
      </c>
      <c r="R3002">
        <v>31755.924368480541</v>
      </c>
      <c r="S3002">
        <v>0.99500265067996319</v>
      </c>
      <c r="T3002">
        <v>134.40045271530855</v>
      </c>
      <c r="U3002">
        <v>0</v>
      </c>
      <c r="V3002">
        <v>0</v>
      </c>
    </row>
    <row r="3003" spans="1:22" x14ac:dyDescent="0.2">
      <c r="A3003"/>
      <c r="B3003">
        <v>72113</v>
      </c>
      <c r="C3003" t="s">
        <v>1427</v>
      </c>
      <c r="D3003" t="s">
        <v>57</v>
      </c>
      <c r="E3003" t="s">
        <v>1091</v>
      </c>
      <c r="F3003" t="s">
        <v>92</v>
      </c>
      <c r="G3003">
        <v>2430.2560870674306</v>
      </c>
      <c r="H3003" t="s">
        <v>248</v>
      </c>
      <c r="I3003">
        <v>2.5</v>
      </c>
      <c r="J3003">
        <v>0</v>
      </c>
      <c r="K3003">
        <v>90</v>
      </c>
      <c r="L3003">
        <v>0</v>
      </c>
      <c r="M3003" t="s">
        <v>187</v>
      </c>
      <c r="N3003">
        <v>10446.6818984212</v>
      </c>
      <c r="O3003" t="s">
        <v>248</v>
      </c>
      <c r="P3003" t="b">
        <v>1</v>
      </c>
      <c r="Q3003">
        <v>6326.1008816899275</v>
      </c>
      <c r="R3003">
        <v>31755.924368480541</v>
      </c>
      <c r="S3003">
        <v>0.99500265067996319</v>
      </c>
      <c r="T3003">
        <v>134.40045271530855</v>
      </c>
      <c r="U3003">
        <v>0</v>
      </c>
      <c r="V3003">
        <v>0</v>
      </c>
    </row>
    <row r="3004" spans="1:22" x14ac:dyDescent="0.2">
      <c r="A3004"/>
      <c r="B3004">
        <v>72114</v>
      </c>
      <c r="C3004" t="s">
        <v>1428</v>
      </c>
      <c r="D3004" t="s">
        <v>55</v>
      </c>
      <c r="E3004" t="s">
        <v>52</v>
      </c>
      <c r="F3004" t="s">
        <v>92</v>
      </c>
      <c r="G3004">
        <v>2430.2560870674306</v>
      </c>
      <c r="H3004" t="s">
        <v>248</v>
      </c>
      <c r="I3004">
        <v>2.5</v>
      </c>
      <c r="J3004">
        <v>0</v>
      </c>
      <c r="K3004">
        <v>90</v>
      </c>
      <c r="L3004">
        <v>0</v>
      </c>
      <c r="M3004" t="s">
        <v>187</v>
      </c>
      <c r="N3004">
        <v>10446.6818984212</v>
      </c>
      <c r="O3004" t="s">
        <v>248</v>
      </c>
      <c r="P3004" t="b">
        <v>1</v>
      </c>
      <c r="Q3004">
        <v>6326.1008816899275</v>
      </c>
      <c r="R3004">
        <v>31755.924368480541</v>
      </c>
      <c r="S3004">
        <v>0.99500265067996319</v>
      </c>
      <c r="T3004">
        <v>134.40045271530855</v>
      </c>
      <c r="U3004">
        <v>0</v>
      </c>
      <c r="V3004">
        <v>0</v>
      </c>
    </row>
    <row r="3005" spans="1:22" x14ac:dyDescent="0.2">
      <c r="A3005"/>
      <c r="B3005">
        <v>72115</v>
      </c>
      <c r="C3005" t="s">
        <v>1429</v>
      </c>
      <c r="D3005" t="s">
        <v>54</v>
      </c>
      <c r="E3005" t="s">
        <v>52</v>
      </c>
      <c r="F3005" t="s">
        <v>92</v>
      </c>
      <c r="G3005">
        <v>2430.2560870674306</v>
      </c>
      <c r="H3005" t="s">
        <v>248</v>
      </c>
      <c r="I3005">
        <v>2.5</v>
      </c>
      <c r="J3005">
        <v>0</v>
      </c>
      <c r="K3005">
        <v>90</v>
      </c>
      <c r="L3005">
        <v>0</v>
      </c>
      <c r="M3005" t="s">
        <v>187</v>
      </c>
      <c r="N3005">
        <v>10446.6818984212</v>
      </c>
      <c r="O3005" t="s">
        <v>248</v>
      </c>
      <c r="P3005" t="b">
        <v>1</v>
      </c>
      <c r="Q3005">
        <v>6326.1008816899275</v>
      </c>
      <c r="R3005">
        <v>31755.924368480541</v>
      </c>
      <c r="S3005">
        <v>0.99500265067996319</v>
      </c>
      <c r="T3005">
        <v>134.40045271530855</v>
      </c>
      <c r="U3005">
        <v>0</v>
      </c>
      <c r="V3005">
        <v>0</v>
      </c>
    </row>
    <row r="3006" spans="1:22" x14ac:dyDescent="0.2">
      <c r="A3006"/>
      <c r="B3006">
        <v>72116</v>
      </c>
      <c r="C3006" t="s">
        <v>1430</v>
      </c>
      <c r="D3006" t="s">
        <v>53</v>
      </c>
      <c r="E3006" t="s">
        <v>52</v>
      </c>
      <c r="F3006" t="s">
        <v>92</v>
      </c>
      <c r="G3006">
        <v>2430.2560870674306</v>
      </c>
      <c r="H3006" t="s">
        <v>248</v>
      </c>
      <c r="I3006">
        <v>2.5</v>
      </c>
      <c r="J3006">
        <v>0</v>
      </c>
      <c r="K3006">
        <v>90</v>
      </c>
      <c r="L3006">
        <v>0</v>
      </c>
      <c r="M3006" t="s">
        <v>187</v>
      </c>
      <c r="N3006">
        <v>10446.6818984212</v>
      </c>
      <c r="O3006" t="s">
        <v>248</v>
      </c>
      <c r="P3006" t="b">
        <v>1</v>
      </c>
      <c r="Q3006">
        <v>6326.1008816899275</v>
      </c>
      <c r="R3006">
        <v>31755.924368480541</v>
      </c>
      <c r="S3006">
        <v>0.99500265067996319</v>
      </c>
      <c r="T3006">
        <v>134.40045271530855</v>
      </c>
      <c r="U3006">
        <v>0</v>
      </c>
      <c r="V3006">
        <v>0</v>
      </c>
    </row>
    <row r="3007" spans="1:22" x14ac:dyDescent="0.2">
      <c r="A3007"/>
      <c r="B3007">
        <v>72117</v>
      </c>
      <c r="C3007" t="s">
        <v>347</v>
      </c>
      <c r="D3007" t="s">
        <v>69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</row>
    <row r="3008" spans="1:22" x14ac:dyDescent="0.2">
      <c r="A3008"/>
      <c r="B3008">
        <v>72118</v>
      </c>
      <c r="C3008" t="s">
        <v>1431</v>
      </c>
      <c r="D3008" t="s">
        <v>65</v>
      </c>
      <c r="F3008" t="s">
        <v>126</v>
      </c>
      <c r="G3008">
        <v>4080.5207471233866</v>
      </c>
      <c r="H3008" t="s">
        <v>248</v>
      </c>
      <c r="I3008">
        <v>-5</v>
      </c>
      <c r="J3008">
        <v>0</v>
      </c>
      <c r="K3008">
        <v>0</v>
      </c>
      <c r="L3008">
        <v>0</v>
      </c>
      <c r="M3008" t="s">
        <v>188</v>
      </c>
      <c r="N3008">
        <v>12095.770955841899</v>
      </c>
      <c r="O3008" t="s">
        <v>248</v>
      </c>
      <c r="P3008" t="b">
        <v>1</v>
      </c>
      <c r="Q3008">
        <v>6722.9123527240072</v>
      </c>
      <c r="R3008">
        <v>33186.470275182073</v>
      </c>
      <c r="S3008">
        <v>1.8776037401034442</v>
      </c>
      <c r="T3008">
        <v>105.41899886572139</v>
      </c>
      <c r="U3008">
        <v>0</v>
      </c>
      <c r="V3008">
        <v>0</v>
      </c>
    </row>
    <row r="3009" spans="1:22" x14ac:dyDescent="0.2">
      <c r="A3009"/>
      <c r="B3009">
        <v>72119</v>
      </c>
      <c r="C3009" t="s">
        <v>1432</v>
      </c>
      <c r="D3009" t="s">
        <v>59</v>
      </c>
      <c r="E3009" t="s">
        <v>1091</v>
      </c>
      <c r="F3009" t="s">
        <v>126</v>
      </c>
      <c r="G3009">
        <v>4080.5207471233866</v>
      </c>
      <c r="H3009" t="s">
        <v>248</v>
      </c>
      <c r="I3009">
        <v>-2.5</v>
      </c>
      <c r="J3009">
        <v>0</v>
      </c>
      <c r="K3009">
        <v>270</v>
      </c>
      <c r="L3009">
        <v>0</v>
      </c>
      <c r="M3009" t="s">
        <v>188</v>
      </c>
      <c r="N3009">
        <v>12095.770955841899</v>
      </c>
      <c r="O3009" t="s">
        <v>248</v>
      </c>
      <c r="P3009" t="b">
        <v>1</v>
      </c>
      <c r="Q3009">
        <v>6725.3223709608737</v>
      </c>
      <c r="R3009">
        <v>33187.134964656914</v>
      </c>
      <c r="S3009">
        <v>1.8776037401034442</v>
      </c>
      <c r="T3009">
        <v>15.418998865721392</v>
      </c>
      <c r="U3009">
        <v>0</v>
      </c>
      <c r="V3009">
        <v>0</v>
      </c>
    </row>
    <row r="3010" spans="1:22" x14ac:dyDescent="0.2">
      <c r="A3010"/>
      <c r="B3010">
        <v>72120</v>
      </c>
      <c r="C3010" t="s">
        <v>1433</v>
      </c>
      <c r="D3010" t="s">
        <v>57</v>
      </c>
      <c r="E3010" t="s">
        <v>1091</v>
      </c>
      <c r="F3010" t="s">
        <v>126</v>
      </c>
      <c r="G3010">
        <v>4080.5207471233866</v>
      </c>
      <c r="H3010" t="s">
        <v>248</v>
      </c>
      <c r="I3010">
        <v>-2.5</v>
      </c>
      <c r="J3010">
        <v>0</v>
      </c>
      <c r="K3010">
        <v>270</v>
      </c>
      <c r="L3010">
        <v>0</v>
      </c>
      <c r="M3010" t="s">
        <v>188</v>
      </c>
      <c r="N3010">
        <v>12095.770955841899</v>
      </c>
      <c r="O3010" t="s">
        <v>248</v>
      </c>
      <c r="P3010" t="b">
        <v>1</v>
      </c>
      <c r="Q3010">
        <v>6725.3223709608737</v>
      </c>
      <c r="R3010">
        <v>33187.134964656914</v>
      </c>
      <c r="S3010">
        <v>1.8776037401034442</v>
      </c>
      <c r="T3010">
        <v>15.418998865721392</v>
      </c>
      <c r="U3010">
        <v>0</v>
      </c>
      <c r="V3010">
        <v>0</v>
      </c>
    </row>
    <row r="3011" spans="1:22" x14ac:dyDescent="0.2">
      <c r="A3011"/>
      <c r="B3011">
        <v>72121</v>
      </c>
      <c r="C3011" t="s">
        <v>1434</v>
      </c>
      <c r="D3011" t="s">
        <v>55</v>
      </c>
      <c r="E3011" t="s">
        <v>52</v>
      </c>
      <c r="F3011" t="s">
        <v>126</v>
      </c>
      <c r="G3011">
        <v>4080.5207471233866</v>
      </c>
      <c r="H3011" t="s">
        <v>248</v>
      </c>
      <c r="I3011">
        <v>-2.5</v>
      </c>
      <c r="J3011">
        <v>0</v>
      </c>
      <c r="K3011">
        <v>270</v>
      </c>
      <c r="L3011">
        <v>0</v>
      </c>
      <c r="M3011" t="s">
        <v>188</v>
      </c>
      <c r="N3011">
        <v>12095.770955841899</v>
      </c>
      <c r="O3011" t="s">
        <v>248</v>
      </c>
      <c r="P3011" t="b">
        <v>1</v>
      </c>
      <c r="Q3011">
        <v>6725.3223709608737</v>
      </c>
      <c r="R3011">
        <v>33187.134964656914</v>
      </c>
      <c r="S3011">
        <v>1.8776037401034442</v>
      </c>
      <c r="T3011">
        <v>15.418998865721392</v>
      </c>
      <c r="U3011">
        <v>0</v>
      </c>
      <c r="V3011">
        <v>0</v>
      </c>
    </row>
    <row r="3012" spans="1:22" x14ac:dyDescent="0.2">
      <c r="A3012"/>
      <c r="B3012">
        <v>72122</v>
      </c>
      <c r="C3012" t="s">
        <v>1435</v>
      </c>
      <c r="D3012" t="s">
        <v>54</v>
      </c>
      <c r="E3012" t="s">
        <v>52</v>
      </c>
      <c r="F3012" t="s">
        <v>126</v>
      </c>
      <c r="G3012">
        <v>4080.5207471233866</v>
      </c>
      <c r="H3012" t="s">
        <v>248</v>
      </c>
      <c r="I3012">
        <v>-2.5</v>
      </c>
      <c r="J3012">
        <v>0</v>
      </c>
      <c r="K3012">
        <v>270</v>
      </c>
      <c r="L3012">
        <v>0</v>
      </c>
      <c r="M3012" t="s">
        <v>188</v>
      </c>
      <c r="N3012">
        <v>12095.770955841899</v>
      </c>
      <c r="O3012" t="s">
        <v>248</v>
      </c>
      <c r="P3012" t="b">
        <v>1</v>
      </c>
      <c r="Q3012">
        <v>6725.3223709608737</v>
      </c>
      <c r="R3012">
        <v>33187.134964656914</v>
      </c>
      <c r="S3012">
        <v>1.8776037401034442</v>
      </c>
      <c r="T3012">
        <v>15.418998865721392</v>
      </c>
      <c r="U3012">
        <v>0</v>
      </c>
      <c r="V3012">
        <v>0</v>
      </c>
    </row>
    <row r="3013" spans="1:22" x14ac:dyDescent="0.2">
      <c r="A3013"/>
      <c r="B3013">
        <v>72123</v>
      </c>
      <c r="C3013" t="s">
        <v>1436</v>
      </c>
      <c r="D3013" t="s">
        <v>53</v>
      </c>
      <c r="E3013" t="s">
        <v>52</v>
      </c>
      <c r="F3013" t="s">
        <v>126</v>
      </c>
      <c r="G3013">
        <v>4080.5207471233866</v>
      </c>
      <c r="H3013" t="s">
        <v>248</v>
      </c>
      <c r="I3013">
        <v>-2.5</v>
      </c>
      <c r="J3013">
        <v>0</v>
      </c>
      <c r="K3013">
        <v>270</v>
      </c>
      <c r="L3013">
        <v>0</v>
      </c>
      <c r="M3013" t="s">
        <v>188</v>
      </c>
      <c r="N3013">
        <v>12095.770955841899</v>
      </c>
      <c r="O3013" t="s">
        <v>248</v>
      </c>
      <c r="P3013" t="b">
        <v>1</v>
      </c>
      <c r="Q3013">
        <v>6725.3223709608737</v>
      </c>
      <c r="R3013">
        <v>33187.134964656914</v>
      </c>
      <c r="S3013">
        <v>1.8776037401034442</v>
      </c>
      <c r="T3013">
        <v>15.418998865721392</v>
      </c>
      <c r="U3013">
        <v>0</v>
      </c>
      <c r="V3013">
        <v>0</v>
      </c>
    </row>
    <row r="3014" spans="1:22" x14ac:dyDescent="0.2">
      <c r="A3014"/>
      <c r="B3014">
        <v>72124</v>
      </c>
      <c r="C3014" t="s">
        <v>1437</v>
      </c>
      <c r="D3014" t="s">
        <v>65</v>
      </c>
      <c r="F3014" t="s">
        <v>92</v>
      </c>
      <c r="G3014">
        <v>4080.5359695986308</v>
      </c>
      <c r="H3014" t="s">
        <v>248</v>
      </c>
      <c r="I3014">
        <v>5</v>
      </c>
      <c r="J3014">
        <v>0</v>
      </c>
      <c r="K3014">
        <v>0</v>
      </c>
      <c r="L3014">
        <v>0</v>
      </c>
      <c r="M3014" t="s">
        <v>187</v>
      </c>
      <c r="N3014">
        <v>12096.961780952401</v>
      </c>
      <c r="O3014" t="s">
        <v>248</v>
      </c>
      <c r="P3014" t="b">
        <v>1</v>
      </c>
      <c r="Q3014">
        <v>6737.7069542242461</v>
      </c>
      <c r="R3014">
        <v>33188.920864416214</v>
      </c>
      <c r="S3014">
        <v>1.9082382972229308</v>
      </c>
      <c r="T3014">
        <v>105.5066973509047</v>
      </c>
      <c r="U3014">
        <v>0</v>
      </c>
      <c r="V3014">
        <v>0</v>
      </c>
    </row>
    <row r="3015" spans="1:22" x14ac:dyDescent="0.2">
      <c r="A3015"/>
      <c r="B3015">
        <v>72125</v>
      </c>
      <c r="C3015" t="s">
        <v>1438</v>
      </c>
      <c r="D3015" t="s">
        <v>59</v>
      </c>
      <c r="E3015" t="s">
        <v>1091</v>
      </c>
      <c r="F3015" t="s">
        <v>92</v>
      </c>
      <c r="G3015">
        <v>4080.5359695986308</v>
      </c>
      <c r="H3015" t="s">
        <v>248</v>
      </c>
      <c r="I3015">
        <v>2.5</v>
      </c>
      <c r="J3015">
        <v>0</v>
      </c>
      <c r="K3015">
        <v>90</v>
      </c>
      <c r="L3015">
        <v>0</v>
      </c>
      <c r="M3015" t="s">
        <v>187</v>
      </c>
      <c r="N3015">
        <v>12096.961780952401</v>
      </c>
      <c r="O3015" t="s">
        <v>248</v>
      </c>
      <c r="P3015" t="b">
        <v>1</v>
      </c>
      <c r="Q3015">
        <v>6735.2979562019673</v>
      </c>
      <c r="R3015">
        <v>33188.252486881684</v>
      </c>
      <c r="S3015">
        <v>1.9082382972229308</v>
      </c>
      <c r="T3015">
        <v>-164.49330264909531</v>
      </c>
      <c r="U3015">
        <v>0</v>
      </c>
      <c r="V3015">
        <v>0</v>
      </c>
    </row>
    <row r="3016" spans="1:22" x14ac:dyDescent="0.2">
      <c r="A3016"/>
      <c r="B3016">
        <v>72126</v>
      </c>
      <c r="C3016" t="s">
        <v>1439</v>
      </c>
      <c r="D3016" t="s">
        <v>57</v>
      </c>
      <c r="E3016" t="s">
        <v>1091</v>
      </c>
      <c r="F3016" t="s">
        <v>92</v>
      </c>
      <c r="G3016">
        <v>4080.5359695986308</v>
      </c>
      <c r="H3016" t="s">
        <v>248</v>
      </c>
      <c r="I3016">
        <v>2.5</v>
      </c>
      <c r="J3016">
        <v>0</v>
      </c>
      <c r="K3016">
        <v>90</v>
      </c>
      <c r="L3016">
        <v>0</v>
      </c>
      <c r="M3016" t="s">
        <v>187</v>
      </c>
      <c r="N3016">
        <v>12096.961780952401</v>
      </c>
      <c r="O3016" t="s">
        <v>248</v>
      </c>
      <c r="P3016" t="b">
        <v>1</v>
      </c>
      <c r="Q3016">
        <v>6735.2979562019673</v>
      </c>
      <c r="R3016">
        <v>33188.252486881684</v>
      </c>
      <c r="S3016">
        <v>1.9082382972229308</v>
      </c>
      <c r="T3016">
        <v>-164.49330264909531</v>
      </c>
      <c r="U3016">
        <v>0</v>
      </c>
      <c r="V3016">
        <v>0</v>
      </c>
    </row>
    <row r="3017" spans="1:22" x14ac:dyDescent="0.2">
      <c r="A3017"/>
      <c r="B3017">
        <v>72127</v>
      </c>
      <c r="C3017" t="s">
        <v>1440</v>
      </c>
      <c r="D3017" t="s">
        <v>55</v>
      </c>
      <c r="E3017" t="s">
        <v>52</v>
      </c>
      <c r="F3017" t="s">
        <v>92</v>
      </c>
      <c r="G3017">
        <v>4080.5359695986308</v>
      </c>
      <c r="H3017" t="s">
        <v>248</v>
      </c>
      <c r="I3017">
        <v>2.5</v>
      </c>
      <c r="J3017">
        <v>0</v>
      </c>
      <c r="K3017">
        <v>90</v>
      </c>
      <c r="L3017">
        <v>0</v>
      </c>
      <c r="M3017" t="s">
        <v>187</v>
      </c>
      <c r="N3017">
        <v>12096.961780952401</v>
      </c>
      <c r="O3017" t="s">
        <v>248</v>
      </c>
      <c r="P3017" t="b">
        <v>1</v>
      </c>
      <c r="Q3017">
        <v>6735.2979562019673</v>
      </c>
      <c r="R3017">
        <v>33188.252486881684</v>
      </c>
      <c r="S3017">
        <v>1.9082382972229308</v>
      </c>
      <c r="T3017">
        <v>-164.49330264909531</v>
      </c>
      <c r="U3017">
        <v>0</v>
      </c>
      <c r="V3017">
        <v>0</v>
      </c>
    </row>
    <row r="3018" spans="1:22" x14ac:dyDescent="0.2">
      <c r="A3018"/>
      <c r="B3018">
        <v>72128</v>
      </c>
      <c r="C3018" t="s">
        <v>1441</v>
      </c>
      <c r="D3018" t="s">
        <v>54</v>
      </c>
      <c r="E3018" t="s">
        <v>52</v>
      </c>
      <c r="F3018" t="s">
        <v>92</v>
      </c>
      <c r="G3018">
        <v>4080.5359695986308</v>
      </c>
      <c r="H3018" t="s">
        <v>248</v>
      </c>
      <c r="I3018">
        <v>2.5</v>
      </c>
      <c r="J3018">
        <v>0</v>
      </c>
      <c r="K3018">
        <v>90</v>
      </c>
      <c r="L3018">
        <v>0</v>
      </c>
      <c r="M3018" t="s">
        <v>187</v>
      </c>
      <c r="N3018">
        <v>12096.961780952401</v>
      </c>
      <c r="O3018" t="s">
        <v>248</v>
      </c>
      <c r="P3018" t="b">
        <v>1</v>
      </c>
      <c r="Q3018">
        <v>6735.2979562019673</v>
      </c>
      <c r="R3018">
        <v>33188.252486881684</v>
      </c>
      <c r="S3018">
        <v>1.9082382972229308</v>
      </c>
      <c r="T3018">
        <v>-164.49330264909531</v>
      </c>
      <c r="U3018">
        <v>0</v>
      </c>
      <c r="V3018">
        <v>0</v>
      </c>
    </row>
    <row r="3019" spans="1:22" x14ac:dyDescent="0.2">
      <c r="A3019"/>
      <c r="B3019">
        <v>72129</v>
      </c>
      <c r="C3019" t="s">
        <v>1442</v>
      </c>
      <c r="D3019" t="s">
        <v>53</v>
      </c>
      <c r="E3019" t="s">
        <v>52</v>
      </c>
      <c r="F3019" t="s">
        <v>92</v>
      </c>
      <c r="G3019">
        <v>4080.5359695986308</v>
      </c>
      <c r="H3019" t="s">
        <v>248</v>
      </c>
      <c r="I3019">
        <v>2.5</v>
      </c>
      <c r="J3019">
        <v>0</v>
      </c>
      <c r="K3019">
        <v>90</v>
      </c>
      <c r="L3019">
        <v>0</v>
      </c>
      <c r="M3019" t="s">
        <v>187</v>
      </c>
      <c r="N3019">
        <v>12096.961780952401</v>
      </c>
      <c r="O3019" t="s">
        <v>248</v>
      </c>
      <c r="P3019" t="b">
        <v>1</v>
      </c>
      <c r="Q3019">
        <v>6735.2979562019673</v>
      </c>
      <c r="R3019">
        <v>33188.252486881684</v>
      </c>
      <c r="S3019">
        <v>1.9082382972229308</v>
      </c>
      <c r="T3019">
        <v>-164.49330264909531</v>
      </c>
      <c r="U3019">
        <v>0</v>
      </c>
      <c r="V3019">
        <v>0</v>
      </c>
    </row>
    <row r="3020" spans="1:22" x14ac:dyDescent="0.2">
      <c r="A3020"/>
      <c r="B3020">
        <v>72130</v>
      </c>
      <c r="C3020" t="s">
        <v>353</v>
      </c>
      <c r="D3020" t="s">
        <v>69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</row>
    <row r="3021" spans="1:22" x14ac:dyDescent="0.2">
      <c r="A3021"/>
      <c r="B3021">
        <v>72131</v>
      </c>
      <c r="C3021" t="s">
        <v>1443</v>
      </c>
      <c r="D3021" t="s">
        <v>65</v>
      </c>
      <c r="F3021" t="s">
        <v>126</v>
      </c>
      <c r="G3021">
        <v>4901.5175174101878</v>
      </c>
      <c r="H3021" t="s">
        <v>248</v>
      </c>
      <c r="I3021">
        <v>-5</v>
      </c>
      <c r="J3021">
        <v>0</v>
      </c>
      <c r="K3021">
        <v>0</v>
      </c>
      <c r="L3021">
        <v>0</v>
      </c>
      <c r="M3021" t="s">
        <v>188</v>
      </c>
      <c r="N3021">
        <v>12916.767726128701</v>
      </c>
      <c r="O3021" t="s">
        <v>248</v>
      </c>
      <c r="P3021" t="b">
        <v>1</v>
      </c>
      <c r="Q3021">
        <v>6501.6022494727431</v>
      </c>
      <c r="R3021">
        <v>33976.949225829703</v>
      </c>
      <c r="S3021">
        <v>4.3197588380122074</v>
      </c>
      <c r="T3021">
        <v>105.00415763984897</v>
      </c>
      <c r="U3021">
        <v>0</v>
      </c>
      <c r="V3021">
        <v>0</v>
      </c>
    </row>
    <row r="3022" spans="1:22" x14ac:dyDescent="0.2">
      <c r="A3022"/>
      <c r="B3022">
        <v>72132</v>
      </c>
      <c r="C3022" t="s">
        <v>1444</v>
      </c>
      <c r="D3022" t="s">
        <v>59</v>
      </c>
      <c r="E3022" t="s">
        <v>1091</v>
      </c>
      <c r="F3022" t="s">
        <v>126</v>
      </c>
      <c r="G3022">
        <v>4901.5175174101878</v>
      </c>
      <c r="H3022" t="s">
        <v>248</v>
      </c>
      <c r="I3022">
        <v>-2.5</v>
      </c>
      <c r="J3022">
        <v>0</v>
      </c>
      <c r="K3022">
        <v>270</v>
      </c>
      <c r="L3022">
        <v>0</v>
      </c>
      <c r="M3022" t="s">
        <v>188</v>
      </c>
      <c r="N3022">
        <v>12916.767726128701</v>
      </c>
      <c r="O3022" t="s">
        <v>248</v>
      </c>
      <c r="P3022" t="b">
        <v>1</v>
      </c>
      <c r="Q3022">
        <v>6504.0170170794181</v>
      </c>
      <c r="R3022">
        <v>33977.596448670578</v>
      </c>
      <c r="S3022">
        <v>4.3197588380122074</v>
      </c>
      <c r="T3022">
        <v>15.004157639848984</v>
      </c>
      <c r="U3022">
        <v>0</v>
      </c>
      <c r="V3022">
        <v>0</v>
      </c>
    </row>
    <row r="3023" spans="1:22" x14ac:dyDescent="0.2">
      <c r="A3023"/>
      <c r="B3023">
        <v>72133</v>
      </c>
      <c r="C3023" t="s">
        <v>1445</v>
      </c>
      <c r="D3023" t="s">
        <v>57</v>
      </c>
      <c r="E3023" t="s">
        <v>1091</v>
      </c>
      <c r="F3023" t="s">
        <v>126</v>
      </c>
      <c r="G3023">
        <v>4901.5175174101878</v>
      </c>
      <c r="H3023" t="s">
        <v>248</v>
      </c>
      <c r="I3023">
        <v>-2.5</v>
      </c>
      <c r="J3023">
        <v>0</v>
      </c>
      <c r="K3023">
        <v>270</v>
      </c>
      <c r="L3023">
        <v>0</v>
      </c>
      <c r="M3023" t="s">
        <v>188</v>
      </c>
      <c r="N3023">
        <v>12916.767726128701</v>
      </c>
      <c r="O3023" t="s">
        <v>248</v>
      </c>
      <c r="P3023" t="b">
        <v>1</v>
      </c>
      <c r="Q3023">
        <v>6504.0170170794181</v>
      </c>
      <c r="R3023">
        <v>33977.596448670578</v>
      </c>
      <c r="S3023">
        <v>4.3197588380122074</v>
      </c>
      <c r="T3023">
        <v>15.004157639848984</v>
      </c>
      <c r="U3023">
        <v>0</v>
      </c>
      <c r="V3023">
        <v>0</v>
      </c>
    </row>
    <row r="3024" spans="1:22" x14ac:dyDescent="0.2">
      <c r="A3024"/>
      <c r="B3024">
        <v>72134</v>
      </c>
      <c r="C3024" t="s">
        <v>1446</v>
      </c>
      <c r="D3024" t="s">
        <v>55</v>
      </c>
      <c r="E3024" t="s">
        <v>52</v>
      </c>
      <c r="F3024" t="s">
        <v>126</v>
      </c>
      <c r="G3024">
        <v>4901.5175174101878</v>
      </c>
      <c r="H3024" t="s">
        <v>248</v>
      </c>
      <c r="I3024">
        <v>-2.5</v>
      </c>
      <c r="J3024">
        <v>0</v>
      </c>
      <c r="K3024">
        <v>270</v>
      </c>
      <c r="L3024">
        <v>0</v>
      </c>
      <c r="M3024" t="s">
        <v>188</v>
      </c>
      <c r="N3024">
        <v>12916.767726128701</v>
      </c>
      <c r="O3024" t="s">
        <v>248</v>
      </c>
      <c r="P3024" t="b">
        <v>1</v>
      </c>
      <c r="Q3024">
        <v>6504.0170170794181</v>
      </c>
      <c r="R3024">
        <v>33977.596448670578</v>
      </c>
      <c r="S3024">
        <v>4.3197588380122074</v>
      </c>
      <c r="T3024">
        <v>15.004157639848984</v>
      </c>
      <c r="U3024">
        <v>0</v>
      </c>
      <c r="V3024">
        <v>0</v>
      </c>
    </row>
    <row r="3025" spans="1:22" x14ac:dyDescent="0.2">
      <c r="A3025"/>
      <c r="B3025">
        <v>72135</v>
      </c>
      <c r="C3025" t="s">
        <v>1447</v>
      </c>
      <c r="D3025" t="s">
        <v>54</v>
      </c>
      <c r="E3025" t="s">
        <v>52</v>
      </c>
      <c r="F3025" t="s">
        <v>126</v>
      </c>
      <c r="G3025">
        <v>4901.5175174101878</v>
      </c>
      <c r="H3025" t="s">
        <v>248</v>
      </c>
      <c r="I3025">
        <v>-2.5</v>
      </c>
      <c r="J3025">
        <v>0</v>
      </c>
      <c r="K3025">
        <v>270</v>
      </c>
      <c r="L3025">
        <v>0</v>
      </c>
      <c r="M3025" t="s">
        <v>188</v>
      </c>
      <c r="N3025">
        <v>12916.767726128701</v>
      </c>
      <c r="O3025" t="s">
        <v>248</v>
      </c>
      <c r="P3025" t="b">
        <v>1</v>
      </c>
      <c r="Q3025">
        <v>6504.0170170794181</v>
      </c>
      <c r="R3025">
        <v>33977.596448670578</v>
      </c>
      <c r="S3025">
        <v>4.3197588380122074</v>
      </c>
      <c r="T3025">
        <v>15.004157639848984</v>
      </c>
      <c r="U3025">
        <v>0</v>
      </c>
      <c r="V3025">
        <v>0</v>
      </c>
    </row>
    <row r="3026" spans="1:22" x14ac:dyDescent="0.2">
      <c r="A3026"/>
      <c r="B3026">
        <v>72136</v>
      </c>
      <c r="C3026" t="s">
        <v>1448</v>
      </c>
      <c r="D3026" t="s">
        <v>53</v>
      </c>
      <c r="E3026" t="s">
        <v>52</v>
      </c>
      <c r="F3026" t="s">
        <v>126</v>
      </c>
      <c r="G3026">
        <v>4901.5175174101878</v>
      </c>
      <c r="H3026" t="s">
        <v>248</v>
      </c>
      <c r="I3026">
        <v>-2.5</v>
      </c>
      <c r="J3026">
        <v>0</v>
      </c>
      <c r="K3026">
        <v>270</v>
      </c>
      <c r="L3026">
        <v>0</v>
      </c>
      <c r="M3026" t="s">
        <v>188</v>
      </c>
      <c r="N3026">
        <v>12916.767726128701</v>
      </c>
      <c r="O3026" t="s">
        <v>248</v>
      </c>
      <c r="P3026" t="b">
        <v>1</v>
      </c>
      <c r="Q3026">
        <v>6504.0170170794181</v>
      </c>
      <c r="R3026">
        <v>33977.596448670578</v>
      </c>
      <c r="S3026">
        <v>4.3197588380122074</v>
      </c>
      <c r="T3026">
        <v>15.004157639848984</v>
      </c>
      <c r="U3026">
        <v>0</v>
      </c>
      <c r="V3026">
        <v>0</v>
      </c>
    </row>
    <row r="3027" spans="1:22" x14ac:dyDescent="0.2">
      <c r="A3027"/>
      <c r="B3027">
        <v>72137</v>
      </c>
      <c r="C3027" t="s">
        <v>1449</v>
      </c>
      <c r="D3027" t="s">
        <v>65</v>
      </c>
      <c r="F3027" t="s">
        <v>92</v>
      </c>
      <c r="G3027">
        <v>4901.9594832130306</v>
      </c>
      <c r="H3027" t="s">
        <v>248</v>
      </c>
      <c r="I3027">
        <v>5</v>
      </c>
      <c r="J3027">
        <v>0</v>
      </c>
      <c r="K3027">
        <v>0</v>
      </c>
      <c r="L3027">
        <v>0</v>
      </c>
      <c r="M3027" t="s">
        <v>187</v>
      </c>
      <c r="N3027">
        <v>12918.3852945668</v>
      </c>
      <c r="O3027" t="s">
        <v>248</v>
      </c>
      <c r="P3027" t="b">
        <v>1</v>
      </c>
      <c r="Q3027">
        <v>6516.3157567186008</v>
      </c>
      <c r="R3027">
        <v>33979.743267343831</v>
      </c>
      <c r="S3027">
        <v>4.3553457371140878</v>
      </c>
      <c r="T3027">
        <v>105.00926823364188</v>
      </c>
      <c r="U3027">
        <v>0</v>
      </c>
      <c r="V3027">
        <v>0</v>
      </c>
    </row>
    <row r="3028" spans="1:22" x14ac:dyDescent="0.2">
      <c r="A3028"/>
      <c r="B3028">
        <v>72138</v>
      </c>
      <c r="C3028" t="s">
        <v>1450</v>
      </c>
      <c r="D3028" t="s">
        <v>59</v>
      </c>
      <c r="E3028" t="s">
        <v>1091</v>
      </c>
      <c r="F3028" t="s">
        <v>92</v>
      </c>
      <c r="G3028">
        <v>4901.9594832130306</v>
      </c>
      <c r="H3028" t="s">
        <v>248</v>
      </c>
      <c r="I3028">
        <v>2.5</v>
      </c>
      <c r="J3028">
        <v>0</v>
      </c>
      <c r="K3028">
        <v>90</v>
      </c>
      <c r="L3028">
        <v>0</v>
      </c>
      <c r="M3028" t="s">
        <v>187</v>
      </c>
      <c r="N3028">
        <v>12918.3852945668</v>
      </c>
      <c r="O3028" t="s">
        <v>248</v>
      </c>
      <c r="P3028" t="b">
        <v>1</v>
      </c>
      <c r="Q3028">
        <v>6513.9010468516653</v>
      </c>
      <c r="R3028">
        <v>33979.095829116261</v>
      </c>
      <c r="S3028">
        <v>4.3553457371140878</v>
      </c>
      <c r="T3028">
        <v>-164.99073176635812</v>
      </c>
      <c r="U3028">
        <v>0</v>
      </c>
      <c r="V3028">
        <v>0</v>
      </c>
    </row>
    <row r="3029" spans="1:22" x14ac:dyDescent="0.2">
      <c r="A3029"/>
      <c r="B3029">
        <v>72139</v>
      </c>
      <c r="C3029" t="s">
        <v>1451</v>
      </c>
      <c r="D3029" t="s">
        <v>57</v>
      </c>
      <c r="E3029" t="s">
        <v>1091</v>
      </c>
      <c r="F3029" t="s">
        <v>92</v>
      </c>
      <c r="G3029">
        <v>4901.9594832130306</v>
      </c>
      <c r="H3029" t="s">
        <v>248</v>
      </c>
      <c r="I3029">
        <v>2.5</v>
      </c>
      <c r="J3029">
        <v>0</v>
      </c>
      <c r="K3029">
        <v>90</v>
      </c>
      <c r="L3029">
        <v>0</v>
      </c>
      <c r="M3029" t="s">
        <v>187</v>
      </c>
      <c r="N3029">
        <v>12918.3852945668</v>
      </c>
      <c r="O3029" t="s">
        <v>248</v>
      </c>
      <c r="P3029" t="b">
        <v>1</v>
      </c>
      <c r="Q3029">
        <v>6513.9010468516653</v>
      </c>
      <c r="R3029">
        <v>33979.095829116261</v>
      </c>
      <c r="S3029">
        <v>4.3553457371140878</v>
      </c>
      <c r="T3029">
        <v>-164.99073176635812</v>
      </c>
      <c r="U3029">
        <v>0</v>
      </c>
      <c r="V3029">
        <v>0</v>
      </c>
    </row>
    <row r="3030" spans="1:22" x14ac:dyDescent="0.2">
      <c r="A3030"/>
      <c r="B3030">
        <v>72140</v>
      </c>
      <c r="C3030" t="s">
        <v>1452</v>
      </c>
      <c r="D3030" t="s">
        <v>55</v>
      </c>
      <c r="E3030" t="s">
        <v>52</v>
      </c>
      <c r="F3030" t="s">
        <v>92</v>
      </c>
      <c r="G3030">
        <v>4901.9594832130306</v>
      </c>
      <c r="H3030" t="s">
        <v>248</v>
      </c>
      <c r="I3030">
        <v>2.5</v>
      </c>
      <c r="J3030">
        <v>0</v>
      </c>
      <c r="K3030">
        <v>90</v>
      </c>
      <c r="L3030">
        <v>0</v>
      </c>
      <c r="M3030" t="s">
        <v>187</v>
      </c>
      <c r="N3030">
        <v>12918.3852945668</v>
      </c>
      <c r="O3030" t="s">
        <v>248</v>
      </c>
      <c r="P3030" t="b">
        <v>1</v>
      </c>
      <c r="Q3030">
        <v>6513.9010468516653</v>
      </c>
      <c r="R3030">
        <v>33979.095829116261</v>
      </c>
      <c r="S3030">
        <v>4.3553457371140878</v>
      </c>
      <c r="T3030">
        <v>-164.99073176635812</v>
      </c>
      <c r="U3030">
        <v>0</v>
      </c>
      <c r="V3030">
        <v>0</v>
      </c>
    </row>
    <row r="3031" spans="1:22" x14ac:dyDescent="0.2">
      <c r="A3031"/>
      <c r="B3031">
        <v>72141</v>
      </c>
      <c r="C3031" t="s">
        <v>1453</v>
      </c>
      <c r="D3031" t="s">
        <v>54</v>
      </c>
      <c r="E3031" t="s">
        <v>52</v>
      </c>
      <c r="F3031" t="s">
        <v>92</v>
      </c>
      <c r="G3031">
        <v>4901.9594832130306</v>
      </c>
      <c r="H3031" t="s">
        <v>248</v>
      </c>
      <c r="I3031">
        <v>2.5</v>
      </c>
      <c r="J3031">
        <v>0</v>
      </c>
      <c r="K3031">
        <v>90</v>
      </c>
      <c r="L3031">
        <v>0</v>
      </c>
      <c r="M3031" t="s">
        <v>187</v>
      </c>
      <c r="N3031">
        <v>12918.3852945668</v>
      </c>
      <c r="O3031" t="s">
        <v>248</v>
      </c>
      <c r="P3031" t="b">
        <v>1</v>
      </c>
      <c r="Q3031">
        <v>6513.9010468516653</v>
      </c>
      <c r="R3031">
        <v>33979.095829116261</v>
      </c>
      <c r="S3031">
        <v>4.3553457371140878</v>
      </c>
      <c r="T3031">
        <v>-164.99073176635812</v>
      </c>
      <c r="U3031">
        <v>0</v>
      </c>
      <c r="V3031">
        <v>0</v>
      </c>
    </row>
    <row r="3032" spans="1:22" x14ac:dyDescent="0.2">
      <c r="A3032"/>
      <c r="B3032">
        <v>72142</v>
      </c>
      <c r="C3032" t="s">
        <v>1454</v>
      </c>
      <c r="D3032" t="s">
        <v>53</v>
      </c>
      <c r="E3032" t="s">
        <v>52</v>
      </c>
      <c r="F3032" t="s">
        <v>92</v>
      </c>
      <c r="G3032">
        <v>4901.9594832130306</v>
      </c>
      <c r="H3032" t="s">
        <v>248</v>
      </c>
      <c r="I3032">
        <v>2.5</v>
      </c>
      <c r="J3032">
        <v>0</v>
      </c>
      <c r="K3032">
        <v>90</v>
      </c>
      <c r="L3032">
        <v>0</v>
      </c>
      <c r="M3032" t="s">
        <v>187</v>
      </c>
      <c r="N3032">
        <v>12918.3852945668</v>
      </c>
      <c r="O3032" t="s">
        <v>248</v>
      </c>
      <c r="P3032" t="b">
        <v>1</v>
      </c>
      <c r="Q3032">
        <v>6513.9010468516653</v>
      </c>
      <c r="R3032">
        <v>33979.095829116261</v>
      </c>
      <c r="S3032">
        <v>4.3553457371140878</v>
      </c>
      <c r="T3032">
        <v>-164.99073176635812</v>
      </c>
      <c r="U3032">
        <v>0</v>
      </c>
      <c r="V3032">
        <v>0</v>
      </c>
    </row>
    <row r="3033" spans="1:22" x14ac:dyDescent="0.2">
      <c r="A3033"/>
      <c r="B3033">
        <v>72143</v>
      </c>
      <c r="C3033" t="s">
        <v>359</v>
      </c>
      <c r="D3033" t="s">
        <v>69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</row>
    <row r="3034" spans="1:22" x14ac:dyDescent="0.2">
      <c r="A3034"/>
      <c r="B3034">
        <v>72144</v>
      </c>
      <c r="C3034" t="s">
        <v>1455</v>
      </c>
      <c r="D3034" t="s">
        <v>65</v>
      </c>
      <c r="F3034" t="s">
        <v>126</v>
      </c>
      <c r="G3034">
        <v>6043.1882386804864</v>
      </c>
      <c r="H3034" t="s">
        <v>248</v>
      </c>
      <c r="I3034">
        <v>-5</v>
      </c>
      <c r="J3034">
        <v>0</v>
      </c>
      <c r="K3034">
        <v>0</v>
      </c>
      <c r="L3034">
        <v>0</v>
      </c>
      <c r="M3034" t="s">
        <v>188</v>
      </c>
      <c r="N3034">
        <v>14058.438447398999</v>
      </c>
      <c r="O3034" t="s">
        <v>248</v>
      </c>
      <c r="P3034" t="b">
        <v>1</v>
      </c>
      <c r="Q3034">
        <v>6450.7047802008319</v>
      </c>
      <c r="R3034">
        <v>35109.528777908024</v>
      </c>
      <c r="S3034">
        <v>-2.08083324350812</v>
      </c>
      <c r="T3034">
        <v>87.995399544380874</v>
      </c>
      <c r="U3034">
        <v>0</v>
      </c>
      <c r="V3034">
        <v>0</v>
      </c>
    </row>
    <row r="3035" spans="1:22" x14ac:dyDescent="0.2">
      <c r="A3035"/>
      <c r="B3035">
        <v>72145</v>
      </c>
      <c r="C3035" t="s">
        <v>1456</v>
      </c>
      <c r="D3035" t="s">
        <v>59</v>
      </c>
      <c r="E3035" t="s">
        <v>1091</v>
      </c>
      <c r="F3035" t="s">
        <v>126</v>
      </c>
      <c r="G3035">
        <v>6043.1882386804864</v>
      </c>
      <c r="H3035" t="s">
        <v>248</v>
      </c>
      <c r="I3035">
        <v>-2.5</v>
      </c>
      <c r="J3035">
        <v>0</v>
      </c>
      <c r="K3035">
        <v>270</v>
      </c>
      <c r="L3035">
        <v>0</v>
      </c>
      <c r="M3035" t="s">
        <v>188</v>
      </c>
      <c r="N3035">
        <v>14058.438447398999</v>
      </c>
      <c r="O3035" t="s">
        <v>248</v>
      </c>
      <c r="P3035" t="b">
        <v>1</v>
      </c>
      <c r="Q3035">
        <v>6453.2032502548536</v>
      </c>
      <c r="R3035">
        <v>35109.441328556088</v>
      </c>
      <c r="S3035">
        <v>-2.08083324350812</v>
      </c>
      <c r="T3035">
        <v>-2.0046004556191406</v>
      </c>
      <c r="U3035">
        <v>0</v>
      </c>
      <c r="V3035">
        <v>0</v>
      </c>
    </row>
    <row r="3036" spans="1:22" x14ac:dyDescent="0.2">
      <c r="A3036"/>
      <c r="B3036">
        <v>72146</v>
      </c>
      <c r="C3036" t="s">
        <v>1457</v>
      </c>
      <c r="D3036" t="s">
        <v>57</v>
      </c>
      <c r="E3036" t="s">
        <v>1091</v>
      </c>
      <c r="F3036" t="s">
        <v>126</v>
      </c>
      <c r="G3036">
        <v>6043.1882386804864</v>
      </c>
      <c r="H3036" t="s">
        <v>248</v>
      </c>
      <c r="I3036">
        <v>-2.5</v>
      </c>
      <c r="J3036">
        <v>0</v>
      </c>
      <c r="K3036">
        <v>270</v>
      </c>
      <c r="L3036">
        <v>0</v>
      </c>
      <c r="M3036" t="s">
        <v>188</v>
      </c>
      <c r="N3036">
        <v>14058.438447398999</v>
      </c>
      <c r="O3036" t="s">
        <v>248</v>
      </c>
      <c r="P3036" t="b">
        <v>1</v>
      </c>
      <c r="Q3036">
        <v>6453.2032502548536</v>
      </c>
      <c r="R3036">
        <v>35109.441328556088</v>
      </c>
      <c r="S3036">
        <v>-2.08083324350812</v>
      </c>
      <c r="T3036">
        <v>-2.0046004556191406</v>
      </c>
      <c r="U3036">
        <v>0</v>
      </c>
      <c r="V3036">
        <v>0</v>
      </c>
    </row>
    <row r="3037" spans="1:22" x14ac:dyDescent="0.2">
      <c r="A3037"/>
      <c r="B3037">
        <v>72147</v>
      </c>
      <c r="C3037" t="s">
        <v>1458</v>
      </c>
      <c r="D3037" t="s">
        <v>55</v>
      </c>
      <c r="E3037" t="s">
        <v>52</v>
      </c>
      <c r="F3037" t="s">
        <v>126</v>
      </c>
      <c r="G3037">
        <v>6043.1882386804864</v>
      </c>
      <c r="H3037" t="s">
        <v>248</v>
      </c>
      <c r="I3037">
        <v>-2.5</v>
      </c>
      <c r="J3037">
        <v>0</v>
      </c>
      <c r="K3037">
        <v>270</v>
      </c>
      <c r="L3037">
        <v>0</v>
      </c>
      <c r="M3037" t="s">
        <v>188</v>
      </c>
      <c r="N3037">
        <v>14058.438447398999</v>
      </c>
      <c r="O3037" t="s">
        <v>248</v>
      </c>
      <c r="P3037" t="b">
        <v>1</v>
      </c>
      <c r="Q3037">
        <v>6453.2032502548536</v>
      </c>
      <c r="R3037">
        <v>35109.441328556088</v>
      </c>
      <c r="S3037">
        <v>-2.08083324350812</v>
      </c>
      <c r="T3037">
        <v>-2.0046004556191406</v>
      </c>
      <c r="U3037">
        <v>0</v>
      </c>
      <c r="V3037">
        <v>0</v>
      </c>
    </row>
    <row r="3038" spans="1:22" x14ac:dyDescent="0.2">
      <c r="A3038"/>
      <c r="B3038">
        <v>72148</v>
      </c>
      <c r="C3038" t="s">
        <v>1459</v>
      </c>
      <c r="D3038" t="s">
        <v>54</v>
      </c>
      <c r="E3038" t="s">
        <v>52</v>
      </c>
      <c r="F3038" t="s">
        <v>126</v>
      </c>
      <c r="G3038">
        <v>6043.1882386804864</v>
      </c>
      <c r="H3038" t="s">
        <v>248</v>
      </c>
      <c r="I3038">
        <v>-2.5</v>
      </c>
      <c r="J3038">
        <v>0</v>
      </c>
      <c r="K3038">
        <v>270</v>
      </c>
      <c r="L3038">
        <v>0</v>
      </c>
      <c r="M3038" t="s">
        <v>188</v>
      </c>
      <c r="N3038">
        <v>14058.438447398999</v>
      </c>
      <c r="O3038" t="s">
        <v>248</v>
      </c>
      <c r="P3038" t="b">
        <v>1</v>
      </c>
      <c r="Q3038">
        <v>6453.2032502548536</v>
      </c>
      <c r="R3038">
        <v>35109.441328556088</v>
      </c>
      <c r="S3038">
        <v>-2.08083324350812</v>
      </c>
      <c r="T3038">
        <v>-2.0046004556191406</v>
      </c>
      <c r="U3038">
        <v>0</v>
      </c>
      <c r="V3038">
        <v>0</v>
      </c>
    </row>
    <row r="3039" spans="1:22" x14ac:dyDescent="0.2">
      <c r="A3039"/>
      <c r="B3039">
        <v>72149</v>
      </c>
      <c r="C3039" t="s">
        <v>1460</v>
      </c>
      <c r="D3039" t="s">
        <v>53</v>
      </c>
      <c r="E3039" t="s">
        <v>52</v>
      </c>
      <c r="F3039" t="s">
        <v>126</v>
      </c>
      <c r="G3039">
        <v>6043.1882386804864</v>
      </c>
      <c r="H3039" t="s">
        <v>248</v>
      </c>
      <c r="I3039">
        <v>-2.5</v>
      </c>
      <c r="J3039">
        <v>0</v>
      </c>
      <c r="K3039">
        <v>270</v>
      </c>
      <c r="L3039">
        <v>0</v>
      </c>
      <c r="M3039" t="s">
        <v>188</v>
      </c>
      <c r="N3039">
        <v>14058.438447398999</v>
      </c>
      <c r="O3039" t="s">
        <v>248</v>
      </c>
      <c r="P3039" t="b">
        <v>1</v>
      </c>
      <c r="Q3039">
        <v>6453.2032502548536</v>
      </c>
      <c r="R3039">
        <v>35109.441328556088</v>
      </c>
      <c r="S3039">
        <v>-2.08083324350812</v>
      </c>
      <c r="T3039">
        <v>-2.0046004556191406</v>
      </c>
      <c r="U3039">
        <v>0</v>
      </c>
      <c r="V3039">
        <v>0</v>
      </c>
    </row>
    <row r="3040" spans="1:22" x14ac:dyDescent="0.2">
      <c r="A3040"/>
      <c r="B3040">
        <v>72150</v>
      </c>
      <c r="C3040" t="s">
        <v>1461</v>
      </c>
      <c r="D3040" t="s">
        <v>65</v>
      </c>
      <c r="F3040" t="s">
        <v>92</v>
      </c>
      <c r="G3040">
        <v>6042.8176218724302</v>
      </c>
      <c r="H3040" t="s">
        <v>248</v>
      </c>
      <c r="I3040">
        <v>5</v>
      </c>
      <c r="J3040">
        <v>0</v>
      </c>
      <c r="K3040">
        <v>0</v>
      </c>
      <c r="L3040">
        <v>0</v>
      </c>
      <c r="M3040" t="s">
        <v>187</v>
      </c>
      <c r="N3040">
        <v>14059.2434332262</v>
      </c>
      <c r="O3040" t="s">
        <v>248</v>
      </c>
      <c r="P3040" t="b">
        <v>1</v>
      </c>
      <c r="Q3040">
        <v>6465.7359589576081</v>
      </c>
      <c r="R3040">
        <v>35108.534024466026</v>
      </c>
      <c r="S3040">
        <v>-2.0528308309017542</v>
      </c>
      <c r="T3040">
        <v>87.99479009259953</v>
      </c>
      <c r="U3040">
        <v>0</v>
      </c>
      <c r="V3040">
        <v>0</v>
      </c>
    </row>
    <row r="3041" spans="1:22" x14ac:dyDescent="0.2">
      <c r="A3041"/>
      <c r="B3041">
        <v>72151</v>
      </c>
      <c r="C3041" t="s">
        <v>1462</v>
      </c>
      <c r="D3041" t="s">
        <v>59</v>
      </c>
      <c r="E3041" t="s">
        <v>1091</v>
      </c>
      <c r="F3041" t="s">
        <v>92</v>
      </c>
      <c r="G3041">
        <v>6042.8176218724302</v>
      </c>
      <c r="H3041" t="s">
        <v>248</v>
      </c>
      <c r="I3041">
        <v>2.5</v>
      </c>
      <c r="J3041">
        <v>0</v>
      </c>
      <c r="K3041">
        <v>90</v>
      </c>
      <c r="L3041">
        <v>0</v>
      </c>
      <c r="M3041" t="s">
        <v>187</v>
      </c>
      <c r="N3041">
        <v>14059.2434332262</v>
      </c>
      <c r="O3041" t="s">
        <v>248</v>
      </c>
      <c r="P3041" t="b">
        <v>1</v>
      </c>
      <c r="Q3041">
        <v>6463.2374898339212</v>
      </c>
      <c r="R3041">
        <v>35108.621500394031</v>
      </c>
      <c r="S3041">
        <v>-2.0528308309017542</v>
      </c>
      <c r="T3041">
        <v>177.99479009259954</v>
      </c>
      <c r="U3041">
        <v>0</v>
      </c>
      <c r="V3041">
        <v>0</v>
      </c>
    </row>
    <row r="3042" spans="1:22" x14ac:dyDescent="0.2">
      <c r="A3042"/>
      <c r="B3042">
        <v>72152</v>
      </c>
      <c r="C3042" t="s">
        <v>1463</v>
      </c>
      <c r="D3042" t="s">
        <v>57</v>
      </c>
      <c r="E3042" t="s">
        <v>1091</v>
      </c>
      <c r="F3042" t="s">
        <v>92</v>
      </c>
      <c r="G3042">
        <v>6042.8176218724302</v>
      </c>
      <c r="H3042" t="s">
        <v>248</v>
      </c>
      <c r="I3042">
        <v>2.5</v>
      </c>
      <c r="J3042">
        <v>0</v>
      </c>
      <c r="K3042">
        <v>90</v>
      </c>
      <c r="L3042">
        <v>0</v>
      </c>
      <c r="M3042" t="s">
        <v>187</v>
      </c>
      <c r="N3042">
        <v>14059.2434332262</v>
      </c>
      <c r="O3042" t="s">
        <v>248</v>
      </c>
      <c r="P3042" t="b">
        <v>1</v>
      </c>
      <c r="Q3042">
        <v>6463.2374898339212</v>
      </c>
      <c r="R3042">
        <v>35108.621500394031</v>
      </c>
      <c r="S3042">
        <v>-2.0528308309017542</v>
      </c>
      <c r="T3042">
        <v>177.99479009259954</v>
      </c>
      <c r="U3042">
        <v>0</v>
      </c>
      <c r="V3042">
        <v>0</v>
      </c>
    </row>
    <row r="3043" spans="1:22" x14ac:dyDescent="0.2">
      <c r="A3043"/>
      <c r="B3043">
        <v>72153</v>
      </c>
      <c r="C3043" t="s">
        <v>1464</v>
      </c>
      <c r="D3043" t="s">
        <v>55</v>
      </c>
      <c r="E3043" t="s">
        <v>52</v>
      </c>
      <c r="F3043" t="s">
        <v>92</v>
      </c>
      <c r="G3043">
        <v>6042.8176218724302</v>
      </c>
      <c r="H3043" t="s">
        <v>248</v>
      </c>
      <c r="I3043">
        <v>2.5</v>
      </c>
      <c r="J3043">
        <v>0</v>
      </c>
      <c r="K3043">
        <v>90</v>
      </c>
      <c r="L3043">
        <v>0</v>
      </c>
      <c r="M3043" t="s">
        <v>187</v>
      </c>
      <c r="N3043">
        <v>14059.2434332262</v>
      </c>
      <c r="O3043" t="s">
        <v>248</v>
      </c>
      <c r="P3043" t="b">
        <v>1</v>
      </c>
      <c r="Q3043">
        <v>6463.2374898339212</v>
      </c>
      <c r="R3043">
        <v>35108.621500394031</v>
      </c>
      <c r="S3043">
        <v>-2.0528308309017542</v>
      </c>
      <c r="T3043">
        <v>177.99479009259954</v>
      </c>
      <c r="U3043">
        <v>0</v>
      </c>
      <c r="V3043">
        <v>0</v>
      </c>
    </row>
    <row r="3044" spans="1:22" x14ac:dyDescent="0.2">
      <c r="A3044"/>
      <c r="B3044">
        <v>72154</v>
      </c>
      <c r="C3044" t="s">
        <v>1465</v>
      </c>
      <c r="D3044" t="s">
        <v>54</v>
      </c>
      <c r="E3044" t="s">
        <v>52</v>
      </c>
      <c r="F3044" t="s">
        <v>92</v>
      </c>
      <c r="G3044">
        <v>6042.8176218724302</v>
      </c>
      <c r="H3044" t="s">
        <v>248</v>
      </c>
      <c r="I3044">
        <v>2.5</v>
      </c>
      <c r="J3044">
        <v>0</v>
      </c>
      <c r="K3044">
        <v>90</v>
      </c>
      <c r="L3044">
        <v>0</v>
      </c>
      <c r="M3044" t="s">
        <v>187</v>
      </c>
      <c r="N3044">
        <v>14059.2434332262</v>
      </c>
      <c r="O3044" t="s">
        <v>248</v>
      </c>
      <c r="P3044" t="b">
        <v>1</v>
      </c>
      <c r="Q3044">
        <v>6463.2374898339212</v>
      </c>
      <c r="R3044">
        <v>35108.621500394031</v>
      </c>
      <c r="S3044">
        <v>-2.0528308309017542</v>
      </c>
      <c r="T3044">
        <v>177.99479009259954</v>
      </c>
      <c r="U3044">
        <v>0</v>
      </c>
      <c r="V3044">
        <v>0</v>
      </c>
    </row>
    <row r="3045" spans="1:22" x14ac:dyDescent="0.2">
      <c r="A3045"/>
      <c r="B3045">
        <v>72155</v>
      </c>
      <c r="C3045" t="s">
        <v>1466</v>
      </c>
      <c r="D3045" t="s">
        <v>53</v>
      </c>
      <c r="E3045" t="s">
        <v>52</v>
      </c>
      <c r="F3045" t="s">
        <v>92</v>
      </c>
      <c r="G3045">
        <v>6042.8176218724302</v>
      </c>
      <c r="H3045" t="s">
        <v>248</v>
      </c>
      <c r="I3045">
        <v>2.5</v>
      </c>
      <c r="J3045">
        <v>0</v>
      </c>
      <c r="K3045">
        <v>90</v>
      </c>
      <c r="L3045">
        <v>0</v>
      </c>
      <c r="M3045" t="s">
        <v>187</v>
      </c>
      <c r="N3045">
        <v>14059.2434332262</v>
      </c>
      <c r="O3045" t="s">
        <v>248</v>
      </c>
      <c r="P3045" t="b">
        <v>1</v>
      </c>
      <c r="Q3045">
        <v>6463.2374898339212</v>
      </c>
      <c r="R3045">
        <v>35108.621500394031</v>
      </c>
      <c r="S3045">
        <v>-2.0528308309017542</v>
      </c>
      <c r="T3045">
        <v>177.99479009259954</v>
      </c>
      <c r="U3045">
        <v>0</v>
      </c>
      <c r="V3045">
        <v>0</v>
      </c>
    </row>
    <row r="3046" spans="1:22" x14ac:dyDescent="0.2">
      <c r="A3046"/>
      <c r="B3046">
        <v>72156</v>
      </c>
      <c r="C3046" t="s">
        <v>365</v>
      </c>
      <c r="D3046" t="s">
        <v>69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</row>
    <row r="3047" spans="1:22" x14ac:dyDescent="0.2">
      <c r="A3047"/>
      <c r="B3047">
        <v>72157</v>
      </c>
      <c r="C3047" t="s">
        <v>1467</v>
      </c>
      <c r="D3047" t="s">
        <v>65</v>
      </c>
      <c r="F3047" t="s">
        <v>126</v>
      </c>
      <c r="G3047">
        <v>6985.3311829508893</v>
      </c>
      <c r="H3047" t="s">
        <v>248</v>
      </c>
      <c r="I3047">
        <v>-5</v>
      </c>
      <c r="J3047">
        <v>0</v>
      </c>
      <c r="K3047">
        <v>0</v>
      </c>
      <c r="L3047">
        <v>0</v>
      </c>
      <c r="M3047" t="s">
        <v>188</v>
      </c>
      <c r="N3047">
        <v>15000.581391669401</v>
      </c>
      <c r="O3047" t="s">
        <v>248</v>
      </c>
      <c r="P3047" t="b">
        <v>1</v>
      </c>
      <c r="Q3047">
        <v>6608.5893407331141</v>
      </c>
      <c r="R3047">
        <v>36037.413986417014</v>
      </c>
      <c r="S3047">
        <v>-3.9985932116357761</v>
      </c>
      <c r="T3047">
        <v>78.945776549763139</v>
      </c>
      <c r="U3047">
        <v>0</v>
      </c>
      <c r="V3047">
        <v>0</v>
      </c>
    </row>
    <row r="3048" spans="1:22" x14ac:dyDescent="0.2">
      <c r="A3048"/>
      <c r="B3048">
        <v>72158</v>
      </c>
      <c r="C3048" t="s">
        <v>1468</v>
      </c>
      <c r="D3048" t="s">
        <v>59</v>
      </c>
      <c r="E3048" t="s">
        <v>1091</v>
      </c>
      <c r="F3048" t="s">
        <v>126</v>
      </c>
      <c r="G3048">
        <v>6985.3311829508893</v>
      </c>
      <c r="H3048" t="s">
        <v>248</v>
      </c>
      <c r="I3048">
        <v>-2.5</v>
      </c>
      <c r="J3048">
        <v>0</v>
      </c>
      <c r="K3048">
        <v>270</v>
      </c>
      <c r="L3048">
        <v>0</v>
      </c>
      <c r="M3048" t="s">
        <v>188</v>
      </c>
      <c r="N3048">
        <v>15000.581391669401</v>
      </c>
      <c r="O3048" t="s">
        <v>248</v>
      </c>
      <c r="P3048" t="b">
        <v>1</v>
      </c>
      <c r="Q3048">
        <v>6611.0429561493675</v>
      </c>
      <c r="R3048">
        <v>36036.934641667249</v>
      </c>
      <c r="S3048">
        <v>-3.9985932116357761</v>
      </c>
      <c r="T3048">
        <v>-11.054223450236861</v>
      </c>
      <c r="U3048">
        <v>0</v>
      </c>
      <c r="V3048">
        <v>0</v>
      </c>
    </row>
    <row r="3049" spans="1:22" x14ac:dyDescent="0.2">
      <c r="A3049"/>
      <c r="B3049">
        <v>72159</v>
      </c>
      <c r="C3049" t="s">
        <v>1469</v>
      </c>
      <c r="D3049" t="s">
        <v>57</v>
      </c>
      <c r="E3049" t="s">
        <v>1091</v>
      </c>
      <c r="F3049" t="s">
        <v>126</v>
      </c>
      <c r="G3049">
        <v>6985.3311829508893</v>
      </c>
      <c r="H3049" t="s">
        <v>248</v>
      </c>
      <c r="I3049">
        <v>-2.5</v>
      </c>
      <c r="J3049">
        <v>0</v>
      </c>
      <c r="K3049">
        <v>270</v>
      </c>
      <c r="L3049">
        <v>0</v>
      </c>
      <c r="M3049" t="s">
        <v>188</v>
      </c>
      <c r="N3049">
        <v>15000.581391669401</v>
      </c>
      <c r="O3049" t="s">
        <v>248</v>
      </c>
      <c r="P3049" t="b">
        <v>1</v>
      </c>
      <c r="Q3049">
        <v>6611.0429561493675</v>
      </c>
      <c r="R3049">
        <v>36036.934641667249</v>
      </c>
      <c r="S3049">
        <v>-3.9985932116357761</v>
      </c>
      <c r="T3049">
        <v>-11.054223450236861</v>
      </c>
      <c r="U3049">
        <v>0</v>
      </c>
      <c r="V3049">
        <v>0</v>
      </c>
    </row>
    <row r="3050" spans="1:22" x14ac:dyDescent="0.2">
      <c r="A3050"/>
      <c r="B3050">
        <v>72160</v>
      </c>
      <c r="C3050" t="s">
        <v>1470</v>
      </c>
      <c r="D3050" t="s">
        <v>55</v>
      </c>
      <c r="E3050" t="s">
        <v>52</v>
      </c>
      <c r="F3050" t="s">
        <v>126</v>
      </c>
      <c r="G3050">
        <v>6985.3311829508893</v>
      </c>
      <c r="H3050" t="s">
        <v>248</v>
      </c>
      <c r="I3050">
        <v>-2.5</v>
      </c>
      <c r="J3050">
        <v>0</v>
      </c>
      <c r="K3050">
        <v>270</v>
      </c>
      <c r="L3050">
        <v>0</v>
      </c>
      <c r="M3050" t="s">
        <v>188</v>
      </c>
      <c r="N3050">
        <v>15000.581391669401</v>
      </c>
      <c r="O3050" t="s">
        <v>248</v>
      </c>
      <c r="P3050" t="b">
        <v>1</v>
      </c>
      <c r="Q3050">
        <v>6611.0429561493675</v>
      </c>
      <c r="R3050">
        <v>36036.934641667249</v>
      </c>
      <c r="S3050">
        <v>-3.9985932116357761</v>
      </c>
      <c r="T3050">
        <v>-11.054223450236861</v>
      </c>
      <c r="U3050">
        <v>0</v>
      </c>
      <c r="V3050">
        <v>0</v>
      </c>
    </row>
    <row r="3051" spans="1:22" x14ac:dyDescent="0.2">
      <c r="A3051"/>
      <c r="B3051">
        <v>72161</v>
      </c>
      <c r="C3051" t="s">
        <v>1471</v>
      </c>
      <c r="D3051" t="s">
        <v>54</v>
      </c>
      <c r="E3051" t="s">
        <v>52</v>
      </c>
      <c r="F3051" t="s">
        <v>126</v>
      </c>
      <c r="G3051">
        <v>6985.3311829508893</v>
      </c>
      <c r="H3051" t="s">
        <v>248</v>
      </c>
      <c r="I3051">
        <v>-2.5</v>
      </c>
      <c r="J3051">
        <v>0</v>
      </c>
      <c r="K3051">
        <v>270</v>
      </c>
      <c r="L3051">
        <v>0</v>
      </c>
      <c r="M3051" t="s">
        <v>188</v>
      </c>
      <c r="N3051">
        <v>15000.581391669401</v>
      </c>
      <c r="O3051" t="s">
        <v>248</v>
      </c>
      <c r="P3051" t="b">
        <v>1</v>
      </c>
      <c r="Q3051">
        <v>6611.0429561493675</v>
      </c>
      <c r="R3051">
        <v>36036.934641667249</v>
      </c>
      <c r="S3051">
        <v>-3.9985932116357761</v>
      </c>
      <c r="T3051">
        <v>-11.054223450236861</v>
      </c>
      <c r="U3051">
        <v>0</v>
      </c>
      <c r="V3051">
        <v>0</v>
      </c>
    </row>
    <row r="3052" spans="1:22" x14ac:dyDescent="0.2">
      <c r="A3052"/>
      <c r="B3052">
        <v>72162</v>
      </c>
      <c r="C3052" t="s">
        <v>1472</v>
      </c>
      <c r="D3052" t="s">
        <v>53</v>
      </c>
      <c r="E3052" t="s">
        <v>52</v>
      </c>
      <c r="F3052" t="s">
        <v>126</v>
      </c>
      <c r="G3052">
        <v>6985.3311829508893</v>
      </c>
      <c r="H3052" t="s">
        <v>248</v>
      </c>
      <c r="I3052">
        <v>-2.5</v>
      </c>
      <c r="J3052">
        <v>0</v>
      </c>
      <c r="K3052">
        <v>270</v>
      </c>
      <c r="L3052">
        <v>0</v>
      </c>
      <c r="M3052" t="s">
        <v>188</v>
      </c>
      <c r="N3052">
        <v>15000.581391669401</v>
      </c>
      <c r="O3052" t="s">
        <v>248</v>
      </c>
      <c r="P3052" t="b">
        <v>1</v>
      </c>
      <c r="Q3052">
        <v>6611.0429561493675</v>
      </c>
      <c r="R3052">
        <v>36036.934641667249</v>
      </c>
      <c r="S3052">
        <v>-3.9985932116357761</v>
      </c>
      <c r="T3052">
        <v>-11.054223450236861</v>
      </c>
      <c r="U3052">
        <v>0</v>
      </c>
      <c r="V3052">
        <v>0</v>
      </c>
    </row>
    <row r="3053" spans="1:22" x14ac:dyDescent="0.2">
      <c r="A3053"/>
      <c r="B3053">
        <v>72163</v>
      </c>
      <c r="C3053" t="s">
        <v>922</v>
      </c>
      <c r="D3053" t="s">
        <v>928</v>
      </c>
      <c r="E3053" t="s">
        <v>1041</v>
      </c>
      <c r="F3053" t="s">
        <v>126</v>
      </c>
      <c r="G3053">
        <v>6901.96</v>
      </c>
      <c r="H3053" t="s">
        <v>1270</v>
      </c>
      <c r="I3053">
        <v>0</v>
      </c>
      <c r="J3053">
        <v>0</v>
      </c>
      <c r="K3053">
        <v>0</v>
      </c>
      <c r="L3053">
        <v>0</v>
      </c>
      <c r="M3053" t="s">
        <v>126</v>
      </c>
      <c r="N3053">
        <v>6901.96</v>
      </c>
      <c r="O3053" t="s">
        <v>12</v>
      </c>
      <c r="P3053" t="b">
        <v>0</v>
      </c>
      <c r="Q3053">
        <v>6597.553259178665</v>
      </c>
      <c r="R3053">
        <v>35954.622763447282</v>
      </c>
      <c r="S3053">
        <v>-4.0016183382792549</v>
      </c>
      <c r="T3053">
        <v>-100.96792310617796</v>
      </c>
      <c r="U3053">
        <v>0</v>
      </c>
      <c r="V3053">
        <v>0</v>
      </c>
    </row>
    <row r="3054" spans="1:22" x14ac:dyDescent="0.2">
      <c r="A3054"/>
      <c r="B3054">
        <v>72164</v>
      </c>
      <c r="C3054" t="s">
        <v>923</v>
      </c>
      <c r="D3054" t="s">
        <v>928</v>
      </c>
      <c r="E3054" t="s">
        <v>1041</v>
      </c>
      <c r="F3054" t="s">
        <v>126</v>
      </c>
      <c r="G3054">
        <v>6924.1599999999899</v>
      </c>
      <c r="H3054" t="s">
        <v>1270</v>
      </c>
      <c r="I3054">
        <v>0</v>
      </c>
      <c r="J3054">
        <v>0</v>
      </c>
      <c r="K3054">
        <v>0</v>
      </c>
      <c r="L3054">
        <v>0</v>
      </c>
      <c r="M3054" t="s">
        <v>126</v>
      </c>
      <c r="N3054">
        <v>6924.1599999999899</v>
      </c>
      <c r="O3054" t="s">
        <v>12</v>
      </c>
      <c r="P3054" t="b">
        <v>0</v>
      </c>
      <c r="Q3054">
        <v>6601.7848049133745</v>
      </c>
      <c r="R3054">
        <v>35976.415743984799</v>
      </c>
      <c r="S3054">
        <v>-4.0006577759010868</v>
      </c>
      <c r="T3054">
        <v>-101.00692878771514</v>
      </c>
      <c r="U3054">
        <v>0</v>
      </c>
      <c r="V3054">
        <v>0</v>
      </c>
    </row>
    <row r="3055" spans="1:22" x14ac:dyDescent="0.2">
      <c r="A3055"/>
      <c r="B3055">
        <v>72165</v>
      </c>
      <c r="C3055" t="s">
        <v>924</v>
      </c>
      <c r="D3055" t="s">
        <v>928</v>
      </c>
      <c r="E3055" t="s">
        <v>1041</v>
      </c>
      <c r="F3055" t="s">
        <v>126</v>
      </c>
      <c r="G3055">
        <v>7060.13</v>
      </c>
      <c r="H3055" t="s">
        <v>12</v>
      </c>
      <c r="I3055">
        <v>0</v>
      </c>
      <c r="J3055">
        <v>0</v>
      </c>
      <c r="K3055">
        <v>0</v>
      </c>
      <c r="L3055">
        <v>0</v>
      </c>
      <c r="M3055" t="s">
        <v>126</v>
      </c>
      <c r="N3055">
        <v>7060.13</v>
      </c>
      <c r="O3055" t="s">
        <v>12</v>
      </c>
      <c r="P3055" t="b">
        <v>1</v>
      </c>
      <c r="Q3055">
        <v>6627.8125966156949</v>
      </c>
      <c r="R3055">
        <v>36109.87132967708</v>
      </c>
      <c r="S3055">
        <v>-3.9972297954334097</v>
      </c>
      <c r="T3055">
        <v>79.007966075991845</v>
      </c>
      <c r="U3055">
        <v>0</v>
      </c>
      <c r="V3055">
        <v>0</v>
      </c>
    </row>
    <row r="3056" spans="1:22" x14ac:dyDescent="0.2">
      <c r="A3056"/>
      <c r="B3056">
        <v>72166</v>
      </c>
      <c r="C3056" t="s">
        <v>925</v>
      </c>
      <c r="D3056" t="s">
        <v>928</v>
      </c>
      <c r="E3056" t="s">
        <v>1041</v>
      </c>
      <c r="F3056" t="s">
        <v>126</v>
      </c>
      <c r="G3056">
        <v>7082.3299999999899</v>
      </c>
      <c r="H3056" t="s">
        <v>12</v>
      </c>
      <c r="I3056">
        <v>0</v>
      </c>
      <c r="J3056">
        <v>0</v>
      </c>
      <c r="K3056">
        <v>0</v>
      </c>
      <c r="L3056">
        <v>0</v>
      </c>
      <c r="M3056" t="s">
        <v>126</v>
      </c>
      <c r="N3056">
        <v>7082.3299999999899</v>
      </c>
      <c r="O3056" t="s">
        <v>12</v>
      </c>
      <c r="P3056" t="b">
        <v>1</v>
      </c>
      <c r="Q3056">
        <v>6632.0375517426664</v>
      </c>
      <c r="R3056">
        <v>36131.665588784541</v>
      </c>
      <c r="S3056">
        <v>-3.9970709751321154</v>
      </c>
      <c r="T3056">
        <v>79.051835565343865</v>
      </c>
      <c r="U3056">
        <v>0</v>
      </c>
      <c r="V3056">
        <v>0</v>
      </c>
    </row>
    <row r="3057" spans="1:22" x14ac:dyDescent="0.2">
      <c r="A3057"/>
      <c r="B3057">
        <v>72167</v>
      </c>
      <c r="C3057" t="s">
        <v>1473</v>
      </c>
      <c r="D3057" t="s">
        <v>65</v>
      </c>
      <c r="F3057" t="s">
        <v>92</v>
      </c>
      <c r="G3057">
        <v>6984.7216097322289</v>
      </c>
      <c r="H3057" t="s">
        <v>248</v>
      </c>
      <c r="I3057">
        <v>5</v>
      </c>
      <c r="J3057">
        <v>0</v>
      </c>
      <c r="K3057">
        <v>0</v>
      </c>
      <c r="L3057">
        <v>0</v>
      </c>
      <c r="M3057" t="s">
        <v>187</v>
      </c>
      <c r="N3057">
        <v>15001.147421086</v>
      </c>
      <c r="O3057" t="s">
        <v>248</v>
      </c>
      <c r="P3057" t="b">
        <v>1</v>
      </c>
      <c r="Q3057">
        <v>6623.2371669979784</v>
      </c>
      <c r="R3057">
        <v>36034.63935420596</v>
      </c>
      <c r="S3057">
        <v>-3.9650615297918019</v>
      </c>
      <c r="T3057">
        <v>78.971710289853107</v>
      </c>
      <c r="U3057">
        <v>0</v>
      </c>
      <c r="V3057">
        <v>0</v>
      </c>
    </row>
    <row r="3058" spans="1:22" x14ac:dyDescent="0.2">
      <c r="A3058"/>
      <c r="B3058">
        <v>72168</v>
      </c>
      <c r="C3058" t="s">
        <v>1474</v>
      </c>
      <c r="D3058" t="s">
        <v>59</v>
      </c>
      <c r="E3058" t="s">
        <v>1091</v>
      </c>
      <c r="F3058" t="s">
        <v>92</v>
      </c>
      <c r="G3058">
        <v>6984.7216097322289</v>
      </c>
      <c r="H3058" t="s">
        <v>248</v>
      </c>
      <c r="I3058">
        <v>2.5</v>
      </c>
      <c r="J3058">
        <v>0</v>
      </c>
      <c r="K3058">
        <v>90</v>
      </c>
      <c r="L3058">
        <v>0</v>
      </c>
      <c r="M3058" t="s">
        <v>187</v>
      </c>
      <c r="N3058">
        <v>15001.147421086</v>
      </c>
      <c r="O3058" t="s">
        <v>248</v>
      </c>
      <c r="P3058" t="b">
        <v>1</v>
      </c>
      <c r="Q3058">
        <v>6620.783334867665</v>
      </c>
      <c r="R3058">
        <v>36035.117588328787</v>
      </c>
      <c r="S3058">
        <v>-3.9650615297918019</v>
      </c>
      <c r="T3058">
        <v>168.97171028985309</v>
      </c>
      <c r="U3058">
        <v>0</v>
      </c>
      <c r="V3058">
        <v>0</v>
      </c>
    </row>
    <row r="3059" spans="1:22" x14ac:dyDescent="0.2">
      <c r="A3059"/>
      <c r="B3059">
        <v>72169</v>
      </c>
      <c r="C3059" t="s">
        <v>1475</v>
      </c>
      <c r="D3059" t="s">
        <v>57</v>
      </c>
      <c r="E3059" t="s">
        <v>1091</v>
      </c>
      <c r="F3059" t="s">
        <v>92</v>
      </c>
      <c r="G3059">
        <v>6984.7216097322289</v>
      </c>
      <c r="H3059" t="s">
        <v>248</v>
      </c>
      <c r="I3059">
        <v>2.5</v>
      </c>
      <c r="J3059">
        <v>0</v>
      </c>
      <c r="K3059">
        <v>90</v>
      </c>
      <c r="L3059">
        <v>0</v>
      </c>
      <c r="M3059" t="s">
        <v>187</v>
      </c>
      <c r="N3059">
        <v>15001.147421086</v>
      </c>
      <c r="O3059" t="s">
        <v>248</v>
      </c>
      <c r="P3059" t="b">
        <v>1</v>
      </c>
      <c r="Q3059">
        <v>6620.783334867665</v>
      </c>
      <c r="R3059">
        <v>36035.117588328787</v>
      </c>
      <c r="S3059">
        <v>-3.9650615297918019</v>
      </c>
      <c r="T3059">
        <v>168.97171028985309</v>
      </c>
      <c r="U3059">
        <v>0</v>
      </c>
      <c r="V3059">
        <v>0</v>
      </c>
    </row>
    <row r="3060" spans="1:22" x14ac:dyDescent="0.2">
      <c r="A3060"/>
      <c r="B3060">
        <v>72170</v>
      </c>
      <c r="C3060" t="s">
        <v>1476</v>
      </c>
      <c r="D3060" t="s">
        <v>55</v>
      </c>
      <c r="E3060" t="s">
        <v>52</v>
      </c>
      <c r="F3060" t="s">
        <v>92</v>
      </c>
      <c r="G3060">
        <v>6984.7216097322289</v>
      </c>
      <c r="H3060" t="s">
        <v>248</v>
      </c>
      <c r="I3060">
        <v>2.5</v>
      </c>
      <c r="J3060">
        <v>0</v>
      </c>
      <c r="K3060">
        <v>90</v>
      </c>
      <c r="L3060">
        <v>0</v>
      </c>
      <c r="M3060" t="s">
        <v>187</v>
      </c>
      <c r="N3060">
        <v>15001.147421086</v>
      </c>
      <c r="O3060" t="s">
        <v>248</v>
      </c>
      <c r="P3060" t="b">
        <v>1</v>
      </c>
      <c r="Q3060">
        <v>6620.783334867665</v>
      </c>
      <c r="R3060">
        <v>36035.117588328787</v>
      </c>
      <c r="S3060">
        <v>-3.9650615297918019</v>
      </c>
      <c r="T3060">
        <v>168.97171028985309</v>
      </c>
      <c r="U3060">
        <v>0</v>
      </c>
      <c r="V3060">
        <v>0</v>
      </c>
    </row>
    <row r="3061" spans="1:22" x14ac:dyDescent="0.2">
      <c r="A3061"/>
      <c r="B3061">
        <v>72171</v>
      </c>
      <c r="C3061" t="s">
        <v>1477</v>
      </c>
      <c r="D3061" t="s">
        <v>54</v>
      </c>
      <c r="E3061" t="s">
        <v>52</v>
      </c>
      <c r="F3061" t="s">
        <v>92</v>
      </c>
      <c r="G3061">
        <v>6984.7216097322289</v>
      </c>
      <c r="H3061" t="s">
        <v>248</v>
      </c>
      <c r="I3061">
        <v>2.5</v>
      </c>
      <c r="J3061">
        <v>0</v>
      </c>
      <c r="K3061">
        <v>90</v>
      </c>
      <c r="L3061">
        <v>0</v>
      </c>
      <c r="M3061" t="s">
        <v>187</v>
      </c>
      <c r="N3061">
        <v>15001.147421086</v>
      </c>
      <c r="O3061" t="s">
        <v>248</v>
      </c>
      <c r="P3061" t="b">
        <v>1</v>
      </c>
      <c r="Q3061">
        <v>6620.783334867665</v>
      </c>
      <c r="R3061">
        <v>36035.117588328787</v>
      </c>
      <c r="S3061">
        <v>-3.9650615297918019</v>
      </c>
      <c r="T3061">
        <v>168.97171028985309</v>
      </c>
      <c r="U3061">
        <v>0</v>
      </c>
      <c r="V3061">
        <v>0</v>
      </c>
    </row>
    <row r="3062" spans="1:22" x14ac:dyDescent="0.2">
      <c r="A3062"/>
      <c r="B3062">
        <v>72172</v>
      </c>
      <c r="C3062" t="s">
        <v>1478</v>
      </c>
      <c r="D3062" t="s">
        <v>53</v>
      </c>
      <c r="E3062" t="s">
        <v>52</v>
      </c>
      <c r="F3062" t="s">
        <v>92</v>
      </c>
      <c r="G3062">
        <v>6984.7216097322289</v>
      </c>
      <c r="H3062" t="s">
        <v>248</v>
      </c>
      <c r="I3062">
        <v>2.5</v>
      </c>
      <c r="J3062">
        <v>0</v>
      </c>
      <c r="K3062">
        <v>90</v>
      </c>
      <c r="L3062">
        <v>0</v>
      </c>
      <c r="M3062" t="s">
        <v>187</v>
      </c>
      <c r="N3062">
        <v>15001.147421086</v>
      </c>
      <c r="O3062" t="s">
        <v>248</v>
      </c>
      <c r="P3062" t="b">
        <v>1</v>
      </c>
      <c r="Q3062">
        <v>6620.783334867665</v>
      </c>
      <c r="R3062">
        <v>36035.117588328787</v>
      </c>
      <c r="S3062">
        <v>-3.9650615297918019</v>
      </c>
      <c r="T3062">
        <v>168.97171028985309</v>
      </c>
      <c r="U3062">
        <v>0</v>
      </c>
      <c r="V3062">
        <v>0</v>
      </c>
    </row>
    <row r="3063" spans="1:22" x14ac:dyDescent="0.2">
      <c r="A3063"/>
      <c r="B3063">
        <v>72173</v>
      </c>
      <c r="C3063" t="s">
        <v>935</v>
      </c>
      <c r="D3063" t="s">
        <v>928</v>
      </c>
      <c r="E3063" t="s">
        <v>1041</v>
      </c>
      <c r="F3063" t="s">
        <v>122</v>
      </c>
      <c r="G3063">
        <v>88</v>
      </c>
      <c r="H3063" t="s">
        <v>1270</v>
      </c>
      <c r="I3063">
        <v>0</v>
      </c>
      <c r="J3063">
        <v>0</v>
      </c>
      <c r="K3063">
        <v>0</v>
      </c>
      <c r="L3063">
        <v>0</v>
      </c>
      <c r="M3063" t="s">
        <v>122</v>
      </c>
      <c r="N3063">
        <v>88</v>
      </c>
      <c r="O3063" t="s">
        <v>12</v>
      </c>
      <c r="P3063" t="b">
        <v>0</v>
      </c>
      <c r="Q3063">
        <v>4954.9082921617555</v>
      </c>
      <c r="R3063">
        <v>22008.996220021603</v>
      </c>
      <c r="S3063">
        <v>-4.0281496222540278E-3</v>
      </c>
      <c r="T3063">
        <v>-103.88103092288507</v>
      </c>
      <c r="U3063">
        <v>0</v>
      </c>
      <c r="V3063">
        <v>0</v>
      </c>
    </row>
    <row r="3064" spans="1:22" x14ac:dyDescent="0.2">
      <c r="A3064"/>
      <c r="B3064">
        <v>72174</v>
      </c>
      <c r="C3064" t="s">
        <v>936</v>
      </c>
      <c r="D3064" t="s">
        <v>928</v>
      </c>
      <c r="E3064" t="s">
        <v>1041</v>
      </c>
      <c r="F3064" t="s">
        <v>122</v>
      </c>
      <c r="G3064">
        <v>110.2</v>
      </c>
      <c r="H3064" t="s">
        <v>1270</v>
      </c>
      <c r="I3064">
        <v>0</v>
      </c>
      <c r="J3064">
        <v>0</v>
      </c>
      <c r="K3064">
        <v>0</v>
      </c>
      <c r="L3064">
        <v>0</v>
      </c>
      <c r="M3064" t="s">
        <v>122</v>
      </c>
      <c r="N3064">
        <v>110.2</v>
      </c>
      <c r="O3064" t="s">
        <v>12</v>
      </c>
      <c r="P3064" t="b">
        <v>0</v>
      </c>
      <c r="Q3064">
        <v>4960.1289924091207</v>
      </c>
      <c r="R3064">
        <v>22030.573497301386</v>
      </c>
      <c r="S3064">
        <v>-3.5430286402982065E-3</v>
      </c>
      <c r="T3064">
        <v>-103.20057418714174</v>
      </c>
      <c r="U3064">
        <v>0</v>
      </c>
      <c r="V3064">
        <v>0</v>
      </c>
    </row>
    <row r="3065" spans="1:22" x14ac:dyDescent="0.2">
      <c r="A3065"/>
      <c r="B3065">
        <v>72175</v>
      </c>
      <c r="C3065" t="s">
        <v>937</v>
      </c>
      <c r="D3065" t="s">
        <v>928</v>
      </c>
      <c r="E3065" t="s">
        <v>1041</v>
      </c>
      <c r="F3065" t="s">
        <v>122</v>
      </c>
      <c r="G3065">
        <v>246.3</v>
      </c>
      <c r="H3065" t="s">
        <v>12</v>
      </c>
      <c r="I3065">
        <v>0</v>
      </c>
      <c r="J3065">
        <v>0</v>
      </c>
      <c r="K3065">
        <v>0</v>
      </c>
      <c r="L3065">
        <v>0</v>
      </c>
      <c r="M3065" t="s">
        <v>122</v>
      </c>
      <c r="N3065">
        <v>246.3</v>
      </c>
      <c r="O3065" t="s">
        <v>12</v>
      </c>
      <c r="P3065" t="b">
        <v>1</v>
      </c>
      <c r="Q3065">
        <v>4985.5384436848608</v>
      </c>
      <c r="R3065">
        <v>22164.266270484623</v>
      </c>
      <c r="S3065">
        <v>-2.7315048475514719E-2</v>
      </c>
      <c r="T3065">
        <v>79.882948886506981</v>
      </c>
      <c r="U3065">
        <v>0</v>
      </c>
      <c r="V3065">
        <v>0</v>
      </c>
    </row>
    <row r="3066" spans="1:22" x14ac:dyDescent="0.2">
      <c r="A3066"/>
      <c r="B3066">
        <v>72176</v>
      </c>
      <c r="C3066" t="s">
        <v>938</v>
      </c>
      <c r="D3066" t="s">
        <v>928</v>
      </c>
      <c r="E3066" t="s">
        <v>1041</v>
      </c>
      <c r="F3066" t="s">
        <v>122</v>
      </c>
      <c r="G3066">
        <v>268.5</v>
      </c>
      <c r="H3066" t="s">
        <v>12</v>
      </c>
      <c r="I3066">
        <v>0</v>
      </c>
      <c r="J3066">
        <v>0</v>
      </c>
      <c r="K3066">
        <v>0</v>
      </c>
      <c r="L3066">
        <v>0</v>
      </c>
      <c r="M3066" t="s">
        <v>122</v>
      </c>
      <c r="N3066">
        <v>268.5</v>
      </c>
      <c r="O3066" t="s">
        <v>12</v>
      </c>
      <c r="P3066" t="b">
        <v>1</v>
      </c>
      <c r="Q3066">
        <v>4989.430510839059</v>
      </c>
      <c r="R3066">
        <v>22186.121528002888</v>
      </c>
      <c r="S3066">
        <v>-0.22021150001145864</v>
      </c>
      <c r="T3066">
        <v>79.917093360679488</v>
      </c>
      <c r="U3066">
        <v>0</v>
      </c>
      <c r="V3066">
        <v>0</v>
      </c>
    </row>
    <row r="3067" spans="1:22" x14ac:dyDescent="0.2">
      <c r="A3067"/>
      <c r="B3067">
        <v>72177</v>
      </c>
      <c r="C3067" t="s">
        <v>941</v>
      </c>
      <c r="D3067" t="s">
        <v>928</v>
      </c>
      <c r="E3067" t="s">
        <v>1041</v>
      </c>
      <c r="F3067" t="s">
        <v>84</v>
      </c>
      <c r="G3067">
        <v>88.319999999999894</v>
      </c>
      <c r="H3067" t="s">
        <v>1270</v>
      </c>
      <c r="I3067">
        <v>0</v>
      </c>
      <c r="J3067">
        <v>0</v>
      </c>
      <c r="K3067">
        <v>0</v>
      </c>
      <c r="L3067">
        <v>0</v>
      </c>
      <c r="M3067" t="s">
        <v>84</v>
      </c>
      <c r="N3067">
        <v>88.319999999999894</v>
      </c>
      <c r="O3067" t="s">
        <v>12</v>
      </c>
      <c r="P3067" t="b">
        <v>0</v>
      </c>
      <c r="Q3067">
        <v>4959.789694649603</v>
      </c>
      <c r="R3067">
        <v>22007.885541995176</v>
      </c>
      <c r="S3067">
        <v>-4.6698049373844874E-3</v>
      </c>
      <c r="T3067">
        <v>-103.83670690041436</v>
      </c>
      <c r="U3067">
        <v>0</v>
      </c>
      <c r="V3067">
        <v>0</v>
      </c>
    </row>
    <row r="3068" spans="1:22" x14ac:dyDescent="0.2">
      <c r="A3068"/>
      <c r="B3068">
        <v>72178</v>
      </c>
      <c r="C3068" t="s">
        <v>939</v>
      </c>
      <c r="D3068" t="s">
        <v>928</v>
      </c>
      <c r="E3068" t="s">
        <v>1041</v>
      </c>
      <c r="F3068" t="s">
        <v>84</v>
      </c>
      <c r="G3068">
        <v>110.519999999999</v>
      </c>
      <c r="H3068" t="s">
        <v>1270</v>
      </c>
      <c r="I3068">
        <v>0</v>
      </c>
      <c r="J3068">
        <v>0</v>
      </c>
      <c r="K3068">
        <v>0</v>
      </c>
      <c r="L3068">
        <v>0</v>
      </c>
      <c r="M3068" t="s">
        <v>84</v>
      </c>
      <c r="N3068">
        <v>110.519999999999</v>
      </c>
      <c r="O3068" t="s">
        <v>12</v>
      </c>
      <c r="P3068" t="b">
        <v>0</v>
      </c>
      <c r="Q3068">
        <v>4965.0065327194206</v>
      </c>
      <c r="R3068">
        <v>22029.463803684001</v>
      </c>
      <c r="S3068">
        <v>2.5522819159050237E-3</v>
      </c>
      <c r="T3068">
        <v>-103.33377630568216</v>
      </c>
      <c r="U3068">
        <v>0</v>
      </c>
      <c r="V3068">
        <v>0</v>
      </c>
    </row>
    <row r="3069" spans="1:22" x14ac:dyDescent="0.2">
      <c r="A3069"/>
      <c r="B3069">
        <v>72179</v>
      </c>
      <c r="C3069" t="s">
        <v>940</v>
      </c>
      <c r="D3069" t="s">
        <v>928</v>
      </c>
      <c r="E3069" t="s">
        <v>1041</v>
      </c>
      <c r="F3069" t="s">
        <v>84</v>
      </c>
      <c r="G3069">
        <v>247</v>
      </c>
      <c r="H3069" t="s">
        <v>12</v>
      </c>
      <c r="I3069">
        <v>0</v>
      </c>
      <c r="J3069">
        <v>0</v>
      </c>
      <c r="K3069">
        <v>0</v>
      </c>
      <c r="L3069">
        <v>0</v>
      </c>
      <c r="M3069" t="s">
        <v>84</v>
      </c>
      <c r="N3069">
        <v>247</v>
      </c>
      <c r="O3069" t="s">
        <v>12</v>
      </c>
      <c r="P3069" t="b">
        <v>1</v>
      </c>
      <c r="Q3069">
        <v>4990.4348296746175</v>
      </c>
      <c r="R3069">
        <v>22163.53782196594</v>
      </c>
      <c r="S3069">
        <v>-3.0225488160459325E-2</v>
      </c>
      <c r="T3069">
        <v>79.783576883279537</v>
      </c>
      <c r="U3069">
        <v>0</v>
      </c>
      <c r="V3069">
        <v>0</v>
      </c>
    </row>
    <row r="3070" spans="1:22" x14ac:dyDescent="0.2">
      <c r="A3070"/>
      <c r="B3070">
        <v>72180</v>
      </c>
      <c r="C3070" t="s">
        <v>942</v>
      </c>
      <c r="D3070" t="s">
        <v>928</v>
      </c>
      <c r="E3070" t="s">
        <v>1041</v>
      </c>
      <c r="F3070" t="s">
        <v>84</v>
      </c>
      <c r="G3070">
        <v>269.19999999999902</v>
      </c>
      <c r="H3070" t="s">
        <v>12</v>
      </c>
      <c r="I3070">
        <v>0</v>
      </c>
      <c r="J3070">
        <v>0</v>
      </c>
      <c r="K3070">
        <v>0</v>
      </c>
      <c r="L3070">
        <v>0</v>
      </c>
      <c r="M3070" t="s">
        <v>84</v>
      </c>
      <c r="N3070">
        <v>269.19999999999902</v>
      </c>
      <c r="O3070" t="s">
        <v>12</v>
      </c>
      <c r="P3070" t="b">
        <v>1</v>
      </c>
      <c r="Q3070">
        <v>4994.3630385633996</v>
      </c>
      <c r="R3070">
        <v>22185.386569742735</v>
      </c>
      <c r="S3070">
        <v>-0.22776945733688159</v>
      </c>
      <c r="T3070">
        <v>79.829278900403352</v>
      </c>
      <c r="U3070">
        <v>0</v>
      </c>
      <c r="V3070">
        <v>0</v>
      </c>
    </row>
    <row r="3071" spans="1:22" x14ac:dyDescent="0.2">
      <c r="A3071"/>
      <c r="B3071">
        <v>72181</v>
      </c>
      <c r="C3071" t="s">
        <v>943</v>
      </c>
      <c r="D3071" t="s">
        <v>928</v>
      </c>
      <c r="E3071" t="s">
        <v>1041</v>
      </c>
      <c r="F3071" t="s">
        <v>123</v>
      </c>
      <c r="G3071">
        <v>1249.5999999999899</v>
      </c>
      <c r="H3071" t="s">
        <v>1270</v>
      </c>
      <c r="I3071">
        <v>0</v>
      </c>
      <c r="J3071">
        <v>0</v>
      </c>
      <c r="K3071">
        <v>0</v>
      </c>
      <c r="L3071">
        <v>0</v>
      </c>
      <c r="M3071" t="s">
        <v>123</v>
      </c>
      <c r="N3071">
        <v>1249.5999999999899</v>
      </c>
      <c r="O3071" t="s">
        <v>12</v>
      </c>
      <c r="P3071" t="b">
        <v>0</v>
      </c>
      <c r="Q3071">
        <v>5067.0201400446749</v>
      </c>
      <c r="R3071">
        <v>23501.736403057163</v>
      </c>
      <c r="S3071">
        <v>7.404320164242681</v>
      </c>
      <c r="T3071">
        <v>-91.527754108703164</v>
      </c>
      <c r="U3071">
        <v>0</v>
      </c>
      <c r="V3071">
        <v>0</v>
      </c>
    </row>
    <row r="3072" spans="1:22" x14ac:dyDescent="0.2">
      <c r="A3072"/>
      <c r="B3072">
        <v>72182</v>
      </c>
      <c r="C3072" t="s">
        <v>944</v>
      </c>
      <c r="D3072" t="s">
        <v>928</v>
      </c>
      <c r="E3072" t="s">
        <v>1041</v>
      </c>
      <c r="F3072" t="s">
        <v>123</v>
      </c>
      <c r="G3072">
        <v>1271.79999999999</v>
      </c>
      <c r="H3072" t="s">
        <v>1270</v>
      </c>
      <c r="I3072">
        <v>0</v>
      </c>
      <c r="J3072">
        <v>0</v>
      </c>
      <c r="K3072">
        <v>0</v>
      </c>
      <c r="L3072">
        <v>0</v>
      </c>
      <c r="M3072" t="s">
        <v>123</v>
      </c>
      <c r="N3072">
        <v>1271.79999999999</v>
      </c>
      <c r="O3072" t="s">
        <v>12</v>
      </c>
      <c r="P3072" t="b">
        <v>0</v>
      </c>
      <c r="Q3072">
        <v>5067.7094566900796</v>
      </c>
      <c r="R3072">
        <v>23523.92565221047</v>
      </c>
      <c r="S3072">
        <v>7.3980154293042624</v>
      </c>
      <c r="T3072">
        <v>-91.917517364220245</v>
      </c>
      <c r="U3072">
        <v>0</v>
      </c>
      <c r="V3072">
        <v>0</v>
      </c>
    </row>
    <row r="3073" spans="1:22" x14ac:dyDescent="0.2">
      <c r="A3073"/>
      <c r="B3073">
        <v>72183</v>
      </c>
      <c r="C3073" t="s">
        <v>945</v>
      </c>
      <c r="D3073" t="s">
        <v>928</v>
      </c>
      <c r="E3073" t="s">
        <v>1041</v>
      </c>
      <c r="F3073" t="s">
        <v>123</v>
      </c>
      <c r="G3073">
        <v>1407.99</v>
      </c>
      <c r="H3073" t="s">
        <v>12</v>
      </c>
      <c r="I3073">
        <v>0</v>
      </c>
      <c r="J3073">
        <v>0</v>
      </c>
      <c r="K3073">
        <v>0</v>
      </c>
      <c r="L3073">
        <v>0</v>
      </c>
      <c r="M3073" t="s">
        <v>123</v>
      </c>
      <c r="N3073">
        <v>1407.99</v>
      </c>
      <c r="O3073" t="s">
        <v>12</v>
      </c>
      <c r="P3073" t="b">
        <v>1</v>
      </c>
      <c r="Q3073">
        <v>5071.9716501130806</v>
      </c>
      <c r="R3073">
        <v>23660.048820123859</v>
      </c>
      <c r="S3073">
        <v>7.4195992679669587</v>
      </c>
      <c r="T3073">
        <v>88.339191527352497</v>
      </c>
      <c r="U3073">
        <v>0</v>
      </c>
      <c r="V3073">
        <v>0</v>
      </c>
    </row>
    <row r="3074" spans="1:22" x14ac:dyDescent="0.2">
      <c r="A3074"/>
      <c r="B3074">
        <v>72184</v>
      </c>
      <c r="C3074" t="s">
        <v>946</v>
      </c>
      <c r="D3074" t="s">
        <v>928</v>
      </c>
      <c r="E3074" t="s">
        <v>1041</v>
      </c>
      <c r="F3074" t="s">
        <v>123</v>
      </c>
      <c r="G3074">
        <v>1430.19</v>
      </c>
      <c r="H3074" t="s">
        <v>12</v>
      </c>
      <c r="I3074">
        <v>0</v>
      </c>
      <c r="J3074">
        <v>0</v>
      </c>
      <c r="K3074">
        <v>0</v>
      </c>
      <c r="L3074">
        <v>0</v>
      </c>
      <c r="M3074" t="s">
        <v>123</v>
      </c>
      <c r="N3074">
        <v>1430.19</v>
      </c>
      <c r="O3074" t="s">
        <v>12</v>
      </c>
      <c r="P3074" t="b">
        <v>1</v>
      </c>
      <c r="Q3074">
        <v>5072.6065040412777</v>
      </c>
      <c r="R3074">
        <v>23682.239740200428</v>
      </c>
      <c r="S3074">
        <v>7.4210519158150134</v>
      </c>
      <c r="T3074">
        <v>88.383450246067255</v>
      </c>
      <c r="U3074">
        <v>0</v>
      </c>
      <c r="V3074">
        <v>0</v>
      </c>
    </row>
    <row r="3075" spans="1:22" x14ac:dyDescent="0.2">
      <c r="A3075"/>
      <c r="B3075">
        <v>72185</v>
      </c>
      <c r="C3075" t="s">
        <v>947</v>
      </c>
      <c r="D3075" t="s">
        <v>928</v>
      </c>
      <c r="E3075" t="s">
        <v>1041</v>
      </c>
      <c r="F3075" t="s">
        <v>87</v>
      </c>
      <c r="G3075">
        <v>1353.44</v>
      </c>
      <c r="H3075" t="s">
        <v>12</v>
      </c>
      <c r="I3075">
        <v>0</v>
      </c>
      <c r="J3075">
        <v>0</v>
      </c>
      <c r="K3075">
        <v>0</v>
      </c>
      <c r="L3075">
        <v>0</v>
      </c>
      <c r="M3075" t="s">
        <v>87</v>
      </c>
      <c r="N3075">
        <v>1353.44</v>
      </c>
      <c r="O3075" t="s">
        <v>12</v>
      </c>
      <c r="P3075" t="b">
        <v>1</v>
      </c>
      <c r="Q3075">
        <v>5077.5026922066127</v>
      </c>
      <c r="R3075">
        <v>23682.081729692603</v>
      </c>
      <c r="S3075">
        <v>7.4005415028803547</v>
      </c>
      <c r="T3075">
        <v>88.413044102679279</v>
      </c>
      <c r="U3075">
        <v>0</v>
      </c>
      <c r="V3075">
        <v>0</v>
      </c>
    </row>
    <row r="3076" spans="1:22" x14ac:dyDescent="0.2">
      <c r="A3076"/>
      <c r="B3076">
        <v>72186</v>
      </c>
      <c r="C3076" t="s">
        <v>948</v>
      </c>
      <c r="D3076" t="s">
        <v>928</v>
      </c>
      <c r="E3076" t="s">
        <v>1041</v>
      </c>
      <c r="F3076" t="s">
        <v>87</v>
      </c>
      <c r="G3076">
        <v>1331.24</v>
      </c>
      <c r="H3076" t="s">
        <v>12</v>
      </c>
      <c r="I3076">
        <v>0</v>
      </c>
      <c r="J3076">
        <v>0</v>
      </c>
      <c r="K3076">
        <v>0</v>
      </c>
      <c r="L3076">
        <v>0</v>
      </c>
      <c r="M3076" t="s">
        <v>87</v>
      </c>
      <c r="N3076">
        <v>1331.24</v>
      </c>
      <c r="O3076" t="s">
        <v>12</v>
      </c>
      <c r="P3076" t="b">
        <v>1</v>
      </c>
      <c r="Q3076">
        <v>5076.880747479132</v>
      </c>
      <c r="R3076">
        <v>23659.890443843142</v>
      </c>
      <c r="S3076">
        <v>7.4002785532646378</v>
      </c>
      <c r="T3076">
        <v>88.37614445465789</v>
      </c>
      <c r="U3076">
        <v>0</v>
      </c>
      <c r="V3076">
        <v>0</v>
      </c>
    </row>
    <row r="3077" spans="1:22" x14ac:dyDescent="0.2">
      <c r="A3077"/>
      <c r="B3077">
        <v>72187</v>
      </c>
      <c r="C3077" t="s">
        <v>949</v>
      </c>
      <c r="D3077" t="s">
        <v>928</v>
      </c>
      <c r="E3077" t="s">
        <v>1041</v>
      </c>
      <c r="F3077" t="s">
        <v>87</v>
      </c>
      <c r="G3077">
        <v>1194.1300000000001</v>
      </c>
      <c r="H3077" t="s">
        <v>1270</v>
      </c>
      <c r="I3077">
        <v>0</v>
      </c>
      <c r="J3077">
        <v>0</v>
      </c>
      <c r="K3077">
        <v>0</v>
      </c>
      <c r="L3077">
        <v>0</v>
      </c>
      <c r="M3077" t="s">
        <v>87</v>
      </c>
      <c r="N3077">
        <v>1194.1300000000001</v>
      </c>
      <c r="O3077" t="s">
        <v>12</v>
      </c>
      <c r="P3077" t="b">
        <v>0</v>
      </c>
      <c r="Q3077">
        <v>5072.7173177428222</v>
      </c>
      <c r="R3077">
        <v>23522.843766584785</v>
      </c>
      <c r="S3077">
        <v>7.398072153227826</v>
      </c>
      <c r="T3077">
        <v>-91.858164849163614</v>
      </c>
      <c r="U3077">
        <v>0</v>
      </c>
      <c r="V3077">
        <v>0</v>
      </c>
    </row>
    <row r="3078" spans="1:22" x14ac:dyDescent="0.2">
      <c r="A3078"/>
      <c r="B3078">
        <v>72188</v>
      </c>
      <c r="C3078" t="s">
        <v>950</v>
      </c>
      <c r="D3078" t="s">
        <v>928</v>
      </c>
      <c r="E3078" t="s">
        <v>1041</v>
      </c>
      <c r="F3078" t="s">
        <v>87</v>
      </c>
      <c r="G3078">
        <v>1171.93</v>
      </c>
      <c r="H3078" t="s">
        <v>1270</v>
      </c>
      <c r="I3078">
        <v>0</v>
      </c>
      <c r="J3078">
        <v>0</v>
      </c>
      <c r="K3078">
        <v>0</v>
      </c>
      <c r="L3078">
        <v>0</v>
      </c>
      <c r="M3078" t="s">
        <v>87</v>
      </c>
      <c r="N3078">
        <v>1171.93</v>
      </c>
      <c r="O3078" t="s">
        <v>12</v>
      </c>
      <c r="P3078" t="b">
        <v>0</v>
      </c>
      <c r="Q3078">
        <v>5071.9899360940326</v>
      </c>
      <c r="R3078">
        <v>23500.655686525268</v>
      </c>
      <c r="S3078">
        <v>7.3976206070654591</v>
      </c>
      <c r="T3078">
        <v>-91.897141016835278</v>
      </c>
      <c r="U3078">
        <v>0</v>
      </c>
      <c r="V3078">
        <v>0</v>
      </c>
    </row>
    <row r="3079" spans="1:22" x14ac:dyDescent="0.2">
      <c r="A3079"/>
      <c r="B3079">
        <v>72189</v>
      </c>
      <c r="C3079" t="s">
        <v>951</v>
      </c>
      <c r="D3079" t="s">
        <v>928</v>
      </c>
      <c r="E3079" t="s">
        <v>1041</v>
      </c>
      <c r="F3079" t="s">
        <v>123</v>
      </c>
      <c r="G3079">
        <v>3014.0299999999902</v>
      </c>
      <c r="H3079" t="s">
        <v>12</v>
      </c>
      <c r="I3079">
        <v>0</v>
      </c>
      <c r="J3079">
        <v>0</v>
      </c>
      <c r="K3079">
        <v>0</v>
      </c>
      <c r="L3079">
        <v>0</v>
      </c>
      <c r="M3079" t="s">
        <v>123</v>
      </c>
      <c r="N3079">
        <v>3014.0299999999902</v>
      </c>
      <c r="O3079" t="s">
        <v>12</v>
      </c>
      <c r="P3079" t="b">
        <v>1</v>
      </c>
      <c r="Q3079">
        <v>5152.1423157212066</v>
      </c>
      <c r="R3079">
        <v>25249.496796991614</v>
      </c>
      <c r="S3079">
        <v>-2.6176990108370823</v>
      </c>
      <c r="T3079">
        <v>70.003047817297713</v>
      </c>
      <c r="U3079">
        <v>0</v>
      </c>
      <c r="V3079">
        <v>0</v>
      </c>
    </row>
    <row r="3080" spans="1:22" x14ac:dyDescent="0.2">
      <c r="A3080"/>
      <c r="B3080">
        <v>72190</v>
      </c>
      <c r="C3080" t="s">
        <v>952</v>
      </c>
      <c r="D3080" t="s">
        <v>928</v>
      </c>
      <c r="E3080" t="s">
        <v>1041</v>
      </c>
      <c r="F3080" t="s">
        <v>123</v>
      </c>
      <c r="G3080">
        <v>2991.8299999999899</v>
      </c>
      <c r="H3080" t="s">
        <v>12</v>
      </c>
      <c r="I3080">
        <v>0</v>
      </c>
      <c r="J3080">
        <v>0</v>
      </c>
      <c r="K3080">
        <v>0</v>
      </c>
      <c r="L3080">
        <v>0</v>
      </c>
      <c r="M3080" t="s">
        <v>123</v>
      </c>
      <c r="N3080">
        <v>2991.8299999999899</v>
      </c>
      <c r="O3080" t="s">
        <v>12</v>
      </c>
      <c r="P3080" t="b">
        <v>1</v>
      </c>
      <c r="Q3080">
        <v>5144.5441291159623</v>
      </c>
      <c r="R3080">
        <v>25228.637569122024</v>
      </c>
      <c r="S3080">
        <v>-2.6170308902498451</v>
      </c>
      <c r="T3080">
        <v>69.970142970261122</v>
      </c>
      <c r="U3080">
        <v>0</v>
      </c>
      <c r="V3080">
        <v>0</v>
      </c>
    </row>
    <row r="3081" spans="1:22" x14ac:dyDescent="0.2">
      <c r="A3081"/>
      <c r="B3081">
        <v>72191</v>
      </c>
      <c r="C3081" t="s">
        <v>953</v>
      </c>
      <c r="D3081" t="s">
        <v>928</v>
      </c>
      <c r="E3081" t="s">
        <v>1041</v>
      </c>
      <c r="F3081" t="s">
        <v>123</v>
      </c>
      <c r="G3081">
        <v>2855.8</v>
      </c>
      <c r="H3081" t="s">
        <v>1270</v>
      </c>
      <c r="I3081">
        <v>0</v>
      </c>
      <c r="J3081">
        <v>0</v>
      </c>
      <c r="K3081">
        <v>0</v>
      </c>
      <c r="L3081">
        <v>0</v>
      </c>
      <c r="M3081" t="s">
        <v>123</v>
      </c>
      <c r="N3081">
        <v>2855.8</v>
      </c>
      <c r="O3081" t="s">
        <v>12</v>
      </c>
      <c r="P3081" t="b">
        <v>0</v>
      </c>
      <c r="Q3081">
        <v>5097.9759929040856</v>
      </c>
      <c r="R3081">
        <v>25100.826922100256</v>
      </c>
      <c r="S3081">
        <v>-2.6235657232032787</v>
      </c>
      <c r="T3081">
        <v>-109.92234409565074</v>
      </c>
      <c r="U3081">
        <v>0</v>
      </c>
      <c r="V3081">
        <v>0</v>
      </c>
    </row>
    <row r="3082" spans="1:22" x14ac:dyDescent="0.2">
      <c r="A3082"/>
      <c r="B3082">
        <v>72192</v>
      </c>
      <c r="C3082" t="s">
        <v>954</v>
      </c>
      <c r="D3082" t="s">
        <v>928</v>
      </c>
      <c r="E3082" t="s">
        <v>1041</v>
      </c>
      <c r="F3082" t="s">
        <v>123</v>
      </c>
      <c r="G3082">
        <v>2833.6</v>
      </c>
      <c r="H3082" t="s">
        <v>1270</v>
      </c>
      <c r="I3082">
        <v>0</v>
      </c>
      <c r="J3082">
        <v>0</v>
      </c>
      <c r="K3082">
        <v>0</v>
      </c>
      <c r="L3082">
        <v>0</v>
      </c>
      <c r="M3082" t="s">
        <v>123</v>
      </c>
      <c r="N3082">
        <v>2833.6</v>
      </c>
      <c r="O3082" t="s">
        <v>12</v>
      </c>
      <c r="P3082" t="b">
        <v>0</v>
      </c>
      <c r="Q3082">
        <v>5090.4217492090766</v>
      </c>
      <c r="R3082">
        <v>25079.951736981093</v>
      </c>
      <c r="S3082">
        <v>-2.6209469640312415</v>
      </c>
      <c r="T3082">
        <v>-109.8647046945632</v>
      </c>
      <c r="U3082">
        <v>0</v>
      </c>
      <c r="V3082">
        <v>0</v>
      </c>
    </row>
    <row r="3083" spans="1:22" x14ac:dyDescent="0.2">
      <c r="A3083"/>
      <c r="B3083">
        <v>72193</v>
      </c>
      <c r="C3083" t="s">
        <v>955</v>
      </c>
      <c r="D3083" t="s">
        <v>928</v>
      </c>
      <c r="E3083" t="s">
        <v>1041</v>
      </c>
      <c r="F3083" t="s">
        <v>87</v>
      </c>
      <c r="G3083">
        <v>2935.6999999999898</v>
      </c>
      <c r="H3083" t="s">
        <v>12</v>
      </c>
      <c r="I3083">
        <v>0</v>
      </c>
      <c r="J3083">
        <v>0</v>
      </c>
      <c r="K3083">
        <v>0</v>
      </c>
      <c r="L3083">
        <v>0</v>
      </c>
      <c r="M3083" t="s">
        <v>87</v>
      </c>
      <c r="N3083">
        <v>2935.6999999999898</v>
      </c>
      <c r="O3083" t="s">
        <v>12</v>
      </c>
      <c r="P3083" t="b">
        <v>1</v>
      </c>
      <c r="Q3083">
        <v>5156.8476208703823</v>
      </c>
      <c r="R3083">
        <v>25247.761914350252</v>
      </c>
      <c r="S3083">
        <v>-2.6371420768554246</v>
      </c>
      <c r="T3083">
        <v>69.977060372280363</v>
      </c>
      <c r="U3083">
        <v>0</v>
      </c>
      <c r="V3083">
        <v>0</v>
      </c>
    </row>
    <row r="3084" spans="1:22" x14ac:dyDescent="0.2">
      <c r="A3084"/>
      <c r="B3084">
        <v>72194</v>
      </c>
      <c r="C3084" t="s">
        <v>956</v>
      </c>
      <c r="D3084" t="s">
        <v>928</v>
      </c>
      <c r="E3084" t="s">
        <v>1041</v>
      </c>
      <c r="F3084" t="s">
        <v>87</v>
      </c>
      <c r="G3084">
        <v>2913.5</v>
      </c>
      <c r="H3084" t="s">
        <v>12</v>
      </c>
      <c r="I3084">
        <v>0</v>
      </c>
      <c r="J3084">
        <v>0</v>
      </c>
      <c r="K3084">
        <v>0</v>
      </c>
      <c r="L3084">
        <v>0</v>
      </c>
      <c r="M3084" t="s">
        <v>87</v>
      </c>
      <c r="N3084">
        <v>2913.5</v>
      </c>
      <c r="O3084" t="s">
        <v>12</v>
      </c>
      <c r="P3084" t="b">
        <v>1</v>
      </c>
      <c r="Q3084">
        <v>5149.2360353498143</v>
      </c>
      <c r="R3084">
        <v>25226.907569814532</v>
      </c>
      <c r="S3084">
        <v>-2.6323091915731101</v>
      </c>
      <c r="T3084">
        <v>69.923849337965606</v>
      </c>
      <c r="U3084">
        <v>0</v>
      </c>
      <c r="V3084">
        <v>0</v>
      </c>
    </row>
    <row r="3085" spans="1:22" x14ac:dyDescent="0.2">
      <c r="A3085"/>
      <c r="B3085">
        <v>72195</v>
      </c>
      <c r="C3085" t="s">
        <v>957</v>
      </c>
      <c r="D3085" t="s">
        <v>928</v>
      </c>
      <c r="E3085" t="s">
        <v>1041</v>
      </c>
      <c r="F3085" t="s">
        <v>87</v>
      </c>
      <c r="G3085">
        <v>2777.5999999999899</v>
      </c>
      <c r="H3085" t="s">
        <v>1270</v>
      </c>
      <c r="I3085">
        <v>0</v>
      </c>
      <c r="J3085">
        <v>0</v>
      </c>
      <c r="K3085">
        <v>0</v>
      </c>
      <c r="L3085">
        <v>0</v>
      </c>
      <c r="M3085" t="s">
        <v>87</v>
      </c>
      <c r="N3085">
        <v>2777.5999999999899</v>
      </c>
      <c r="O3085" t="s">
        <v>12</v>
      </c>
      <c r="P3085" t="b">
        <v>0</v>
      </c>
      <c r="Q3085">
        <v>5102.6234118196644</v>
      </c>
      <c r="R3085">
        <v>25099.251576768889</v>
      </c>
      <c r="S3085">
        <v>-2.6263792599016029</v>
      </c>
      <c r="T3085">
        <v>-109.89955760004639</v>
      </c>
      <c r="U3085">
        <v>0</v>
      </c>
      <c r="V3085">
        <v>0</v>
      </c>
    </row>
    <row r="3086" spans="1:22" x14ac:dyDescent="0.2">
      <c r="A3086"/>
      <c r="B3086">
        <v>72196</v>
      </c>
      <c r="C3086" t="s">
        <v>958</v>
      </c>
      <c r="D3086" t="s">
        <v>928</v>
      </c>
      <c r="E3086" t="s">
        <v>1041</v>
      </c>
      <c r="F3086" t="s">
        <v>87</v>
      </c>
      <c r="G3086">
        <v>2755.4</v>
      </c>
      <c r="H3086" t="s">
        <v>1270</v>
      </c>
      <c r="I3086">
        <v>0</v>
      </c>
      <c r="J3086">
        <v>0</v>
      </c>
      <c r="K3086">
        <v>0</v>
      </c>
      <c r="L3086">
        <v>0</v>
      </c>
      <c r="M3086" t="s">
        <v>87</v>
      </c>
      <c r="N3086">
        <v>2755.4</v>
      </c>
      <c r="O3086" t="s">
        <v>12</v>
      </c>
      <c r="P3086" t="b">
        <v>0</v>
      </c>
      <c r="Q3086">
        <v>5095.0842857602329</v>
      </c>
      <c r="R3086">
        <v>25078.370928748111</v>
      </c>
      <c r="S3086">
        <v>-2.6246274233958844</v>
      </c>
      <c r="T3086">
        <v>-109.80462552487764</v>
      </c>
      <c r="U3086">
        <v>0</v>
      </c>
      <c r="V3086">
        <v>0</v>
      </c>
    </row>
    <row r="3087" spans="1:22" x14ac:dyDescent="0.2">
      <c r="A3087"/>
      <c r="B3087">
        <v>72197</v>
      </c>
      <c r="C3087" t="s">
        <v>959</v>
      </c>
      <c r="D3087" t="s">
        <v>928</v>
      </c>
      <c r="E3087" t="s">
        <v>1041</v>
      </c>
      <c r="F3087" t="s">
        <v>123</v>
      </c>
      <c r="G3087">
        <v>4058.0999999999899</v>
      </c>
      <c r="H3087" t="s">
        <v>12</v>
      </c>
      <c r="I3087">
        <v>0</v>
      </c>
      <c r="J3087">
        <v>0</v>
      </c>
      <c r="K3087">
        <v>0</v>
      </c>
      <c r="L3087">
        <v>0</v>
      </c>
      <c r="M3087" t="s">
        <v>123</v>
      </c>
      <c r="N3087">
        <v>4058.0999999999899</v>
      </c>
      <c r="O3087" t="s">
        <v>12</v>
      </c>
      <c r="P3087" t="b">
        <v>1</v>
      </c>
      <c r="Q3087">
        <v>5329.8361275856669</v>
      </c>
      <c r="R3087">
        <v>26275.726844517223</v>
      </c>
      <c r="S3087">
        <v>-2.3450174084384425</v>
      </c>
      <c r="T3087">
        <v>82.344419826548048</v>
      </c>
      <c r="U3087">
        <v>0</v>
      </c>
      <c r="V3087">
        <v>0</v>
      </c>
    </row>
    <row r="3088" spans="1:22" x14ac:dyDescent="0.2">
      <c r="A3088"/>
      <c r="B3088">
        <v>72198</v>
      </c>
      <c r="C3088" t="s">
        <v>960</v>
      </c>
      <c r="D3088" t="s">
        <v>928</v>
      </c>
      <c r="E3088" t="s">
        <v>1041</v>
      </c>
      <c r="F3088" t="s">
        <v>123</v>
      </c>
      <c r="G3088">
        <v>4035.9</v>
      </c>
      <c r="H3088" t="s">
        <v>12</v>
      </c>
      <c r="I3088">
        <v>0</v>
      </c>
      <c r="J3088">
        <v>0</v>
      </c>
      <c r="K3088">
        <v>0</v>
      </c>
      <c r="L3088">
        <v>0</v>
      </c>
      <c r="M3088" t="s">
        <v>123</v>
      </c>
      <c r="N3088">
        <v>4035.9</v>
      </c>
      <c r="O3088" t="s">
        <v>12</v>
      </c>
      <c r="P3088" t="b">
        <v>1</v>
      </c>
      <c r="Q3088">
        <v>5326.8829109558546</v>
      </c>
      <c r="R3088">
        <v>26253.724151449831</v>
      </c>
      <c r="S3088">
        <v>-2.3430904428925796</v>
      </c>
      <c r="T3088">
        <v>82.365572415818207</v>
      </c>
      <c r="U3088">
        <v>0</v>
      </c>
      <c r="V3088">
        <v>0</v>
      </c>
    </row>
    <row r="3089" spans="1:22" x14ac:dyDescent="0.2">
      <c r="A3089"/>
      <c r="B3089">
        <v>72199</v>
      </c>
      <c r="C3089" t="s">
        <v>961</v>
      </c>
      <c r="D3089" t="s">
        <v>928</v>
      </c>
      <c r="E3089" t="s">
        <v>1041</v>
      </c>
      <c r="F3089" t="s">
        <v>123</v>
      </c>
      <c r="G3089">
        <v>3899.88</v>
      </c>
      <c r="H3089" t="s">
        <v>1270</v>
      </c>
      <c r="I3089">
        <v>0</v>
      </c>
      <c r="J3089">
        <v>0</v>
      </c>
      <c r="K3089">
        <v>0</v>
      </c>
      <c r="L3089">
        <v>0</v>
      </c>
      <c r="M3089" t="s">
        <v>123</v>
      </c>
      <c r="N3089">
        <v>3899.88</v>
      </c>
      <c r="O3089" t="s">
        <v>12</v>
      </c>
      <c r="P3089" t="b">
        <v>0</v>
      </c>
      <c r="Q3089">
        <v>5308.874118356498</v>
      </c>
      <c r="R3089">
        <v>26118.90158938985</v>
      </c>
      <c r="S3089">
        <v>-2.3355486322645529</v>
      </c>
      <c r="T3089">
        <v>-97.612939672050601</v>
      </c>
      <c r="U3089">
        <v>0</v>
      </c>
      <c r="V3089">
        <v>0</v>
      </c>
    </row>
    <row r="3090" spans="1:22" x14ac:dyDescent="0.2">
      <c r="A3090"/>
      <c r="B3090">
        <v>72200</v>
      </c>
      <c r="C3090" t="s">
        <v>962</v>
      </c>
      <c r="D3090" t="s">
        <v>928</v>
      </c>
      <c r="E3090" t="s">
        <v>1041</v>
      </c>
      <c r="F3090" t="s">
        <v>123</v>
      </c>
      <c r="G3090">
        <v>3877.68</v>
      </c>
      <c r="H3090" t="s">
        <v>1270</v>
      </c>
      <c r="I3090">
        <v>0</v>
      </c>
      <c r="J3090">
        <v>0</v>
      </c>
      <c r="K3090">
        <v>0</v>
      </c>
      <c r="L3090">
        <v>0</v>
      </c>
      <c r="M3090" t="s">
        <v>123</v>
      </c>
      <c r="N3090">
        <v>3877.68</v>
      </c>
      <c r="O3090" t="s">
        <v>12</v>
      </c>
      <c r="P3090" t="b">
        <v>0</v>
      </c>
      <c r="Q3090">
        <v>5305.9305005468732</v>
      </c>
      <c r="R3090">
        <v>26096.897609945314</v>
      </c>
      <c r="S3090">
        <v>-2.3350137806948705</v>
      </c>
      <c r="T3090">
        <v>-97.627078121498513</v>
      </c>
      <c r="U3090">
        <v>0</v>
      </c>
      <c r="V3090">
        <v>0</v>
      </c>
    </row>
    <row r="3091" spans="1:22" x14ac:dyDescent="0.2">
      <c r="A3091"/>
      <c r="B3091">
        <v>72201</v>
      </c>
      <c r="C3091" t="s">
        <v>963</v>
      </c>
      <c r="D3091" t="s">
        <v>928</v>
      </c>
      <c r="E3091" t="s">
        <v>1041</v>
      </c>
      <c r="F3091" t="s">
        <v>87</v>
      </c>
      <c r="G3091">
        <v>3980.9199999999901</v>
      </c>
      <c r="H3091" t="s">
        <v>12</v>
      </c>
      <c r="I3091">
        <v>0</v>
      </c>
      <c r="J3091">
        <v>0</v>
      </c>
      <c r="K3091">
        <v>0</v>
      </c>
      <c r="L3091">
        <v>0</v>
      </c>
      <c r="M3091" t="s">
        <v>87</v>
      </c>
      <c r="N3091">
        <v>3980.9199999999901</v>
      </c>
      <c r="O3091" t="s">
        <v>12</v>
      </c>
      <c r="P3091" t="b">
        <v>1</v>
      </c>
      <c r="Q3091">
        <v>5334.786700111571</v>
      </c>
      <c r="R3091">
        <v>26275.120577627786</v>
      </c>
      <c r="S3091">
        <v>-2.3628428452899377</v>
      </c>
      <c r="T3091">
        <v>82.373049363048139</v>
      </c>
      <c r="U3091">
        <v>0</v>
      </c>
      <c r="V3091">
        <v>0</v>
      </c>
    </row>
    <row r="3092" spans="1:22" x14ac:dyDescent="0.2">
      <c r="A3092"/>
      <c r="B3092">
        <v>72202</v>
      </c>
      <c r="C3092" t="s">
        <v>964</v>
      </c>
      <c r="D3092" t="s">
        <v>928</v>
      </c>
      <c r="E3092" t="s">
        <v>1041</v>
      </c>
      <c r="F3092" t="s">
        <v>87</v>
      </c>
      <c r="G3092">
        <v>3958.7199999999898</v>
      </c>
      <c r="H3092" t="s">
        <v>12</v>
      </c>
      <c r="I3092">
        <v>0</v>
      </c>
      <c r="J3092">
        <v>0</v>
      </c>
      <c r="K3092">
        <v>0</v>
      </c>
      <c r="L3092">
        <v>0</v>
      </c>
      <c r="M3092" t="s">
        <v>87</v>
      </c>
      <c r="N3092">
        <v>3958.7199999999898</v>
      </c>
      <c r="O3092" t="s">
        <v>12</v>
      </c>
      <c r="P3092" t="b">
        <v>1</v>
      </c>
      <c r="Q3092">
        <v>5331.8405911378677</v>
      </c>
      <c r="R3092">
        <v>26253.116931541939</v>
      </c>
      <c r="S3092">
        <v>-2.3619452859526198</v>
      </c>
      <c r="T3092">
        <v>82.374594671234206</v>
      </c>
      <c r="U3092">
        <v>0</v>
      </c>
      <c r="V3092">
        <v>0</v>
      </c>
    </row>
    <row r="3093" spans="1:22" x14ac:dyDescent="0.2">
      <c r="A3093"/>
      <c r="B3093">
        <v>72203</v>
      </c>
      <c r="C3093" t="s">
        <v>965</v>
      </c>
      <c r="D3093" t="s">
        <v>928</v>
      </c>
      <c r="E3093" t="s">
        <v>1041</v>
      </c>
      <c r="F3093" t="s">
        <v>87</v>
      </c>
      <c r="G3093">
        <v>3822.6999999999898</v>
      </c>
      <c r="H3093" t="s">
        <v>1270</v>
      </c>
      <c r="I3093">
        <v>0</v>
      </c>
      <c r="J3093">
        <v>0</v>
      </c>
      <c r="K3093">
        <v>0</v>
      </c>
      <c r="L3093">
        <v>0</v>
      </c>
      <c r="M3093" t="s">
        <v>87</v>
      </c>
      <c r="N3093">
        <v>3822.6999999999898</v>
      </c>
      <c r="O3093" t="s">
        <v>12</v>
      </c>
      <c r="P3093" t="b">
        <v>0</v>
      </c>
      <c r="Q3093">
        <v>5313.7815445132301</v>
      </c>
      <c r="R3093">
        <v>26118.301090683497</v>
      </c>
      <c r="S3093">
        <v>-2.3496478423727374</v>
      </c>
      <c r="T3093">
        <v>-97.640826759126597</v>
      </c>
      <c r="U3093">
        <v>0</v>
      </c>
      <c r="V3093">
        <v>0</v>
      </c>
    </row>
    <row r="3094" spans="1:22" x14ac:dyDescent="0.2">
      <c r="A3094"/>
      <c r="B3094">
        <v>72204</v>
      </c>
      <c r="C3094" t="s">
        <v>966</v>
      </c>
      <c r="D3094" t="s">
        <v>928</v>
      </c>
      <c r="E3094" t="s">
        <v>1041</v>
      </c>
      <c r="F3094" t="s">
        <v>87</v>
      </c>
      <c r="G3094">
        <v>3800.5</v>
      </c>
      <c r="H3094" t="s">
        <v>1270</v>
      </c>
      <c r="I3094">
        <v>0</v>
      </c>
      <c r="J3094">
        <v>0</v>
      </c>
      <c r="K3094">
        <v>0</v>
      </c>
      <c r="L3094">
        <v>0</v>
      </c>
      <c r="M3094" t="s">
        <v>87</v>
      </c>
      <c r="N3094">
        <v>3800.5</v>
      </c>
      <c r="O3094" t="s">
        <v>12</v>
      </c>
      <c r="P3094" t="b">
        <v>0</v>
      </c>
      <c r="Q3094">
        <v>5310.8285467265187</v>
      </c>
      <c r="R3094">
        <v>26096.298368265394</v>
      </c>
      <c r="S3094">
        <v>-2.3465312381991814</v>
      </c>
      <c r="T3094">
        <v>-97.647405970474097</v>
      </c>
      <c r="U3094">
        <v>0</v>
      </c>
      <c r="V3094">
        <v>0</v>
      </c>
    </row>
    <row r="3095" spans="1:22" x14ac:dyDescent="0.2">
      <c r="A3095"/>
      <c r="B3095">
        <v>72205</v>
      </c>
      <c r="C3095" t="s">
        <v>969</v>
      </c>
      <c r="D3095" t="s">
        <v>928</v>
      </c>
      <c r="E3095" t="s">
        <v>1041</v>
      </c>
      <c r="F3095" t="s">
        <v>124</v>
      </c>
      <c r="G3095">
        <v>216.25</v>
      </c>
      <c r="H3095" t="s">
        <v>12</v>
      </c>
      <c r="I3095">
        <v>0</v>
      </c>
      <c r="J3095">
        <v>0</v>
      </c>
      <c r="K3095">
        <v>0</v>
      </c>
      <c r="L3095">
        <v>0</v>
      </c>
      <c r="M3095" t="s">
        <v>124</v>
      </c>
      <c r="N3095">
        <v>216.25</v>
      </c>
      <c r="O3095" t="s">
        <v>12</v>
      </c>
      <c r="P3095" t="b">
        <v>1</v>
      </c>
      <c r="Q3095">
        <v>5657.147479605921</v>
      </c>
      <c r="R3095">
        <v>28117.369419263203</v>
      </c>
      <c r="S3095">
        <v>5.2336090431631375</v>
      </c>
      <c r="T3095">
        <v>80.706560732361083</v>
      </c>
      <c r="U3095">
        <v>0</v>
      </c>
      <c r="V3095">
        <v>0</v>
      </c>
    </row>
    <row r="3096" spans="1:22" x14ac:dyDescent="0.2">
      <c r="A3096"/>
      <c r="B3096">
        <v>72206</v>
      </c>
      <c r="C3096" t="s">
        <v>970</v>
      </c>
      <c r="D3096" t="s">
        <v>928</v>
      </c>
      <c r="E3096" t="s">
        <v>1041</v>
      </c>
      <c r="F3096" t="s">
        <v>124</v>
      </c>
      <c r="G3096">
        <v>194.05</v>
      </c>
      <c r="H3096" t="s">
        <v>12</v>
      </c>
      <c r="I3096">
        <v>0</v>
      </c>
      <c r="J3096">
        <v>0</v>
      </c>
      <c r="K3096">
        <v>0</v>
      </c>
      <c r="L3096">
        <v>0</v>
      </c>
      <c r="M3096" t="s">
        <v>124</v>
      </c>
      <c r="N3096">
        <v>194.05</v>
      </c>
      <c r="O3096" t="s">
        <v>12</v>
      </c>
      <c r="P3096" t="b">
        <v>1</v>
      </c>
      <c r="Q3096">
        <v>5653.563463754308</v>
      </c>
      <c r="R3096">
        <v>28095.460635098589</v>
      </c>
      <c r="S3096">
        <v>5.2361793876723715</v>
      </c>
      <c r="T3096">
        <v>80.709527583829882</v>
      </c>
      <c r="U3096">
        <v>0</v>
      </c>
      <c r="V3096">
        <v>0</v>
      </c>
    </row>
    <row r="3097" spans="1:22" x14ac:dyDescent="0.2">
      <c r="A3097"/>
      <c r="B3097">
        <v>72207</v>
      </c>
      <c r="C3097" t="s">
        <v>971</v>
      </c>
      <c r="D3097" t="s">
        <v>928</v>
      </c>
      <c r="E3097" t="s">
        <v>1041</v>
      </c>
      <c r="F3097" t="s">
        <v>124</v>
      </c>
      <c r="G3097">
        <v>57.979999999999897</v>
      </c>
      <c r="H3097" t="s">
        <v>1270</v>
      </c>
      <c r="I3097">
        <v>0</v>
      </c>
      <c r="J3097">
        <v>0</v>
      </c>
      <c r="K3097">
        <v>0</v>
      </c>
      <c r="L3097">
        <v>0</v>
      </c>
      <c r="M3097" t="s">
        <v>124</v>
      </c>
      <c r="N3097">
        <v>57.979999999999897</v>
      </c>
      <c r="O3097" t="s">
        <v>12</v>
      </c>
      <c r="P3097" t="b">
        <v>0</v>
      </c>
      <c r="Q3097">
        <v>5631.5905121430133</v>
      </c>
      <c r="R3097">
        <v>27961.176480678223</v>
      </c>
      <c r="S3097">
        <v>5.2312824722710394</v>
      </c>
      <c r="T3097">
        <v>-99.292650755928534</v>
      </c>
      <c r="U3097">
        <v>0</v>
      </c>
      <c r="V3097">
        <v>0</v>
      </c>
    </row>
    <row r="3098" spans="1:22" x14ac:dyDescent="0.2">
      <c r="A3098"/>
      <c r="B3098">
        <v>72208</v>
      </c>
      <c r="C3098" t="s">
        <v>972</v>
      </c>
      <c r="D3098" t="s">
        <v>928</v>
      </c>
      <c r="E3098" t="s">
        <v>1041</v>
      </c>
      <c r="F3098" t="s">
        <v>124</v>
      </c>
      <c r="G3098">
        <v>35.78</v>
      </c>
      <c r="H3098" t="s">
        <v>1270</v>
      </c>
      <c r="I3098">
        <v>0</v>
      </c>
      <c r="J3098">
        <v>0</v>
      </c>
      <c r="K3098">
        <v>0</v>
      </c>
      <c r="L3098">
        <v>0</v>
      </c>
      <c r="M3098" t="s">
        <v>124</v>
      </c>
      <c r="N3098">
        <v>35.78</v>
      </c>
      <c r="O3098" t="s">
        <v>12</v>
      </c>
      <c r="P3098" t="b">
        <v>0</v>
      </c>
      <c r="Q3098">
        <v>5628.0059415027363</v>
      </c>
      <c r="R3098">
        <v>27939.267787628596</v>
      </c>
      <c r="S3098">
        <v>5.2265853535016396</v>
      </c>
      <c r="T3098">
        <v>-99.291404538166589</v>
      </c>
      <c r="U3098">
        <v>0</v>
      </c>
      <c r="V3098">
        <v>0</v>
      </c>
    </row>
    <row r="3099" spans="1:22" x14ac:dyDescent="0.2">
      <c r="A3099"/>
      <c r="B3099">
        <v>72209</v>
      </c>
      <c r="C3099" t="s">
        <v>973</v>
      </c>
      <c r="D3099" t="s">
        <v>928</v>
      </c>
      <c r="E3099" t="s">
        <v>1041</v>
      </c>
      <c r="F3099" t="s">
        <v>89</v>
      </c>
      <c r="G3099">
        <v>293.3</v>
      </c>
      <c r="H3099" t="s">
        <v>12</v>
      </c>
      <c r="I3099">
        <v>0</v>
      </c>
      <c r="J3099">
        <v>0</v>
      </c>
      <c r="K3099">
        <v>0</v>
      </c>
      <c r="L3099">
        <v>0</v>
      </c>
      <c r="M3099" t="s">
        <v>89</v>
      </c>
      <c r="N3099">
        <v>293.3</v>
      </c>
      <c r="O3099" t="s">
        <v>12</v>
      </c>
      <c r="P3099" t="b">
        <v>1</v>
      </c>
      <c r="Q3099">
        <v>5662.0911939231837</v>
      </c>
      <c r="R3099">
        <v>28116.655156837503</v>
      </c>
      <c r="S3099">
        <v>5.2432876901125391</v>
      </c>
      <c r="T3099">
        <v>80.676451257525144</v>
      </c>
      <c r="U3099">
        <v>0</v>
      </c>
      <c r="V3099">
        <v>0</v>
      </c>
    </row>
    <row r="3100" spans="1:22" x14ac:dyDescent="0.2">
      <c r="A3100"/>
      <c r="B3100">
        <v>72210</v>
      </c>
      <c r="C3100" t="s">
        <v>974</v>
      </c>
      <c r="D3100" t="s">
        <v>928</v>
      </c>
      <c r="E3100" t="s">
        <v>1041</v>
      </c>
      <c r="F3100" t="s">
        <v>89</v>
      </c>
      <c r="G3100">
        <v>271.10000000000002</v>
      </c>
      <c r="H3100" t="s">
        <v>12</v>
      </c>
      <c r="I3100">
        <v>0</v>
      </c>
      <c r="J3100">
        <v>0</v>
      </c>
      <c r="K3100">
        <v>0</v>
      </c>
      <c r="L3100">
        <v>0</v>
      </c>
      <c r="M3100" t="s">
        <v>89</v>
      </c>
      <c r="N3100">
        <v>271.10000000000002</v>
      </c>
      <c r="O3100" t="s">
        <v>12</v>
      </c>
      <c r="P3100" t="b">
        <v>1</v>
      </c>
      <c r="Q3100">
        <v>5658.4918517772958</v>
      </c>
      <c r="R3100">
        <v>28094.748885497109</v>
      </c>
      <c r="S3100">
        <v>5.2464117679925986</v>
      </c>
      <c r="T3100">
        <v>80.662868330426534</v>
      </c>
      <c r="U3100">
        <v>0</v>
      </c>
      <c r="V3100">
        <v>0</v>
      </c>
    </row>
    <row r="3101" spans="1:22" x14ac:dyDescent="0.2">
      <c r="A3101"/>
      <c r="B3101">
        <v>72211</v>
      </c>
      <c r="C3101" t="s">
        <v>975</v>
      </c>
      <c r="D3101" t="s">
        <v>928</v>
      </c>
      <c r="E3101" t="s">
        <v>1041</v>
      </c>
      <c r="F3101" t="s">
        <v>89</v>
      </c>
      <c r="G3101">
        <v>134.08000000000001</v>
      </c>
      <c r="H3101" t="s">
        <v>1270</v>
      </c>
      <c r="I3101">
        <v>0</v>
      </c>
      <c r="J3101">
        <v>0</v>
      </c>
      <c r="K3101">
        <v>0</v>
      </c>
      <c r="L3101">
        <v>0</v>
      </c>
      <c r="M3101" t="s">
        <v>89</v>
      </c>
      <c r="N3101">
        <v>134.08000000000001</v>
      </c>
      <c r="O3101" t="s">
        <v>12</v>
      </c>
      <c r="P3101" t="b">
        <v>0</v>
      </c>
      <c r="Q3101">
        <v>5636.2421870547896</v>
      </c>
      <c r="R3101">
        <v>27959.547434356504</v>
      </c>
      <c r="S3101">
        <v>5.258514929301513</v>
      </c>
      <c r="T3101">
        <v>-99.326090437755823</v>
      </c>
      <c r="U3101">
        <v>0</v>
      </c>
      <c r="V3101">
        <v>0</v>
      </c>
    </row>
    <row r="3102" spans="1:22" x14ac:dyDescent="0.2">
      <c r="A3102"/>
      <c r="B3102">
        <v>72212</v>
      </c>
      <c r="C3102" t="s">
        <v>976</v>
      </c>
      <c r="D3102" t="s">
        <v>928</v>
      </c>
      <c r="E3102" t="s">
        <v>1041</v>
      </c>
      <c r="F3102" t="s">
        <v>89</v>
      </c>
      <c r="G3102">
        <v>111.88</v>
      </c>
      <c r="H3102" t="s">
        <v>1270</v>
      </c>
      <c r="I3102">
        <v>0</v>
      </c>
      <c r="J3102">
        <v>0</v>
      </c>
      <c r="K3102">
        <v>0</v>
      </c>
      <c r="L3102">
        <v>0</v>
      </c>
      <c r="M3102" t="s">
        <v>89</v>
      </c>
      <c r="N3102">
        <v>111.88</v>
      </c>
      <c r="O3102" t="s">
        <v>12</v>
      </c>
      <c r="P3102" t="b">
        <v>0</v>
      </c>
      <c r="Q3102">
        <v>5632.6477503953893</v>
      </c>
      <c r="R3102">
        <v>27937.640357400036</v>
      </c>
      <c r="S3102">
        <v>5.2593076196214534</v>
      </c>
      <c r="T3102">
        <v>-99.308930275025872</v>
      </c>
      <c r="U3102">
        <v>0</v>
      </c>
      <c r="V3102">
        <v>0</v>
      </c>
    </row>
    <row r="3103" spans="1:22" x14ac:dyDescent="0.2">
      <c r="A3103"/>
      <c r="B3103">
        <v>72213</v>
      </c>
      <c r="C3103" t="s">
        <v>979</v>
      </c>
      <c r="D3103" t="s">
        <v>928</v>
      </c>
      <c r="E3103" t="s">
        <v>1041</v>
      </c>
      <c r="F3103" t="s">
        <v>125</v>
      </c>
      <c r="G3103">
        <v>944.90999999999894</v>
      </c>
      <c r="H3103" t="s">
        <v>1270</v>
      </c>
      <c r="I3103">
        <v>0</v>
      </c>
      <c r="J3103">
        <v>0</v>
      </c>
      <c r="K3103">
        <v>0</v>
      </c>
      <c r="L3103">
        <v>0</v>
      </c>
      <c r="M3103" t="s">
        <v>125</v>
      </c>
      <c r="N3103">
        <v>944.90999999999894</v>
      </c>
      <c r="O3103" t="s">
        <v>12</v>
      </c>
      <c r="P3103" t="b">
        <v>0</v>
      </c>
      <c r="Q3103">
        <v>5644.7733833593802</v>
      </c>
      <c r="R3103">
        <v>29079.038417591313</v>
      </c>
      <c r="S3103">
        <v>17.273474179008531</v>
      </c>
      <c r="T3103">
        <v>-92.043150753916038</v>
      </c>
      <c r="U3103">
        <v>0</v>
      </c>
      <c r="V3103">
        <v>0</v>
      </c>
    </row>
    <row r="3104" spans="1:22" x14ac:dyDescent="0.2">
      <c r="A3104"/>
      <c r="B3104">
        <v>72214</v>
      </c>
      <c r="C3104" t="s">
        <v>980</v>
      </c>
      <c r="D3104" t="s">
        <v>928</v>
      </c>
      <c r="E3104" t="s">
        <v>1041</v>
      </c>
      <c r="F3104" t="s">
        <v>125</v>
      </c>
      <c r="G3104">
        <v>967.11</v>
      </c>
      <c r="H3104" t="s">
        <v>1270</v>
      </c>
      <c r="I3104">
        <v>0</v>
      </c>
      <c r="J3104">
        <v>0</v>
      </c>
      <c r="K3104">
        <v>0</v>
      </c>
      <c r="L3104">
        <v>0</v>
      </c>
      <c r="M3104" t="s">
        <v>125</v>
      </c>
      <c r="N3104">
        <v>967.11</v>
      </c>
      <c r="O3104" t="s">
        <v>12</v>
      </c>
      <c r="P3104" t="b">
        <v>0</v>
      </c>
      <c r="Q3104">
        <v>5645.5794225494128</v>
      </c>
      <c r="R3104">
        <v>29101.223778436623</v>
      </c>
      <c r="S3104">
        <v>17.273067821548807</v>
      </c>
      <c r="T3104">
        <v>-92.115086606249633</v>
      </c>
      <c r="U3104">
        <v>0</v>
      </c>
      <c r="V3104">
        <v>0</v>
      </c>
    </row>
    <row r="3105" spans="1:22" x14ac:dyDescent="0.2">
      <c r="A3105"/>
      <c r="B3105">
        <v>72215</v>
      </c>
      <c r="C3105" t="s">
        <v>981</v>
      </c>
      <c r="D3105" t="s">
        <v>928</v>
      </c>
      <c r="E3105" t="s">
        <v>1041</v>
      </c>
      <c r="F3105" t="s">
        <v>125</v>
      </c>
      <c r="G3105">
        <v>1103.2</v>
      </c>
      <c r="H3105" t="s">
        <v>12</v>
      </c>
      <c r="I3105">
        <v>0</v>
      </c>
      <c r="J3105">
        <v>0</v>
      </c>
      <c r="K3105">
        <v>0</v>
      </c>
      <c r="L3105">
        <v>0</v>
      </c>
      <c r="M3105" t="s">
        <v>125</v>
      </c>
      <c r="N3105">
        <v>1103.2</v>
      </c>
      <c r="O3105" t="s">
        <v>12</v>
      </c>
      <c r="P3105" t="b">
        <v>1</v>
      </c>
      <c r="Q3105">
        <v>5650.7619708487655</v>
      </c>
      <c r="R3105">
        <v>29237.215046576821</v>
      </c>
      <c r="S3105">
        <v>17.273373664464408</v>
      </c>
      <c r="T3105">
        <v>87.868770428469148</v>
      </c>
      <c r="U3105">
        <v>0</v>
      </c>
      <c r="V3105">
        <v>0</v>
      </c>
    </row>
    <row r="3106" spans="1:22" x14ac:dyDescent="0.2">
      <c r="A3106"/>
      <c r="B3106">
        <v>72216</v>
      </c>
      <c r="C3106" t="s">
        <v>982</v>
      </c>
      <c r="D3106" t="s">
        <v>928</v>
      </c>
      <c r="E3106" t="s">
        <v>1041</v>
      </c>
      <c r="F3106" t="s">
        <v>125</v>
      </c>
      <c r="G3106">
        <v>1125.4000000000001</v>
      </c>
      <c r="H3106" t="s">
        <v>12</v>
      </c>
      <c r="I3106">
        <v>0</v>
      </c>
      <c r="J3106">
        <v>0</v>
      </c>
      <c r="K3106">
        <v>0</v>
      </c>
      <c r="L3106">
        <v>0</v>
      </c>
      <c r="M3106" t="s">
        <v>125</v>
      </c>
      <c r="N3106">
        <v>1125.4000000000001</v>
      </c>
      <c r="O3106" t="s">
        <v>12</v>
      </c>
      <c r="P3106" t="b">
        <v>1</v>
      </c>
      <c r="Q3106">
        <v>5651.6109817161896</v>
      </c>
      <c r="R3106">
        <v>29259.398758812789</v>
      </c>
      <c r="S3106">
        <v>17.266648792743002</v>
      </c>
      <c r="T3106">
        <v>87.438348008974657</v>
      </c>
      <c r="U3106">
        <v>0</v>
      </c>
      <c r="V3106">
        <v>0</v>
      </c>
    </row>
    <row r="3107" spans="1:22" x14ac:dyDescent="0.2">
      <c r="A3107"/>
      <c r="B3107">
        <v>72217</v>
      </c>
      <c r="C3107" t="s">
        <v>983</v>
      </c>
      <c r="D3107" t="s">
        <v>928</v>
      </c>
      <c r="E3107" t="s">
        <v>1041</v>
      </c>
      <c r="F3107" t="s">
        <v>91</v>
      </c>
      <c r="G3107">
        <v>868.42999999999904</v>
      </c>
      <c r="H3107" t="s">
        <v>1270</v>
      </c>
      <c r="I3107">
        <v>0</v>
      </c>
      <c r="J3107">
        <v>0</v>
      </c>
      <c r="K3107">
        <v>0</v>
      </c>
      <c r="L3107">
        <v>0</v>
      </c>
      <c r="M3107" t="s">
        <v>91</v>
      </c>
      <c r="N3107">
        <v>868.42999999999904</v>
      </c>
      <c r="O3107" t="s">
        <v>12</v>
      </c>
      <c r="P3107" t="b">
        <v>0</v>
      </c>
      <c r="Q3107">
        <v>5649.6878212041665</v>
      </c>
      <c r="R3107">
        <v>29078.913897371447</v>
      </c>
      <c r="S3107">
        <v>17.308606356144576</v>
      </c>
      <c r="T3107">
        <v>-91.951638341672222</v>
      </c>
      <c r="U3107">
        <v>0</v>
      </c>
      <c r="V3107">
        <v>0</v>
      </c>
    </row>
    <row r="3108" spans="1:22" x14ac:dyDescent="0.2">
      <c r="A3108"/>
      <c r="B3108">
        <v>72218</v>
      </c>
      <c r="C3108" t="s">
        <v>984</v>
      </c>
      <c r="D3108" t="s">
        <v>928</v>
      </c>
      <c r="E3108" t="s">
        <v>1041</v>
      </c>
      <c r="F3108" t="s">
        <v>91</v>
      </c>
      <c r="G3108">
        <v>890.62999999999897</v>
      </c>
      <c r="H3108" t="s">
        <v>1270</v>
      </c>
      <c r="I3108">
        <v>0</v>
      </c>
      <c r="J3108">
        <v>0</v>
      </c>
      <c r="K3108">
        <v>0</v>
      </c>
      <c r="L3108">
        <v>0</v>
      </c>
      <c r="M3108" t="s">
        <v>91</v>
      </c>
      <c r="N3108">
        <v>890.62999999999897</v>
      </c>
      <c r="O3108" t="s">
        <v>12</v>
      </c>
      <c r="P3108" t="b">
        <v>0</v>
      </c>
      <c r="Q3108">
        <v>5650.4597149985393</v>
      </c>
      <c r="R3108">
        <v>29101.100471959398</v>
      </c>
      <c r="S3108">
        <v>17.306122056552834</v>
      </c>
      <c r="T3108">
        <v>-92.032392676939281</v>
      </c>
      <c r="U3108">
        <v>0</v>
      </c>
      <c r="V3108">
        <v>0</v>
      </c>
    </row>
    <row r="3109" spans="1:22" x14ac:dyDescent="0.2">
      <c r="A3109"/>
      <c r="B3109">
        <v>72219</v>
      </c>
      <c r="C3109" t="s">
        <v>985</v>
      </c>
      <c r="D3109" t="s">
        <v>928</v>
      </c>
      <c r="E3109" t="s">
        <v>1041</v>
      </c>
      <c r="F3109" t="s">
        <v>91</v>
      </c>
      <c r="G3109">
        <v>1026.6500000000001</v>
      </c>
      <c r="H3109" t="s">
        <v>12</v>
      </c>
      <c r="I3109">
        <v>0</v>
      </c>
      <c r="J3109">
        <v>0</v>
      </c>
      <c r="K3109">
        <v>0</v>
      </c>
      <c r="L3109">
        <v>0</v>
      </c>
      <c r="M3109" t="s">
        <v>91</v>
      </c>
      <c r="N3109">
        <v>1026.6500000000001</v>
      </c>
      <c r="O3109" t="s">
        <v>12</v>
      </c>
      <c r="P3109" t="b">
        <v>1</v>
      </c>
      <c r="Q3109">
        <v>5655.7451518095213</v>
      </c>
      <c r="R3109">
        <v>29237.017532306782</v>
      </c>
      <c r="S3109">
        <v>17.323741526292597</v>
      </c>
      <c r="T3109">
        <v>87.632596311270959</v>
      </c>
      <c r="U3109">
        <v>0</v>
      </c>
      <c r="V3109">
        <v>0</v>
      </c>
    </row>
    <row r="3110" spans="1:22" x14ac:dyDescent="0.2">
      <c r="A3110"/>
      <c r="B3110">
        <v>72220</v>
      </c>
      <c r="C3110" t="s">
        <v>986</v>
      </c>
      <c r="D3110" t="s">
        <v>928</v>
      </c>
      <c r="E3110" t="s">
        <v>1041</v>
      </c>
      <c r="F3110" t="s">
        <v>91</v>
      </c>
      <c r="G3110">
        <v>1048.8499999999999</v>
      </c>
      <c r="H3110" t="s">
        <v>12</v>
      </c>
      <c r="I3110">
        <v>0</v>
      </c>
      <c r="J3110">
        <v>0</v>
      </c>
      <c r="K3110">
        <v>0</v>
      </c>
      <c r="L3110">
        <v>0</v>
      </c>
      <c r="M3110" t="s">
        <v>91</v>
      </c>
      <c r="N3110">
        <v>1048.8499999999999</v>
      </c>
      <c r="O3110" t="s">
        <v>12</v>
      </c>
      <c r="P3110" t="b">
        <v>1</v>
      </c>
      <c r="Q3110">
        <v>5656.6595416735536</v>
      </c>
      <c r="R3110">
        <v>29259.198691007536</v>
      </c>
      <c r="S3110">
        <v>17.314671530507372</v>
      </c>
      <c r="T3110">
        <v>87.647698551524869</v>
      </c>
      <c r="U3110">
        <v>0</v>
      </c>
      <c r="V3110">
        <v>0</v>
      </c>
    </row>
    <row r="3111" spans="1:22" x14ac:dyDescent="0.2">
      <c r="A3111"/>
      <c r="B3111">
        <v>72221</v>
      </c>
      <c r="C3111" t="s">
        <v>987</v>
      </c>
      <c r="D3111" t="s">
        <v>928</v>
      </c>
      <c r="E3111" t="s">
        <v>1041</v>
      </c>
      <c r="F3111" t="s">
        <v>126</v>
      </c>
      <c r="G3111">
        <v>554.16</v>
      </c>
      <c r="H3111" t="s">
        <v>12</v>
      </c>
      <c r="I3111">
        <v>0</v>
      </c>
      <c r="J3111">
        <v>0</v>
      </c>
      <c r="K3111">
        <v>0</v>
      </c>
      <c r="L3111">
        <v>0</v>
      </c>
      <c r="M3111" t="s">
        <v>126</v>
      </c>
      <c r="N3111">
        <v>554.16</v>
      </c>
      <c r="O3111" t="s">
        <v>12</v>
      </c>
      <c r="P3111" t="b">
        <v>1</v>
      </c>
      <c r="Q3111">
        <v>5711.9011026363614</v>
      </c>
      <c r="R3111">
        <v>30039.508375033907</v>
      </c>
      <c r="S3111">
        <v>8.7988968094626614</v>
      </c>
      <c r="T3111">
        <v>88.143424327103659</v>
      </c>
      <c r="U3111">
        <v>0</v>
      </c>
      <c r="V3111">
        <v>0</v>
      </c>
    </row>
    <row r="3112" spans="1:22" x14ac:dyDescent="0.2">
      <c r="A3112"/>
      <c r="B3112">
        <v>72222</v>
      </c>
      <c r="C3112" t="s">
        <v>988</v>
      </c>
      <c r="D3112" t="s">
        <v>928</v>
      </c>
      <c r="E3112" t="s">
        <v>1041</v>
      </c>
      <c r="F3112" t="s">
        <v>126</v>
      </c>
      <c r="G3112">
        <v>531.96</v>
      </c>
      <c r="H3112" t="s">
        <v>12</v>
      </c>
      <c r="I3112">
        <v>0</v>
      </c>
      <c r="J3112">
        <v>0</v>
      </c>
      <c r="K3112">
        <v>0</v>
      </c>
      <c r="L3112">
        <v>0</v>
      </c>
      <c r="M3112" t="s">
        <v>126</v>
      </c>
      <c r="N3112">
        <v>531.96</v>
      </c>
      <c r="O3112" t="s">
        <v>12</v>
      </c>
      <c r="P3112" t="b">
        <v>1</v>
      </c>
      <c r="Q3112">
        <v>5711.174965908328</v>
      </c>
      <c r="R3112">
        <v>30017.320257535022</v>
      </c>
      <c r="S3112">
        <v>8.8048278247065159</v>
      </c>
      <c r="T3112">
        <v>88.107545829649666</v>
      </c>
      <c r="U3112">
        <v>0</v>
      </c>
      <c r="V3112">
        <v>0</v>
      </c>
    </row>
    <row r="3113" spans="1:22" x14ac:dyDescent="0.2">
      <c r="A3113"/>
      <c r="B3113">
        <v>72223</v>
      </c>
      <c r="C3113" t="s">
        <v>989</v>
      </c>
      <c r="D3113" t="s">
        <v>928</v>
      </c>
      <c r="E3113" t="s">
        <v>1041</v>
      </c>
      <c r="F3113" t="s">
        <v>126</v>
      </c>
      <c r="G3113">
        <v>395.98</v>
      </c>
      <c r="H3113" t="s">
        <v>1270</v>
      </c>
      <c r="I3113">
        <v>0</v>
      </c>
      <c r="J3113">
        <v>0</v>
      </c>
      <c r="K3113">
        <v>0</v>
      </c>
      <c r="L3113">
        <v>0</v>
      </c>
      <c r="M3113" t="s">
        <v>126</v>
      </c>
      <c r="N3113">
        <v>395.98</v>
      </c>
      <c r="O3113" t="s">
        <v>12</v>
      </c>
      <c r="P3113" t="b">
        <v>0</v>
      </c>
      <c r="Q3113">
        <v>5706.4181572814387</v>
      </c>
      <c r="R3113">
        <v>29881.423571902735</v>
      </c>
      <c r="S3113">
        <v>8.8006560998096379</v>
      </c>
      <c r="T3113">
        <v>-92.118404106656669</v>
      </c>
      <c r="U3113">
        <v>0</v>
      </c>
      <c r="V3113">
        <v>0</v>
      </c>
    </row>
    <row r="3114" spans="1:22" x14ac:dyDescent="0.2">
      <c r="A3114"/>
      <c r="B3114">
        <v>72224</v>
      </c>
      <c r="C3114" t="s">
        <v>990</v>
      </c>
      <c r="D3114" t="s">
        <v>928</v>
      </c>
      <c r="E3114" t="s">
        <v>1041</v>
      </c>
      <c r="F3114" t="s">
        <v>126</v>
      </c>
      <c r="G3114">
        <v>373.78</v>
      </c>
      <c r="H3114" t="s">
        <v>1270</v>
      </c>
      <c r="I3114">
        <v>0</v>
      </c>
      <c r="J3114">
        <v>0</v>
      </c>
      <c r="K3114">
        <v>0</v>
      </c>
      <c r="L3114">
        <v>0</v>
      </c>
      <c r="M3114" t="s">
        <v>126</v>
      </c>
      <c r="N3114">
        <v>373.78</v>
      </c>
      <c r="O3114" t="s">
        <v>12</v>
      </c>
      <c r="P3114" t="b">
        <v>0</v>
      </c>
      <c r="Q3114">
        <v>5705.5902566985387</v>
      </c>
      <c r="R3114">
        <v>29859.239015255549</v>
      </c>
      <c r="S3114">
        <v>8.7991311206289602</v>
      </c>
      <c r="T3114">
        <v>-92.155513281676534</v>
      </c>
      <c r="U3114">
        <v>0</v>
      </c>
      <c r="V3114">
        <v>0</v>
      </c>
    </row>
    <row r="3115" spans="1:22" x14ac:dyDescent="0.2">
      <c r="A3115"/>
      <c r="B3115">
        <v>72225</v>
      </c>
      <c r="C3115" t="s">
        <v>991</v>
      </c>
      <c r="D3115" t="s">
        <v>928</v>
      </c>
      <c r="E3115" t="s">
        <v>1041</v>
      </c>
      <c r="F3115" t="s">
        <v>92</v>
      </c>
      <c r="G3115">
        <v>554.25999999999897</v>
      </c>
      <c r="H3115" t="s">
        <v>12</v>
      </c>
      <c r="I3115">
        <v>0</v>
      </c>
      <c r="J3115">
        <v>0</v>
      </c>
      <c r="K3115">
        <v>0</v>
      </c>
      <c r="L3115">
        <v>0</v>
      </c>
      <c r="M3115" t="s">
        <v>92</v>
      </c>
      <c r="N3115">
        <v>554.25999999999897</v>
      </c>
      <c r="O3115" t="s">
        <v>12</v>
      </c>
      <c r="P3115" t="b">
        <v>1</v>
      </c>
      <c r="Q3115">
        <v>5716.8599255629388</v>
      </c>
      <c r="R3115">
        <v>30039.351671628236</v>
      </c>
      <c r="S3115">
        <v>8.8493590866603569</v>
      </c>
      <c r="T3115">
        <v>88.126406885141648</v>
      </c>
      <c r="U3115">
        <v>0</v>
      </c>
      <c r="V3115">
        <v>0</v>
      </c>
    </row>
    <row r="3116" spans="1:22" x14ac:dyDescent="0.2">
      <c r="A3116"/>
      <c r="B3116">
        <v>72226</v>
      </c>
      <c r="C3116" t="s">
        <v>992</v>
      </c>
      <c r="D3116" t="s">
        <v>928</v>
      </c>
      <c r="E3116" t="s">
        <v>1041</v>
      </c>
      <c r="F3116" t="s">
        <v>92</v>
      </c>
      <c r="G3116">
        <v>532.05999999999904</v>
      </c>
      <c r="H3116" t="s">
        <v>12</v>
      </c>
      <c r="I3116">
        <v>0</v>
      </c>
      <c r="J3116">
        <v>0</v>
      </c>
      <c r="K3116">
        <v>0</v>
      </c>
      <c r="L3116">
        <v>0</v>
      </c>
      <c r="M3116" t="s">
        <v>92</v>
      </c>
      <c r="N3116">
        <v>532.05999999999904</v>
      </c>
      <c r="O3116" t="s">
        <v>12</v>
      </c>
      <c r="P3116" t="b">
        <v>1</v>
      </c>
      <c r="Q3116">
        <v>5716.1271872619727</v>
      </c>
      <c r="R3116">
        <v>30017.163775393401</v>
      </c>
      <c r="S3116">
        <v>8.8548345095471976</v>
      </c>
      <c r="T3116">
        <v>88.091587525942032</v>
      </c>
      <c r="U3116">
        <v>0</v>
      </c>
      <c r="V3116">
        <v>0</v>
      </c>
    </row>
    <row r="3117" spans="1:22" x14ac:dyDescent="0.2">
      <c r="A3117"/>
      <c r="B3117">
        <v>72227</v>
      </c>
      <c r="C3117" t="s">
        <v>993</v>
      </c>
      <c r="D3117" t="s">
        <v>928</v>
      </c>
      <c r="E3117" t="s">
        <v>1041</v>
      </c>
      <c r="F3117" t="s">
        <v>92</v>
      </c>
      <c r="G3117">
        <v>396.06</v>
      </c>
      <c r="H3117" t="s">
        <v>1270</v>
      </c>
      <c r="I3117">
        <v>0</v>
      </c>
      <c r="J3117">
        <v>0</v>
      </c>
      <c r="K3117">
        <v>0</v>
      </c>
      <c r="L3117">
        <v>0</v>
      </c>
      <c r="M3117" t="s">
        <v>92</v>
      </c>
      <c r="N3117">
        <v>396.06</v>
      </c>
      <c r="O3117" t="s">
        <v>12</v>
      </c>
      <c r="P3117" t="b">
        <v>0</v>
      </c>
      <c r="Q3117">
        <v>5711.3773040399237</v>
      </c>
      <c r="R3117">
        <v>29881.246802704776</v>
      </c>
      <c r="S3117">
        <v>8.8547136354021294</v>
      </c>
      <c r="T3117">
        <v>-92.085956211156116</v>
      </c>
      <c r="U3117">
        <v>0</v>
      </c>
      <c r="V3117">
        <v>0</v>
      </c>
    </row>
    <row r="3118" spans="1:22" x14ac:dyDescent="0.2">
      <c r="A3118"/>
      <c r="B3118">
        <v>72228</v>
      </c>
      <c r="C3118" t="s">
        <v>994</v>
      </c>
      <c r="D3118" t="s">
        <v>928</v>
      </c>
      <c r="E3118" t="s">
        <v>1041</v>
      </c>
      <c r="F3118" t="s">
        <v>92</v>
      </c>
      <c r="G3118">
        <v>373.86</v>
      </c>
      <c r="H3118" t="s">
        <v>1270</v>
      </c>
      <c r="I3118">
        <v>0</v>
      </c>
      <c r="J3118">
        <v>0</v>
      </c>
      <c r="K3118">
        <v>0</v>
      </c>
      <c r="L3118">
        <v>0</v>
      </c>
      <c r="M3118" t="s">
        <v>92</v>
      </c>
      <c r="N3118">
        <v>373.86</v>
      </c>
      <c r="O3118" t="s">
        <v>12</v>
      </c>
      <c r="P3118" t="b">
        <v>0</v>
      </c>
      <c r="Q3118">
        <v>5710.5645485917994</v>
      </c>
      <c r="R3118">
        <v>29859.061687245867</v>
      </c>
      <c r="S3118">
        <v>8.8619908500517131</v>
      </c>
      <c r="T3118">
        <v>-92.109967457159428</v>
      </c>
      <c r="U3118">
        <v>0</v>
      </c>
      <c r="V3118">
        <v>0</v>
      </c>
    </row>
    <row r="3119" spans="1:22" x14ac:dyDescent="0.2">
      <c r="A3119"/>
      <c r="B3119">
        <v>72229</v>
      </c>
      <c r="C3119" t="s">
        <v>995</v>
      </c>
      <c r="D3119" t="s">
        <v>928</v>
      </c>
      <c r="E3119" t="s">
        <v>1041</v>
      </c>
      <c r="F3119" t="s">
        <v>126</v>
      </c>
      <c r="G3119">
        <v>1631.48</v>
      </c>
      <c r="H3119" t="s">
        <v>1270</v>
      </c>
      <c r="I3119">
        <v>0</v>
      </c>
      <c r="J3119">
        <v>0</v>
      </c>
      <c r="K3119">
        <v>0</v>
      </c>
      <c r="L3119">
        <v>0</v>
      </c>
      <c r="M3119" t="s">
        <v>126</v>
      </c>
      <c r="N3119">
        <v>1631.48</v>
      </c>
      <c r="O3119" t="s">
        <v>12</v>
      </c>
      <c r="P3119" t="b">
        <v>0</v>
      </c>
      <c r="Q3119">
        <v>5973.7297844294571</v>
      </c>
      <c r="R3119">
        <v>31057.168502850371</v>
      </c>
      <c r="S3119">
        <v>8.9874626896369314</v>
      </c>
      <c r="T3119">
        <v>-103.16197117992147</v>
      </c>
      <c r="U3119">
        <v>0</v>
      </c>
      <c r="V3119">
        <v>0</v>
      </c>
    </row>
    <row r="3120" spans="1:22" x14ac:dyDescent="0.2">
      <c r="A3120"/>
      <c r="B3120">
        <v>72230</v>
      </c>
      <c r="C3120" t="s">
        <v>996</v>
      </c>
      <c r="D3120" t="s">
        <v>928</v>
      </c>
      <c r="E3120" t="s">
        <v>1041</v>
      </c>
      <c r="F3120" t="s">
        <v>126</v>
      </c>
      <c r="G3120">
        <v>1653.68</v>
      </c>
      <c r="H3120" t="s">
        <v>1270</v>
      </c>
      <c r="I3120">
        <v>0</v>
      </c>
      <c r="J3120">
        <v>0</v>
      </c>
      <c r="K3120">
        <v>0</v>
      </c>
      <c r="L3120">
        <v>0</v>
      </c>
      <c r="M3120" t="s">
        <v>126</v>
      </c>
      <c r="N3120">
        <v>1653.68</v>
      </c>
      <c r="O3120" t="s">
        <v>12</v>
      </c>
      <c r="P3120" t="b">
        <v>0</v>
      </c>
      <c r="Q3120">
        <v>5978.7719212732791</v>
      </c>
      <c r="R3120">
        <v>31078.788327124163</v>
      </c>
      <c r="S3120">
        <v>8.9883706031858033</v>
      </c>
      <c r="T3120">
        <v>-103.09657223077717</v>
      </c>
      <c r="U3120">
        <v>0</v>
      </c>
      <c r="V3120">
        <v>0</v>
      </c>
    </row>
    <row r="3121" spans="1:22" x14ac:dyDescent="0.2">
      <c r="A3121"/>
      <c r="B3121">
        <v>72231</v>
      </c>
      <c r="C3121" t="s">
        <v>997</v>
      </c>
      <c r="D3121" t="s">
        <v>928</v>
      </c>
      <c r="E3121" t="s">
        <v>1041</v>
      </c>
      <c r="F3121" t="s">
        <v>126</v>
      </c>
      <c r="G3121">
        <v>1789.68</v>
      </c>
      <c r="H3121" t="s">
        <v>12</v>
      </c>
      <c r="I3121">
        <v>0</v>
      </c>
      <c r="J3121">
        <v>0</v>
      </c>
      <c r="K3121">
        <v>0</v>
      </c>
      <c r="L3121">
        <v>0</v>
      </c>
      <c r="M3121" t="s">
        <v>126</v>
      </c>
      <c r="N3121">
        <v>1789.68</v>
      </c>
      <c r="O3121" t="s">
        <v>12</v>
      </c>
      <c r="P3121" t="b">
        <v>1</v>
      </c>
      <c r="Q3121">
        <v>6009.4504830855722</v>
      </c>
      <c r="R3121">
        <v>31211.282939033685</v>
      </c>
      <c r="S3121">
        <v>8.9837690196025228</v>
      </c>
      <c r="T3121">
        <v>76.909927226130307</v>
      </c>
      <c r="U3121">
        <v>0</v>
      </c>
      <c r="V3121">
        <v>0</v>
      </c>
    </row>
    <row r="3122" spans="1:22" x14ac:dyDescent="0.2">
      <c r="A3122"/>
      <c r="B3122">
        <v>72232</v>
      </c>
      <c r="C3122" t="s">
        <v>998</v>
      </c>
      <c r="D3122" t="s">
        <v>928</v>
      </c>
      <c r="E3122" t="s">
        <v>1041</v>
      </c>
      <c r="F3122" t="s">
        <v>126</v>
      </c>
      <c r="G3122">
        <v>1811.88</v>
      </c>
      <c r="H3122" t="s">
        <v>12</v>
      </c>
      <c r="I3122">
        <v>0</v>
      </c>
      <c r="J3122">
        <v>0</v>
      </c>
      <c r="K3122">
        <v>0</v>
      </c>
      <c r="L3122">
        <v>0</v>
      </c>
      <c r="M3122" t="s">
        <v>126</v>
      </c>
      <c r="N3122">
        <v>1811.88</v>
      </c>
      <c r="O3122" t="s">
        <v>12</v>
      </c>
      <c r="P3122" t="b">
        <v>1</v>
      </c>
      <c r="Q3122">
        <v>6014.4897651703614</v>
      </c>
      <c r="R3122">
        <v>31232.903428859623</v>
      </c>
      <c r="S3122">
        <v>8.9813953919373759</v>
      </c>
      <c r="T3122">
        <v>76.846761888481637</v>
      </c>
      <c r="U3122">
        <v>0</v>
      </c>
      <c r="V3122">
        <v>0</v>
      </c>
    </row>
    <row r="3123" spans="1:22" x14ac:dyDescent="0.2">
      <c r="A3123"/>
      <c r="B3123">
        <v>72233</v>
      </c>
      <c r="C3123" t="s">
        <v>999</v>
      </c>
      <c r="D3123" t="s">
        <v>928</v>
      </c>
      <c r="E3123" t="s">
        <v>1041</v>
      </c>
      <c r="F3123" t="s">
        <v>92</v>
      </c>
      <c r="G3123">
        <v>1811.13</v>
      </c>
      <c r="H3123" t="s">
        <v>12</v>
      </c>
      <c r="I3123">
        <v>0</v>
      </c>
      <c r="J3123">
        <v>0</v>
      </c>
      <c r="K3123">
        <v>0</v>
      </c>
      <c r="L3123">
        <v>0</v>
      </c>
      <c r="M3123" t="s">
        <v>92</v>
      </c>
      <c r="N3123">
        <v>1811.13</v>
      </c>
      <c r="O3123" t="s">
        <v>12</v>
      </c>
      <c r="P3123" t="b">
        <v>1</v>
      </c>
      <c r="Q3123">
        <v>6019.2115734357249</v>
      </c>
      <c r="R3123">
        <v>31231.925312606592</v>
      </c>
      <c r="S3123">
        <v>9.0487904687646772</v>
      </c>
      <c r="T3123">
        <v>76.887585379294549</v>
      </c>
      <c r="U3123">
        <v>0</v>
      </c>
      <c r="V3123">
        <v>0</v>
      </c>
    </row>
    <row r="3124" spans="1:22" x14ac:dyDescent="0.2">
      <c r="A3124"/>
      <c r="B3124">
        <v>72234</v>
      </c>
      <c r="C3124" t="s">
        <v>1000</v>
      </c>
      <c r="D3124" t="s">
        <v>928</v>
      </c>
      <c r="E3124" t="s">
        <v>1041</v>
      </c>
      <c r="F3124" t="s">
        <v>92</v>
      </c>
      <c r="G3124">
        <v>1788.93</v>
      </c>
      <c r="H3124" t="s">
        <v>12</v>
      </c>
      <c r="I3124">
        <v>0</v>
      </c>
      <c r="J3124">
        <v>0</v>
      </c>
      <c r="K3124">
        <v>0</v>
      </c>
      <c r="L3124">
        <v>0</v>
      </c>
      <c r="M3124" t="s">
        <v>92</v>
      </c>
      <c r="N3124">
        <v>1788.93</v>
      </c>
      <c r="O3124" t="s">
        <v>12</v>
      </c>
      <c r="P3124" t="b">
        <v>1</v>
      </c>
      <c r="Q3124">
        <v>6014.20188982541</v>
      </c>
      <c r="R3124">
        <v>31210.297949239713</v>
      </c>
      <c r="S3124">
        <v>9.0483485943872477</v>
      </c>
      <c r="T3124">
        <v>77.02117827314332</v>
      </c>
      <c r="U3124">
        <v>0</v>
      </c>
      <c r="V3124">
        <v>0</v>
      </c>
    </row>
    <row r="3125" spans="1:22" x14ac:dyDescent="0.2">
      <c r="A3125"/>
      <c r="B3125">
        <v>72235</v>
      </c>
      <c r="C3125" t="s">
        <v>1001</v>
      </c>
      <c r="D3125" t="s">
        <v>928</v>
      </c>
      <c r="E3125" t="s">
        <v>1041</v>
      </c>
      <c r="F3125" t="s">
        <v>92</v>
      </c>
      <c r="G3125">
        <v>1652.75999999999</v>
      </c>
      <c r="H3125" t="s">
        <v>1270</v>
      </c>
      <c r="I3125">
        <v>0</v>
      </c>
      <c r="J3125">
        <v>0</v>
      </c>
      <c r="K3125">
        <v>0</v>
      </c>
      <c r="L3125">
        <v>0</v>
      </c>
      <c r="M3125" t="s">
        <v>92</v>
      </c>
      <c r="N3125">
        <v>1652.75999999999</v>
      </c>
      <c r="O3125" t="s">
        <v>12</v>
      </c>
      <c r="P3125" t="b">
        <v>0</v>
      </c>
      <c r="Q3125">
        <v>5983.7342440199973</v>
      </c>
      <c r="R3125">
        <v>31077.580391499101</v>
      </c>
      <c r="S3125">
        <v>9.0491088253611718</v>
      </c>
      <c r="T3125">
        <v>-103.17248471529415</v>
      </c>
      <c r="U3125">
        <v>0</v>
      </c>
      <c r="V3125">
        <v>0</v>
      </c>
    </row>
    <row r="3126" spans="1:22" x14ac:dyDescent="0.2">
      <c r="A3126"/>
      <c r="B3126">
        <v>72236</v>
      </c>
      <c r="C3126" t="s">
        <v>1002</v>
      </c>
      <c r="D3126" t="s">
        <v>928</v>
      </c>
      <c r="E3126" t="s">
        <v>1041</v>
      </c>
      <c r="F3126" t="s">
        <v>92</v>
      </c>
      <c r="G3126">
        <v>1630.5599999999899</v>
      </c>
      <c r="H3126" t="s">
        <v>1270</v>
      </c>
      <c r="I3126">
        <v>0</v>
      </c>
      <c r="J3126">
        <v>0</v>
      </c>
      <c r="K3126">
        <v>0</v>
      </c>
      <c r="L3126">
        <v>0</v>
      </c>
      <c r="M3126" t="s">
        <v>92</v>
      </c>
      <c r="N3126">
        <v>1630.5599999999899</v>
      </c>
      <c r="O3126" t="s">
        <v>12</v>
      </c>
      <c r="P3126" t="b">
        <v>0</v>
      </c>
      <c r="Q3126">
        <v>5978.6387676349104</v>
      </c>
      <c r="R3126">
        <v>31055.973086943024</v>
      </c>
      <c r="S3126">
        <v>9.0477710911937077</v>
      </c>
      <c r="T3126">
        <v>-103.3739701205361</v>
      </c>
      <c r="U3126">
        <v>0</v>
      </c>
      <c r="V3126">
        <v>0</v>
      </c>
    </row>
    <row r="3127" spans="1:22" x14ac:dyDescent="0.2">
      <c r="A3127"/>
      <c r="B3127">
        <v>72237</v>
      </c>
      <c r="C3127" t="s">
        <v>1003</v>
      </c>
      <c r="D3127" t="s">
        <v>928</v>
      </c>
      <c r="E3127" t="s">
        <v>1041</v>
      </c>
      <c r="F3127" t="s">
        <v>126</v>
      </c>
      <c r="G3127">
        <v>2334.11</v>
      </c>
      <c r="H3127" t="s">
        <v>1270</v>
      </c>
      <c r="I3127">
        <v>0</v>
      </c>
      <c r="J3127">
        <v>0</v>
      </c>
      <c r="K3127">
        <v>0</v>
      </c>
      <c r="L3127">
        <v>0</v>
      </c>
      <c r="M3127" t="s">
        <v>126</v>
      </c>
      <c r="N3127">
        <v>2334.11</v>
      </c>
      <c r="O3127" t="s">
        <v>12</v>
      </c>
      <c r="P3127" t="b">
        <v>0</v>
      </c>
      <c r="Q3127">
        <v>6249.6169337225992</v>
      </c>
      <c r="R3127">
        <v>31691.361930847608</v>
      </c>
      <c r="S3127">
        <v>0.97104525382910034</v>
      </c>
      <c r="T3127">
        <v>-135.53627585576953</v>
      </c>
      <c r="U3127">
        <v>0</v>
      </c>
      <c r="V3127">
        <v>0</v>
      </c>
    </row>
    <row r="3128" spans="1:22" x14ac:dyDescent="0.2">
      <c r="A3128"/>
      <c r="B3128">
        <v>72238</v>
      </c>
      <c r="C3128" t="s">
        <v>1004</v>
      </c>
      <c r="D3128" t="s">
        <v>928</v>
      </c>
      <c r="E3128" t="s">
        <v>1041</v>
      </c>
      <c r="F3128" t="s">
        <v>126</v>
      </c>
      <c r="G3128">
        <v>2356.3099999999899</v>
      </c>
      <c r="H3128" t="s">
        <v>1270</v>
      </c>
      <c r="I3128">
        <v>0</v>
      </c>
      <c r="J3128">
        <v>0</v>
      </c>
      <c r="K3128">
        <v>0</v>
      </c>
      <c r="L3128">
        <v>0</v>
      </c>
      <c r="M3128" t="s">
        <v>126</v>
      </c>
      <c r="N3128">
        <v>2356.3099999999899</v>
      </c>
      <c r="O3128" t="s">
        <v>12</v>
      </c>
      <c r="P3128" t="b">
        <v>0</v>
      </c>
      <c r="Q3128">
        <v>6265.4635470328012</v>
      </c>
      <c r="R3128">
        <v>31706.909433559114</v>
      </c>
      <c r="S3128">
        <v>0.97228729262296221</v>
      </c>
      <c r="T3128">
        <v>-135.55521614789731</v>
      </c>
      <c r="U3128">
        <v>0</v>
      </c>
      <c r="V3128">
        <v>0</v>
      </c>
    </row>
    <row r="3129" spans="1:22" x14ac:dyDescent="0.2">
      <c r="A3129"/>
      <c r="B3129">
        <v>72239</v>
      </c>
      <c r="C3129" t="s">
        <v>1005</v>
      </c>
      <c r="D3129" t="s">
        <v>928</v>
      </c>
      <c r="E3129" t="s">
        <v>1041</v>
      </c>
      <c r="F3129" t="s">
        <v>126</v>
      </c>
      <c r="G3129">
        <v>2492.46</v>
      </c>
      <c r="H3129" t="s">
        <v>12</v>
      </c>
      <c r="I3129">
        <v>0</v>
      </c>
      <c r="J3129">
        <v>0</v>
      </c>
      <c r="K3129">
        <v>0</v>
      </c>
      <c r="L3129">
        <v>0</v>
      </c>
      <c r="M3129" t="s">
        <v>126</v>
      </c>
      <c r="N3129">
        <v>2492.46</v>
      </c>
      <c r="O3129" t="s">
        <v>12</v>
      </c>
      <c r="P3129" t="b">
        <v>1</v>
      </c>
      <c r="Q3129">
        <v>6362.7410524727602</v>
      </c>
      <c r="R3129">
        <v>31802.16648678252</v>
      </c>
      <c r="S3129">
        <v>0.97749110593740007</v>
      </c>
      <c r="T3129">
        <v>44.362427466094353</v>
      </c>
      <c r="U3129">
        <v>0</v>
      </c>
      <c r="V3129">
        <v>0</v>
      </c>
    </row>
    <row r="3130" spans="1:22" x14ac:dyDescent="0.2">
      <c r="A3130"/>
      <c r="B3130">
        <v>72240</v>
      </c>
      <c r="C3130" t="s">
        <v>1006</v>
      </c>
      <c r="D3130" t="s">
        <v>928</v>
      </c>
      <c r="E3130" t="s">
        <v>1041</v>
      </c>
      <c r="F3130" t="s">
        <v>126</v>
      </c>
      <c r="G3130">
        <v>2514.6599999999899</v>
      </c>
      <c r="H3130" t="s">
        <v>12</v>
      </c>
      <c r="I3130">
        <v>0</v>
      </c>
      <c r="J3130">
        <v>0</v>
      </c>
      <c r="K3130">
        <v>0</v>
      </c>
      <c r="L3130">
        <v>0</v>
      </c>
      <c r="M3130" t="s">
        <v>126</v>
      </c>
      <c r="N3130">
        <v>2514.6599999999899</v>
      </c>
      <c r="O3130" t="s">
        <v>12</v>
      </c>
      <c r="P3130" t="b">
        <v>1</v>
      </c>
      <c r="Q3130">
        <v>6378.6136308184705</v>
      </c>
      <c r="R3130">
        <v>31817.687472735539</v>
      </c>
      <c r="S3130">
        <v>0.97012432522235537</v>
      </c>
      <c r="T3130">
        <v>44.354531780765065</v>
      </c>
      <c r="U3130">
        <v>0</v>
      </c>
      <c r="V3130">
        <v>0</v>
      </c>
    </row>
    <row r="3131" spans="1:22" x14ac:dyDescent="0.2">
      <c r="A3131"/>
      <c r="B3131">
        <v>72241</v>
      </c>
      <c r="C3131" t="s">
        <v>1007</v>
      </c>
      <c r="D3131" t="s">
        <v>928</v>
      </c>
      <c r="E3131" t="s">
        <v>1041</v>
      </c>
      <c r="F3131" t="s">
        <v>92</v>
      </c>
      <c r="G3131">
        <v>2330.58</v>
      </c>
      <c r="H3131" t="s">
        <v>1270</v>
      </c>
      <c r="I3131">
        <v>0</v>
      </c>
      <c r="J3131">
        <v>0</v>
      </c>
      <c r="K3131">
        <v>0</v>
      </c>
      <c r="L3131">
        <v>0</v>
      </c>
      <c r="M3131" t="s">
        <v>92</v>
      </c>
      <c r="N3131">
        <v>2330.58</v>
      </c>
      <c r="O3131" t="s">
        <v>12</v>
      </c>
      <c r="P3131" t="b">
        <v>0</v>
      </c>
      <c r="Q3131">
        <v>6253.1894790647157</v>
      </c>
      <c r="R3131">
        <v>31687.916144594903</v>
      </c>
      <c r="S3131">
        <v>0.99086366363422806</v>
      </c>
      <c r="T3131">
        <v>-135.50753718891534</v>
      </c>
      <c r="U3131">
        <v>0</v>
      </c>
      <c r="V3131">
        <v>0</v>
      </c>
    </row>
    <row r="3132" spans="1:22" x14ac:dyDescent="0.2">
      <c r="A3132"/>
      <c r="B3132">
        <v>72242</v>
      </c>
      <c r="C3132" t="s">
        <v>1008</v>
      </c>
      <c r="D3132" t="s">
        <v>928</v>
      </c>
      <c r="E3132" t="s">
        <v>1041</v>
      </c>
      <c r="F3132" t="s">
        <v>92</v>
      </c>
      <c r="G3132">
        <v>2352.7800000000002</v>
      </c>
      <c r="H3132" t="s">
        <v>1270</v>
      </c>
      <c r="I3132">
        <v>0</v>
      </c>
      <c r="J3132">
        <v>0</v>
      </c>
      <c r="K3132">
        <v>0</v>
      </c>
      <c r="L3132">
        <v>0</v>
      </c>
      <c r="M3132" t="s">
        <v>92</v>
      </c>
      <c r="N3132">
        <v>2352.7800000000002</v>
      </c>
      <c r="O3132" t="s">
        <v>12</v>
      </c>
      <c r="P3132" t="b">
        <v>0</v>
      </c>
      <c r="Q3132">
        <v>6269.0288440941986</v>
      </c>
      <c r="R3132">
        <v>31703.471031513538</v>
      </c>
      <c r="S3132">
        <v>0.98958064804406698</v>
      </c>
      <c r="T3132">
        <v>-135.53056076734069</v>
      </c>
      <c r="U3132">
        <v>0</v>
      </c>
      <c r="V3132">
        <v>0</v>
      </c>
    </row>
    <row r="3133" spans="1:22" x14ac:dyDescent="0.2">
      <c r="A3133"/>
      <c r="B3133">
        <v>72243</v>
      </c>
      <c r="C3133" t="s">
        <v>1009</v>
      </c>
      <c r="D3133" t="s">
        <v>928</v>
      </c>
      <c r="E3133" t="s">
        <v>1041</v>
      </c>
      <c r="F3133" t="s">
        <v>92</v>
      </c>
      <c r="G3133">
        <v>2488.94</v>
      </c>
      <c r="H3133" t="s">
        <v>12</v>
      </c>
      <c r="I3133">
        <v>0</v>
      </c>
      <c r="J3133">
        <v>0</v>
      </c>
      <c r="K3133">
        <v>0</v>
      </c>
      <c r="L3133">
        <v>0</v>
      </c>
      <c r="M3133" t="s">
        <v>92</v>
      </c>
      <c r="N3133">
        <v>2488.94</v>
      </c>
      <c r="O3133" t="s">
        <v>12</v>
      </c>
      <c r="P3133" t="b">
        <v>1</v>
      </c>
      <c r="Q3133">
        <v>6366.2945475353554</v>
      </c>
      <c r="R3133">
        <v>31798.754410392081</v>
      </c>
      <c r="S3133">
        <v>1.0093525488869646</v>
      </c>
      <c r="T3133">
        <v>44.359957177695847</v>
      </c>
      <c r="U3133">
        <v>0</v>
      </c>
      <c r="V3133">
        <v>0</v>
      </c>
    </row>
    <row r="3134" spans="1:22" x14ac:dyDescent="0.2">
      <c r="A3134"/>
      <c r="B3134">
        <v>72244</v>
      </c>
      <c r="C3134" t="s">
        <v>1010</v>
      </c>
      <c r="D3134" t="s">
        <v>928</v>
      </c>
      <c r="E3134" t="s">
        <v>1041</v>
      </c>
      <c r="F3134" t="s">
        <v>92</v>
      </c>
      <c r="G3134">
        <v>2511.1399999999899</v>
      </c>
      <c r="H3134" t="s">
        <v>12</v>
      </c>
      <c r="I3134">
        <v>0</v>
      </c>
      <c r="J3134">
        <v>0</v>
      </c>
      <c r="K3134">
        <v>0</v>
      </c>
      <c r="L3134">
        <v>0</v>
      </c>
      <c r="M3134" t="s">
        <v>92</v>
      </c>
      <c r="N3134">
        <v>2511.1399999999899</v>
      </c>
      <c r="O3134" t="s">
        <v>12</v>
      </c>
      <c r="P3134" t="b">
        <v>1</v>
      </c>
      <c r="Q3134">
        <v>6382.1684370952844</v>
      </c>
      <c r="R3134">
        <v>31814.274058291456</v>
      </c>
      <c r="S3134">
        <v>1.0104771801446806</v>
      </c>
      <c r="T3134">
        <v>44.34738221646203</v>
      </c>
      <c r="U3134">
        <v>0</v>
      </c>
      <c r="V3134">
        <v>0</v>
      </c>
    </row>
    <row r="3135" spans="1:22" x14ac:dyDescent="0.2">
      <c r="A3135"/>
      <c r="B3135">
        <v>72245</v>
      </c>
      <c r="C3135" t="s">
        <v>1011</v>
      </c>
      <c r="D3135" t="s">
        <v>928</v>
      </c>
      <c r="E3135" t="s">
        <v>1041</v>
      </c>
      <c r="F3135" t="s">
        <v>126</v>
      </c>
      <c r="G3135">
        <v>4149.6399999999903</v>
      </c>
      <c r="H3135" t="s">
        <v>12</v>
      </c>
      <c r="I3135">
        <v>0</v>
      </c>
      <c r="J3135">
        <v>0</v>
      </c>
      <c r="K3135">
        <v>0</v>
      </c>
      <c r="L3135">
        <v>0</v>
      </c>
      <c r="M3135" t="s">
        <v>126</v>
      </c>
      <c r="N3135">
        <v>4149.6399999999903</v>
      </c>
      <c r="O3135" t="s">
        <v>12</v>
      </c>
      <c r="P3135" t="b">
        <v>1</v>
      </c>
      <c r="Q3135">
        <v>6709.241287868399</v>
      </c>
      <c r="R3135">
        <v>33254.399528501221</v>
      </c>
      <c r="S3135">
        <v>1.8730012594196452</v>
      </c>
      <c r="T3135">
        <v>105.65089110531723</v>
      </c>
      <c r="U3135">
        <v>0</v>
      </c>
      <c r="V3135">
        <v>0</v>
      </c>
    </row>
    <row r="3136" spans="1:22" x14ac:dyDescent="0.2">
      <c r="A3136"/>
      <c r="B3136">
        <v>72246</v>
      </c>
      <c r="C3136" t="s">
        <v>1012</v>
      </c>
      <c r="D3136" t="s">
        <v>928</v>
      </c>
      <c r="E3136" t="s">
        <v>1041</v>
      </c>
      <c r="F3136" t="s">
        <v>126</v>
      </c>
      <c r="G3136">
        <v>4127.4399999999896</v>
      </c>
      <c r="H3136" t="s">
        <v>12</v>
      </c>
      <c r="I3136">
        <v>0</v>
      </c>
      <c r="J3136">
        <v>0</v>
      </c>
      <c r="K3136">
        <v>0</v>
      </c>
      <c r="L3136">
        <v>0</v>
      </c>
      <c r="M3136" t="s">
        <v>126</v>
      </c>
      <c r="N3136">
        <v>4127.4399999999896</v>
      </c>
      <c r="O3136" t="s">
        <v>12</v>
      </c>
      <c r="P3136" t="b">
        <v>1</v>
      </c>
      <c r="Q3136">
        <v>6715.212115310519</v>
      </c>
      <c r="R3136">
        <v>33233.017548375989</v>
      </c>
      <c r="S3136">
        <v>1.8783103752384633</v>
      </c>
      <c r="T3136">
        <v>105.55541847854342</v>
      </c>
      <c r="U3136">
        <v>0</v>
      </c>
      <c r="V3136">
        <v>0</v>
      </c>
    </row>
    <row r="3137" spans="1:22" x14ac:dyDescent="0.2">
      <c r="A3137"/>
      <c r="B3137">
        <v>72247</v>
      </c>
      <c r="C3137" t="s">
        <v>1013</v>
      </c>
      <c r="D3137" t="s">
        <v>928</v>
      </c>
      <c r="E3137" t="s">
        <v>1041</v>
      </c>
      <c r="F3137" t="s">
        <v>126</v>
      </c>
      <c r="G3137">
        <v>3991.36</v>
      </c>
      <c r="H3137" t="s">
        <v>1270</v>
      </c>
      <c r="I3137">
        <v>0</v>
      </c>
      <c r="J3137">
        <v>0</v>
      </c>
      <c r="K3137">
        <v>0</v>
      </c>
      <c r="L3137">
        <v>0</v>
      </c>
      <c r="M3137" t="s">
        <v>126</v>
      </c>
      <c r="N3137">
        <v>3991.36</v>
      </c>
      <c r="O3137" t="s">
        <v>12</v>
      </c>
      <c r="P3137" t="b">
        <v>0</v>
      </c>
      <c r="Q3137">
        <v>6751.4564168571505</v>
      </c>
      <c r="R3137">
        <v>33101.853122352062</v>
      </c>
      <c r="S3137">
        <v>1.8718134946170208</v>
      </c>
      <c r="T3137">
        <v>-74.476507627126907</v>
      </c>
      <c r="U3137">
        <v>0</v>
      </c>
      <c r="V3137">
        <v>0</v>
      </c>
    </row>
    <row r="3138" spans="1:22" x14ac:dyDescent="0.2">
      <c r="A3138"/>
      <c r="B3138">
        <v>72248</v>
      </c>
      <c r="C3138" t="s">
        <v>1014</v>
      </c>
      <c r="D3138" t="s">
        <v>928</v>
      </c>
      <c r="E3138" t="s">
        <v>1041</v>
      </c>
      <c r="F3138" t="s">
        <v>126</v>
      </c>
      <c r="G3138">
        <v>3969.16</v>
      </c>
      <c r="H3138" t="s">
        <v>1270</v>
      </c>
      <c r="I3138">
        <v>0</v>
      </c>
      <c r="J3138">
        <v>0</v>
      </c>
      <c r="K3138">
        <v>0</v>
      </c>
      <c r="L3138">
        <v>0</v>
      </c>
      <c r="M3138" t="s">
        <v>126</v>
      </c>
      <c r="N3138">
        <v>3969.16</v>
      </c>
      <c r="O3138" t="s">
        <v>12</v>
      </c>
      <c r="P3138" t="b">
        <v>0</v>
      </c>
      <c r="Q3138">
        <v>6757.4157445317396</v>
      </c>
      <c r="R3138">
        <v>33080.467933973647</v>
      </c>
      <c r="S3138">
        <v>1.8696513773388175</v>
      </c>
      <c r="T3138">
        <v>-74.375824987331256</v>
      </c>
      <c r="U3138">
        <v>0</v>
      </c>
      <c r="V3138">
        <v>0</v>
      </c>
    </row>
    <row r="3139" spans="1:22" x14ac:dyDescent="0.2">
      <c r="A3139"/>
      <c r="B3139">
        <v>72249</v>
      </c>
      <c r="C3139" t="s">
        <v>1015</v>
      </c>
      <c r="D3139" t="s">
        <v>928</v>
      </c>
      <c r="E3139" t="s">
        <v>1041</v>
      </c>
      <c r="F3139" t="s">
        <v>92</v>
      </c>
      <c r="G3139">
        <v>3969.22</v>
      </c>
      <c r="H3139" t="s">
        <v>1270</v>
      </c>
      <c r="I3139">
        <v>0</v>
      </c>
      <c r="J3139">
        <v>0</v>
      </c>
      <c r="K3139">
        <v>0</v>
      </c>
      <c r="L3139">
        <v>0</v>
      </c>
      <c r="M3139" t="s">
        <v>92</v>
      </c>
      <c r="N3139">
        <v>3969.22</v>
      </c>
      <c r="O3139" t="s">
        <v>12</v>
      </c>
      <c r="P3139" t="b">
        <v>0</v>
      </c>
      <c r="Q3139">
        <v>6762.6381371026027</v>
      </c>
      <c r="R3139">
        <v>33080.317038556714</v>
      </c>
      <c r="S3139">
        <v>1.8930150745551377</v>
      </c>
      <c r="T3139">
        <v>-74.642139348860127</v>
      </c>
      <c r="U3139">
        <v>0</v>
      </c>
      <c r="V3139">
        <v>0</v>
      </c>
    </row>
    <row r="3140" spans="1:22" x14ac:dyDescent="0.2">
      <c r="A3140"/>
      <c r="B3140">
        <v>72250</v>
      </c>
      <c r="C3140" t="s">
        <v>1016</v>
      </c>
      <c r="D3140" t="s">
        <v>928</v>
      </c>
      <c r="E3140" t="s">
        <v>1041</v>
      </c>
      <c r="F3140" t="s">
        <v>92</v>
      </c>
      <c r="G3140">
        <v>3991.42</v>
      </c>
      <c r="H3140" t="s">
        <v>1270</v>
      </c>
      <c r="I3140">
        <v>0</v>
      </c>
      <c r="J3140">
        <v>0</v>
      </c>
      <c r="K3140">
        <v>0</v>
      </c>
      <c r="L3140">
        <v>0</v>
      </c>
      <c r="M3140" t="s">
        <v>92</v>
      </c>
      <c r="N3140">
        <v>3991.42</v>
      </c>
      <c r="O3140" t="s">
        <v>12</v>
      </c>
      <c r="P3140" t="b">
        <v>0</v>
      </c>
      <c r="Q3140">
        <v>6756.7322962924627</v>
      </c>
      <c r="R3140">
        <v>33101.717058439361</v>
      </c>
      <c r="S3140">
        <v>1.8937307028869559</v>
      </c>
      <c r="T3140">
        <v>-74.523407796767827</v>
      </c>
      <c r="U3140">
        <v>0</v>
      </c>
      <c r="V3140">
        <v>0</v>
      </c>
    </row>
    <row r="3141" spans="1:22" x14ac:dyDescent="0.2">
      <c r="A3141"/>
      <c r="B3141">
        <v>72251</v>
      </c>
      <c r="C3141" t="s">
        <v>1017</v>
      </c>
      <c r="D3141" t="s">
        <v>928</v>
      </c>
      <c r="E3141" t="s">
        <v>1041</v>
      </c>
      <c r="F3141" t="s">
        <v>92</v>
      </c>
      <c r="G3141">
        <v>4127.3900000000003</v>
      </c>
      <c r="H3141" t="s">
        <v>12</v>
      </c>
      <c r="I3141">
        <v>0</v>
      </c>
      <c r="J3141">
        <v>0</v>
      </c>
      <c r="K3141">
        <v>0</v>
      </c>
      <c r="L3141">
        <v>0</v>
      </c>
      <c r="M3141" t="s">
        <v>92</v>
      </c>
      <c r="N3141">
        <v>4127.3900000000003</v>
      </c>
      <c r="O3141" t="s">
        <v>12</v>
      </c>
      <c r="P3141" t="b">
        <v>1</v>
      </c>
      <c r="Q3141">
        <v>6720.4006673191607</v>
      </c>
      <c r="R3141">
        <v>33232.743184681407</v>
      </c>
      <c r="S3141">
        <v>1.9050718238220423</v>
      </c>
      <c r="T3141">
        <v>105.40879293435621</v>
      </c>
      <c r="U3141">
        <v>0</v>
      </c>
      <c r="V3141">
        <v>0</v>
      </c>
    </row>
    <row r="3142" spans="1:22" x14ac:dyDescent="0.2">
      <c r="A3142"/>
      <c r="B3142">
        <v>72252</v>
      </c>
      <c r="C3142" t="s">
        <v>1018</v>
      </c>
      <c r="D3142" t="s">
        <v>928</v>
      </c>
      <c r="E3142" t="s">
        <v>1041</v>
      </c>
      <c r="F3142" t="s">
        <v>92</v>
      </c>
      <c r="G3142">
        <v>4149.59</v>
      </c>
      <c r="H3142" t="s">
        <v>12</v>
      </c>
      <c r="I3142">
        <v>0</v>
      </c>
      <c r="J3142">
        <v>0</v>
      </c>
      <c r="K3142">
        <v>0</v>
      </c>
      <c r="L3142">
        <v>0</v>
      </c>
      <c r="M3142" t="s">
        <v>92</v>
      </c>
      <c r="N3142">
        <v>4149.59</v>
      </c>
      <c r="O3142" t="s">
        <v>12</v>
      </c>
      <c r="P3142" t="b">
        <v>1</v>
      </c>
      <c r="Q3142">
        <v>6714.4957613884953</v>
      </c>
      <c r="R3142">
        <v>33254.143463756605</v>
      </c>
      <c r="S3142">
        <v>1.9139217997955427</v>
      </c>
      <c r="T3142">
        <v>105.47698294922756</v>
      </c>
      <c r="U3142">
        <v>0</v>
      </c>
      <c r="V3142">
        <v>0</v>
      </c>
    </row>
    <row r="3143" spans="1:22" x14ac:dyDescent="0.2">
      <c r="A3143"/>
      <c r="B3143">
        <v>72253</v>
      </c>
      <c r="C3143" t="s">
        <v>1019</v>
      </c>
      <c r="D3143" t="s">
        <v>928</v>
      </c>
      <c r="E3143" t="s">
        <v>1041</v>
      </c>
      <c r="F3143" t="s">
        <v>126</v>
      </c>
      <c r="G3143">
        <v>4806.3599999999997</v>
      </c>
      <c r="H3143" t="s">
        <v>1270</v>
      </c>
      <c r="I3143">
        <v>0</v>
      </c>
      <c r="J3143">
        <v>0</v>
      </c>
      <c r="K3143">
        <v>0</v>
      </c>
      <c r="L3143">
        <v>0</v>
      </c>
      <c r="M3143" t="s">
        <v>126</v>
      </c>
      <c r="N3143">
        <v>4806.3599999999997</v>
      </c>
      <c r="O3143" t="s">
        <v>12</v>
      </c>
      <c r="P3143" t="b">
        <v>0</v>
      </c>
      <c r="Q3143">
        <v>6531.0829515259111</v>
      </c>
      <c r="R3143">
        <v>33886.334623937204</v>
      </c>
      <c r="S3143">
        <v>4.316061025105741</v>
      </c>
      <c r="T3143">
        <v>-74.983425499704097</v>
      </c>
      <c r="U3143">
        <v>0</v>
      </c>
      <c r="V3143">
        <v>0</v>
      </c>
    </row>
    <row r="3144" spans="1:22" x14ac:dyDescent="0.2">
      <c r="A3144"/>
      <c r="B3144">
        <v>72254</v>
      </c>
      <c r="C3144" t="s">
        <v>1020</v>
      </c>
      <c r="D3144" t="s">
        <v>928</v>
      </c>
      <c r="E3144" t="s">
        <v>1041</v>
      </c>
      <c r="F3144" t="s">
        <v>126</v>
      </c>
      <c r="G3144">
        <v>4828.5600000000004</v>
      </c>
      <c r="H3144" t="s">
        <v>1270</v>
      </c>
      <c r="I3144">
        <v>0</v>
      </c>
      <c r="J3144">
        <v>0</v>
      </c>
      <c r="K3144">
        <v>0</v>
      </c>
      <c r="L3144">
        <v>0</v>
      </c>
      <c r="M3144" t="s">
        <v>126</v>
      </c>
      <c r="N3144">
        <v>4828.5600000000004</v>
      </c>
      <c r="O3144" t="s">
        <v>12</v>
      </c>
      <c r="P3144" t="b">
        <v>0</v>
      </c>
      <c r="Q3144">
        <v>6525.3306860423663</v>
      </c>
      <c r="R3144">
        <v>33907.776439119196</v>
      </c>
      <c r="S3144">
        <v>4.317921440552313</v>
      </c>
      <c r="T3144">
        <v>-74.982334823939624</v>
      </c>
      <c r="U3144">
        <v>0</v>
      </c>
      <c r="V3144">
        <v>0</v>
      </c>
    </row>
    <row r="3145" spans="1:22" x14ac:dyDescent="0.2">
      <c r="A3145"/>
      <c r="B3145">
        <v>72255</v>
      </c>
      <c r="C3145" t="s">
        <v>1021</v>
      </c>
      <c r="D3145" t="s">
        <v>928</v>
      </c>
      <c r="E3145" t="s">
        <v>1041</v>
      </c>
      <c r="F3145" t="s">
        <v>126</v>
      </c>
      <c r="G3145">
        <v>4964.7700000000004</v>
      </c>
      <c r="H3145" t="s">
        <v>12</v>
      </c>
      <c r="I3145">
        <v>0</v>
      </c>
      <c r="J3145">
        <v>0</v>
      </c>
      <c r="K3145">
        <v>0</v>
      </c>
      <c r="L3145">
        <v>0</v>
      </c>
      <c r="M3145" t="s">
        <v>126</v>
      </c>
      <c r="N3145">
        <v>4964.7700000000004</v>
      </c>
      <c r="O3145" t="s">
        <v>12</v>
      </c>
      <c r="P3145" t="b">
        <v>1</v>
      </c>
      <c r="Q3145">
        <v>6490.0722070918155</v>
      </c>
      <c r="R3145">
        <v>34039.343922314183</v>
      </c>
      <c r="S3145">
        <v>4.3160445071685576</v>
      </c>
      <c r="T3145">
        <v>104.97123578337863</v>
      </c>
      <c r="U3145">
        <v>0</v>
      </c>
      <c r="V3145">
        <v>0</v>
      </c>
    </row>
    <row r="3146" spans="1:22" x14ac:dyDescent="0.2">
      <c r="A3146"/>
      <c r="B3146">
        <v>72256</v>
      </c>
      <c r="C3146" t="s">
        <v>1022</v>
      </c>
      <c r="D3146" t="s">
        <v>928</v>
      </c>
      <c r="E3146" t="s">
        <v>1041</v>
      </c>
      <c r="F3146" t="s">
        <v>126</v>
      </c>
      <c r="G3146">
        <v>4986.97</v>
      </c>
      <c r="H3146" t="s">
        <v>12</v>
      </c>
      <c r="I3146">
        <v>0</v>
      </c>
      <c r="J3146">
        <v>0</v>
      </c>
      <c r="K3146">
        <v>0</v>
      </c>
      <c r="L3146">
        <v>0</v>
      </c>
      <c r="M3146" t="s">
        <v>126</v>
      </c>
      <c r="N3146">
        <v>4986.97</v>
      </c>
      <c r="O3146" t="s">
        <v>12</v>
      </c>
      <c r="P3146" t="b">
        <v>1</v>
      </c>
      <c r="Q3146">
        <v>6484.3401513653562</v>
      </c>
      <c r="R3146">
        <v>34060.791148888064</v>
      </c>
      <c r="S3146">
        <v>4.3135722728607693</v>
      </c>
      <c r="T3146">
        <v>104.95501064586338</v>
      </c>
      <c r="U3146">
        <v>0</v>
      </c>
      <c r="V3146">
        <v>0</v>
      </c>
    </row>
    <row r="3147" spans="1:22" x14ac:dyDescent="0.2">
      <c r="A3147"/>
      <c r="B3147">
        <v>72257</v>
      </c>
      <c r="C3147" t="s">
        <v>1023</v>
      </c>
      <c r="D3147" t="s">
        <v>928</v>
      </c>
      <c r="E3147" t="s">
        <v>1041</v>
      </c>
      <c r="F3147" t="s">
        <v>92</v>
      </c>
      <c r="G3147">
        <v>4988.5199999999904</v>
      </c>
      <c r="H3147" t="s">
        <v>12</v>
      </c>
      <c r="I3147">
        <v>0</v>
      </c>
      <c r="J3147">
        <v>0</v>
      </c>
      <c r="K3147">
        <v>0</v>
      </c>
      <c r="L3147">
        <v>0</v>
      </c>
      <c r="M3147" t="s">
        <v>92</v>
      </c>
      <c r="N3147">
        <v>4988.5199999999904</v>
      </c>
      <c r="O3147" t="s">
        <v>12</v>
      </c>
      <c r="P3147" t="b">
        <v>1</v>
      </c>
      <c r="Q3147">
        <v>6489.108713159274</v>
      </c>
      <c r="R3147">
        <v>34062.066356999807</v>
      </c>
      <c r="S3147">
        <v>4.3527572248545523</v>
      </c>
      <c r="T3147">
        <v>104.9469165219639</v>
      </c>
      <c r="U3147">
        <v>0</v>
      </c>
      <c r="V3147">
        <v>0</v>
      </c>
    </row>
    <row r="3148" spans="1:22" x14ac:dyDescent="0.2">
      <c r="A3148"/>
      <c r="B3148">
        <v>72258</v>
      </c>
      <c r="C3148" t="s">
        <v>1024</v>
      </c>
      <c r="D3148" t="s">
        <v>928</v>
      </c>
      <c r="E3148" t="s">
        <v>1041</v>
      </c>
      <c r="F3148" t="s">
        <v>92</v>
      </c>
      <c r="G3148">
        <v>4966.3199999999897</v>
      </c>
      <c r="H3148" t="s">
        <v>12</v>
      </c>
      <c r="I3148">
        <v>0</v>
      </c>
      <c r="J3148">
        <v>0</v>
      </c>
      <c r="K3148">
        <v>0</v>
      </c>
      <c r="L3148">
        <v>0</v>
      </c>
      <c r="M3148" t="s">
        <v>92</v>
      </c>
      <c r="N3148">
        <v>4966.3199999999897</v>
      </c>
      <c r="O3148" t="s">
        <v>12</v>
      </c>
      <c r="P3148" t="b">
        <v>1</v>
      </c>
      <c r="Q3148">
        <v>6494.8386152076446</v>
      </c>
      <c r="R3148">
        <v>34040.618554907524</v>
      </c>
      <c r="S3148">
        <v>4.3543376543507959</v>
      </c>
      <c r="T3148">
        <v>104.96767888421961</v>
      </c>
      <c r="U3148">
        <v>0</v>
      </c>
      <c r="V3148">
        <v>0</v>
      </c>
    </row>
    <row r="3149" spans="1:22" x14ac:dyDescent="0.2">
      <c r="A3149"/>
      <c r="B3149">
        <v>72259</v>
      </c>
      <c r="C3149" t="s">
        <v>1025</v>
      </c>
      <c r="D3149" t="s">
        <v>928</v>
      </c>
      <c r="E3149" t="s">
        <v>1041</v>
      </c>
      <c r="F3149" t="s">
        <v>92</v>
      </c>
      <c r="G3149">
        <v>4830.22</v>
      </c>
      <c r="H3149" t="s">
        <v>1270</v>
      </c>
      <c r="I3149">
        <v>0</v>
      </c>
      <c r="J3149">
        <v>0</v>
      </c>
      <c r="K3149">
        <v>0</v>
      </c>
      <c r="L3149">
        <v>0</v>
      </c>
      <c r="M3149" t="s">
        <v>92</v>
      </c>
      <c r="N3149">
        <v>4830.22</v>
      </c>
      <c r="O3149" t="s">
        <v>12</v>
      </c>
      <c r="P3149" t="b">
        <v>0</v>
      </c>
      <c r="Q3149">
        <v>6530.0768709543463</v>
      </c>
      <c r="R3149">
        <v>33909.159535788735</v>
      </c>
      <c r="S3149">
        <v>4.3502060820297386</v>
      </c>
      <c r="T3149">
        <v>-74.976977848886975</v>
      </c>
      <c r="U3149">
        <v>0</v>
      </c>
      <c r="V3149">
        <v>0</v>
      </c>
    </row>
    <row r="3150" spans="1:22" x14ac:dyDescent="0.2">
      <c r="A3150"/>
      <c r="B3150">
        <v>72260</v>
      </c>
      <c r="C3150" t="s">
        <v>1026</v>
      </c>
      <c r="D3150" t="s">
        <v>928</v>
      </c>
      <c r="E3150" t="s">
        <v>1041</v>
      </c>
      <c r="F3150" t="s">
        <v>92</v>
      </c>
      <c r="G3150">
        <v>4808.0200000000004</v>
      </c>
      <c r="H3150" t="s">
        <v>1270</v>
      </c>
      <c r="I3150">
        <v>0</v>
      </c>
      <c r="J3150">
        <v>0</v>
      </c>
      <c r="K3150">
        <v>0</v>
      </c>
      <c r="L3150">
        <v>0</v>
      </c>
      <c r="M3150" t="s">
        <v>92</v>
      </c>
      <c r="N3150">
        <v>4808.0200000000004</v>
      </c>
      <c r="O3150" t="s">
        <v>12</v>
      </c>
      <c r="P3150" t="b">
        <v>0</v>
      </c>
      <c r="Q3150">
        <v>6535.8308655316569</v>
      </c>
      <c r="R3150">
        <v>33887.718184672209</v>
      </c>
      <c r="S3150">
        <v>4.3472778067640077</v>
      </c>
      <c r="T3150">
        <v>-74.979685537740252</v>
      </c>
      <c r="U3150">
        <v>0</v>
      </c>
      <c r="V3150">
        <v>0</v>
      </c>
    </row>
    <row r="3151" spans="1:22" x14ac:dyDescent="0.2">
      <c r="A3151"/>
      <c r="B3151">
        <v>72261</v>
      </c>
      <c r="C3151" t="s">
        <v>1027</v>
      </c>
      <c r="D3151" t="s">
        <v>928</v>
      </c>
      <c r="E3151" t="s">
        <v>1041</v>
      </c>
      <c r="F3151" t="s">
        <v>126</v>
      </c>
      <c r="G3151">
        <v>6158.53999999999</v>
      </c>
      <c r="H3151" t="s">
        <v>12</v>
      </c>
      <c r="I3151">
        <v>0</v>
      </c>
      <c r="J3151">
        <v>0</v>
      </c>
      <c r="K3151">
        <v>0</v>
      </c>
      <c r="L3151">
        <v>0</v>
      </c>
      <c r="M3151" t="s">
        <v>126</v>
      </c>
      <c r="N3151">
        <v>6158.53999999999</v>
      </c>
      <c r="O3151" t="s">
        <v>12</v>
      </c>
      <c r="P3151" t="b">
        <v>1</v>
      </c>
      <c r="Q3151">
        <v>6460.1252862403016</v>
      </c>
      <c r="R3151">
        <v>35224.620501728197</v>
      </c>
      <c r="S3151">
        <v>-2.0933080105569633</v>
      </c>
      <c r="T3151">
        <v>87.55396271227653</v>
      </c>
      <c r="U3151">
        <v>0</v>
      </c>
      <c r="V3151">
        <v>0</v>
      </c>
    </row>
    <row r="3152" spans="1:22" x14ac:dyDescent="0.2">
      <c r="A3152"/>
      <c r="B3152">
        <v>72262</v>
      </c>
      <c r="C3152" t="s">
        <v>1028</v>
      </c>
      <c r="D3152" t="s">
        <v>928</v>
      </c>
      <c r="E3152" t="s">
        <v>1041</v>
      </c>
      <c r="F3152" t="s">
        <v>126</v>
      </c>
      <c r="G3152">
        <v>6136.34</v>
      </c>
      <c r="H3152" t="s">
        <v>12</v>
      </c>
      <c r="I3152">
        <v>0</v>
      </c>
      <c r="J3152">
        <v>0</v>
      </c>
      <c r="K3152">
        <v>0</v>
      </c>
      <c r="L3152">
        <v>0</v>
      </c>
      <c r="M3152" t="s">
        <v>126</v>
      </c>
      <c r="N3152">
        <v>6136.34</v>
      </c>
      <c r="O3152" t="s">
        <v>12</v>
      </c>
      <c r="P3152" t="b">
        <v>1</v>
      </c>
      <c r="Q3152">
        <v>6459.1996402838477</v>
      </c>
      <c r="R3152">
        <v>35202.43981173182</v>
      </c>
      <c r="S3152">
        <v>-2.0891192890230985</v>
      </c>
      <c r="T3152">
        <v>87.664626187620115</v>
      </c>
      <c r="U3152">
        <v>0</v>
      </c>
      <c r="V3152">
        <v>0</v>
      </c>
    </row>
    <row r="3153" spans="1:22" x14ac:dyDescent="0.2">
      <c r="A3153"/>
      <c r="B3153">
        <v>72263</v>
      </c>
      <c r="C3153" t="s">
        <v>1029</v>
      </c>
      <c r="D3153" t="s">
        <v>928</v>
      </c>
      <c r="E3153" t="s">
        <v>1041</v>
      </c>
      <c r="F3153" t="s">
        <v>126</v>
      </c>
      <c r="G3153">
        <v>6000.1999999999898</v>
      </c>
      <c r="H3153" t="s">
        <v>1270</v>
      </c>
      <c r="I3153">
        <v>0</v>
      </c>
      <c r="J3153">
        <v>0</v>
      </c>
      <c r="K3153">
        <v>0</v>
      </c>
      <c r="L3153">
        <v>0</v>
      </c>
      <c r="M3153" t="s">
        <v>126</v>
      </c>
      <c r="N3153">
        <v>6000.1999999999898</v>
      </c>
      <c r="O3153" t="s">
        <v>12</v>
      </c>
      <c r="P3153" t="b">
        <v>0</v>
      </c>
      <c r="Q3153">
        <v>6454.2308284295495</v>
      </c>
      <c r="R3153">
        <v>35066.390815551145</v>
      </c>
      <c r="S3153">
        <v>-2.0820691427907394</v>
      </c>
      <c r="T3153">
        <v>-91.924704341862551</v>
      </c>
      <c r="U3153">
        <v>0</v>
      </c>
      <c r="V3153">
        <v>0</v>
      </c>
    </row>
    <row r="3154" spans="1:22" x14ac:dyDescent="0.2">
      <c r="A3154"/>
      <c r="B3154">
        <v>72264</v>
      </c>
      <c r="C3154" t="s">
        <v>1030</v>
      </c>
      <c r="D3154" t="s">
        <v>928</v>
      </c>
      <c r="E3154" t="s">
        <v>1041</v>
      </c>
      <c r="F3154" t="s">
        <v>126</v>
      </c>
      <c r="G3154">
        <v>5978</v>
      </c>
      <c r="H3154" t="s">
        <v>1270</v>
      </c>
      <c r="I3154">
        <v>0</v>
      </c>
      <c r="J3154">
        <v>0</v>
      </c>
      <c r="K3154">
        <v>0</v>
      </c>
      <c r="L3154">
        <v>0</v>
      </c>
      <c r="M3154" t="s">
        <v>126</v>
      </c>
      <c r="N3154">
        <v>5978</v>
      </c>
      <c r="O3154" t="s">
        <v>12</v>
      </c>
      <c r="P3154" t="b">
        <v>0</v>
      </c>
      <c r="Q3154">
        <v>6453.4901237272024</v>
      </c>
      <c r="R3154">
        <v>35044.203176060852</v>
      </c>
      <c r="S3154">
        <v>-2.0839382981134373</v>
      </c>
      <c r="T3154">
        <v>-91.901201882572721</v>
      </c>
      <c r="U3154">
        <v>0</v>
      </c>
      <c r="V3154">
        <v>0</v>
      </c>
    </row>
    <row r="3155" spans="1:22" x14ac:dyDescent="0.2">
      <c r="A3155"/>
      <c r="B3155">
        <v>72265</v>
      </c>
      <c r="C3155" t="s">
        <v>1031</v>
      </c>
      <c r="D3155" t="s">
        <v>928</v>
      </c>
      <c r="E3155" t="s">
        <v>1041</v>
      </c>
      <c r="F3155" t="s">
        <v>92</v>
      </c>
      <c r="G3155">
        <v>6158.67</v>
      </c>
      <c r="H3155" t="s">
        <v>12</v>
      </c>
      <c r="I3155">
        <v>0</v>
      </c>
      <c r="J3155">
        <v>0</v>
      </c>
      <c r="K3155">
        <v>0</v>
      </c>
      <c r="L3155">
        <v>0</v>
      </c>
      <c r="M3155" t="s">
        <v>92</v>
      </c>
      <c r="N3155">
        <v>6158.67</v>
      </c>
      <c r="O3155" t="s">
        <v>12</v>
      </c>
      <c r="P3155" t="b">
        <v>1</v>
      </c>
      <c r="Q3155">
        <v>6465.0124043731421</v>
      </c>
      <c r="R3155">
        <v>35224.482361587194</v>
      </c>
      <c r="S3155">
        <v>-2.0522758386756261</v>
      </c>
      <c r="T3155">
        <v>87.600899349967918</v>
      </c>
      <c r="U3155">
        <v>0</v>
      </c>
      <c r="V3155">
        <v>0</v>
      </c>
    </row>
    <row r="3156" spans="1:22" x14ac:dyDescent="0.2">
      <c r="A3156"/>
      <c r="B3156">
        <v>72266</v>
      </c>
      <c r="C3156" t="s">
        <v>1032</v>
      </c>
      <c r="D3156" t="s">
        <v>928</v>
      </c>
      <c r="E3156" t="s">
        <v>1041</v>
      </c>
      <c r="F3156" t="s">
        <v>92</v>
      </c>
      <c r="G3156">
        <v>6136.47</v>
      </c>
      <c r="H3156" t="s">
        <v>12</v>
      </c>
      <c r="I3156">
        <v>0</v>
      </c>
      <c r="J3156">
        <v>0</v>
      </c>
      <c r="K3156">
        <v>0</v>
      </c>
      <c r="L3156">
        <v>0</v>
      </c>
      <c r="M3156" t="s">
        <v>92</v>
      </c>
      <c r="N3156">
        <v>6136.47</v>
      </c>
      <c r="O3156" t="s">
        <v>12</v>
      </c>
      <c r="P3156" t="b">
        <v>1</v>
      </c>
      <c r="Q3156">
        <v>6464.1278369499469</v>
      </c>
      <c r="R3156">
        <v>35202.30000356731</v>
      </c>
      <c r="S3156">
        <v>-2.04869588201682</v>
      </c>
      <c r="T3156">
        <v>87.810543843431091</v>
      </c>
      <c r="U3156">
        <v>0</v>
      </c>
      <c r="V3156">
        <v>0</v>
      </c>
    </row>
    <row r="3157" spans="1:22" x14ac:dyDescent="0.2">
      <c r="A3157"/>
      <c r="B3157">
        <v>72267</v>
      </c>
      <c r="C3157" t="s">
        <v>1033</v>
      </c>
      <c r="D3157" t="s">
        <v>928</v>
      </c>
      <c r="E3157" t="s">
        <v>1041</v>
      </c>
      <c r="F3157" t="s">
        <v>92</v>
      </c>
      <c r="G3157">
        <v>6000.38</v>
      </c>
      <c r="H3157" t="s">
        <v>1270</v>
      </c>
      <c r="I3157">
        <v>0</v>
      </c>
      <c r="J3157">
        <v>0</v>
      </c>
      <c r="K3157">
        <v>0</v>
      </c>
      <c r="L3157">
        <v>0</v>
      </c>
      <c r="M3157" t="s">
        <v>92</v>
      </c>
      <c r="N3157">
        <v>6000.38</v>
      </c>
      <c r="O3157" t="s">
        <v>12</v>
      </c>
      <c r="P3157" t="b">
        <v>0</v>
      </c>
      <c r="Q3157">
        <v>6459.3160150961721</v>
      </c>
      <c r="R3157">
        <v>35066.295226442606</v>
      </c>
      <c r="S3157">
        <v>-2.0544009337215403</v>
      </c>
      <c r="T3157">
        <v>-91.900500255463527</v>
      </c>
      <c r="U3157">
        <v>0</v>
      </c>
      <c r="V3157">
        <v>0</v>
      </c>
    </row>
    <row r="3158" spans="1:22" x14ac:dyDescent="0.2">
      <c r="A3158"/>
      <c r="B3158">
        <v>72268</v>
      </c>
      <c r="C3158" t="s">
        <v>1034</v>
      </c>
      <c r="D3158" t="s">
        <v>928</v>
      </c>
      <c r="E3158" t="s">
        <v>1041</v>
      </c>
      <c r="F3158" t="s">
        <v>92</v>
      </c>
      <c r="G3158">
        <v>5978.18</v>
      </c>
      <c r="H3158" t="s">
        <v>1270</v>
      </c>
      <c r="I3158">
        <v>0</v>
      </c>
      <c r="J3158">
        <v>0</v>
      </c>
      <c r="K3158">
        <v>0</v>
      </c>
      <c r="L3158">
        <v>0</v>
      </c>
      <c r="M3158" t="s">
        <v>92</v>
      </c>
      <c r="N3158">
        <v>5978.18</v>
      </c>
      <c r="O3158" t="s">
        <v>12</v>
      </c>
      <c r="P3158" t="b">
        <v>0</v>
      </c>
      <c r="Q3158">
        <v>6458.5762082442097</v>
      </c>
      <c r="R3158">
        <v>35044.107556879811</v>
      </c>
      <c r="S3158">
        <v>-2.0552374012083465</v>
      </c>
      <c r="T3158">
        <v>-91.919341321180312</v>
      </c>
      <c r="U3158">
        <v>0</v>
      </c>
      <c r="V3158">
        <v>0</v>
      </c>
    </row>
    <row r="3159" spans="1:22" x14ac:dyDescent="0.2">
      <c r="A3159"/>
      <c r="B3159">
        <v>72269</v>
      </c>
      <c r="C3159" t="s">
        <v>1479</v>
      </c>
      <c r="D3159" t="s">
        <v>1042</v>
      </c>
      <c r="E3159" t="s">
        <v>1273</v>
      </c>
      <c r="F3159" t="s">
        <v>122</v>
      </c>
      <c r="G3159">
        <v>156.44878122724731</v>
      </c>
      <c r="H3159" t="s">
        <v>248</v>
      </c>
      <c r="I3159">
        <v>-2</v>
      </c>
      <c r="J3159">
        <v>0</v>
      </c>
      <c r="K3159">
        <v>0</v>
      </c>
      <c r="L3159">
        <v>0</v>
      </c>
      <c r="M3159" t="s">
        <v>188</v>
      </c>
      <c r="N3159">
        <v>480.38356667393998</v>
      </c>
      <c r="O3159" t="s">
        <v>248</v>
      </c>
      <c r="P3159" t="b">
        <v>1</v>
      </c>
      <c r="Q3159">
        <v>4967.4958380357793</v>
      </c>
      <c r="R3159">
        <v>22076.233206524939</v>
      </c>
      <c r="S3159">
        <v>-3.0169234902879859E-3</v>
      </c>
      <c r="T3159">
        <v>79.401622693265125</v>
      </c>
      <c r="U3159">
        <v>0</v>
      </c>
      <c r="V3159">
        <v>0</v>
      </c>
    </row>
    <row r="3160" spans="1:22" x14ac:dyDescent="0.2">
      <c r="A3160"/>
      <c r="B3160">
        <v>72270</v>
      </c>
      <c r="C3160" t="s">
        <v>1480</v>
      </c>
      <c r="D3160" t="s">
        <v>1042</v>
      </c>
      <c r="E3160" t="s">
        <v>1273</v>
      </c>
      <c r="F3160" t="s">
        <v>84</v>
      </c>
      <c r="G3160">
        <v>156.33890513113374</v>
      </c>
      <c r="H3160" t="s">
        <v>248</v>
      </c>
      <c r="I3160">
        <v>2</v>
      </c>
      <c r="J3160">
        <v>0</v>
      </c>
      <c r="K3160">
        <v>0</v>
      </c>
      <c r="L3160">
        <v>0</v>
      </c>
      <c r="M3160" t="s">
        <v>187</v>
      </c>
      <c r="N3160">
        <v>480.26770760169001</v>
      </c>
      <c r="O3160" t="s">
        <v>248</v>
      </c>
      <c r="P3160" t="b">
        <v>1</v>
      </c>
      <c r="Q3160">
        <v>4976.1522993271519</v>
      </c>
      <c r="R3160">
        <v>22073.982093512444</v>
      </c>
      <c r="S3160">
        <v>-5.0527001990157416E-3</v>
      </c>
      <c r="T3160">
        <v>79.547626077368619</v>
      </c>
      <c r="U3160">
        <v>0</v>
      </c>
      <c r="V3160">
        <v>0</v>
      </c>
    </row>
    <row r="3161" spans="1:22" x14ac:dyDescent="0.2">
      <c r="A3161"/>
      <c r="B3161">
        <v>72271</v>
      </c>
      <c r="C3161" t="s">
        <v>1481</v>
      </c>
      <c r="D3161" t="s">
        <v>1042</v>
      </c>
      <c r="E3161" t="s">
        <v>1273</v>
      </c>
      <c r="F3161" t="s">
        <v>123</v>
      </c>
      <c r="G3161">
        <v>1356.0932665108244</v>
      </c>
      <c r="H3161" t="s">
        <v>248</v>
      </c>
      <c r="I3161">
        <v>-2</v>
      </c>
      <c r="J3161">
        <v>0</v>
      </c>
      <c r="K3161">
        <v>0</v>
      </c>
      <c r="L3161">
        <v>0</v>
      </c>
      <c r="M3161" t="s">
        <v>188</v>
      </c>
      <c r="N3161">
        <v>2056.8741856254301</v>
      </c>
      <c r="O3161" t="s">
        <v>248</v>
      </c>
      <c r="P3161" t="b">
        <v>1</v>
      </c>
      <c r="Q3161">
        <v>5068.4222000267155</v>
      </c>
      <c r="R3161">
        <v>23608.236778633807</v>
      </c>
      <c r="S3161">
        <v>7.4139142264247937</v>
      </c>
      <c r="T3161">
        <v>88.23727820768957</v>
      </c>
      <c r="U3161">
        <v>0</v>
      </c>
      <c r="V3161">
        <v>0</v>
      </c>
    </row>
    <row r="3162" spans="1:22" x14ac:dyDescent="0.2">
      <c r="A3162"/>
      <c r="B3162">
        <v>72272</v>
      </c>
      <c r="C3162" t="s">
        <v>1482</v>
      </c>
      <c r="D3162" t="s">
        <v>1042</v>
      </c>
      <c r="E3162" t="s">
        <v>1273</v>
      </c>
      <c r="F3162" t="s">
        <v>87</v>
      </c>
      <c r="G3162">
        <v>1279.0338111855315</v>
      </c>
      <c r="H3162" t="s">
        <v>248</v>
      </c>
      <c r="I3162">
        <v>2</v>
      </c>
      <c r="J3162">
        <v>0</v>
      </c>
      <c r="K3162">
        <v>0</v>
      </c>
      <c r="L3162">
        <v>0</v>
      </c>
      <c r="M3162" t="s">
        <v>187</v>
      </c>
      <c r="N3162">
        <v>2057.7901431227601</v>
      </c>
      <c r="O3162" t="s">
        <v>248</v>
      </c>
      <c r="P3162" t="b">
        <v>1</v>
      </c>
      <c r="Q3162">
        <v>5077.360530296658</v>
      </c>
      <c r="R3162">
        <v>23607.646629662562</v>
      </c>
      <c r="S3162">
        <v>7.3995566255324086</v>
      </c>
      <c r="T3162">
        <v>88.288229773035255</v>
      </c>
      <c r="U3162">
        <v>0</v>
      </c>
      <c r="V3162">
        <v>0</v>
      </c>
    </row>
    <row r="3163" spans="1:22" x14ac:dyDescent="0.2">
      <c r="A3163"/>
      <c r="B3163">
        <v>72273</v>
      </c>
      <c r="C3163" t="s">
        <v>1483</v>
      </c>
      <c r="D3163" t="s">
        <v>1042</v>
      </c>
      <c r="E3163" t="s">
        <v>1273</v>
      </c>
      <c r="F3163" t="s">
        <v>123</v>
      </c>
      <c r="G3163">
        <v>2922.681450438954</v>
      </c>
      <c r="H3163" t="s">
        <v>248</v>
      </c>
      <c r="I3163">
        <v>-2</v>
      </c>
      <c r="J3163">
        <v>0</v>
      </c>
      <c r="K3163">
        <v>0</v>
      </c>
      <c r="L3163">
        <v>0</v>
      </c>
      <c r="M3163" t="s">
        <v>188</v>
      </c>
      <c r="N3163">
        <v>3623.4623695535602</v>
      </c>
      <c r="O3163" t="s">
        <v>248</v>
      </c>
      <c r="P3163" t="b">
        <v>1</v>
      </c>
      <c r="Q3163">
        <v>5118.962072212832</v>
      </c>
      <c r="R3163">
        <v>25164.363858598063</v>
      </c>
      <c r="S3163">
        <v>-2.6268868109315751</v>
      </c>
      <c r="T3163">
        <v>69.959459491228841</v>
      </c>
      <c r="U3163">
        <v>0</v>
      </c>
      <c r="V3163">
        <v>0</v>
      </c>
    </row>
    <row r="3164" spans="1:22" x14ac:dyDescent="0.2">
      <c r="A3164"/>
      <c r="B3164">
        <v>72274</v>
      </c>
      <c r="C3164" t="s">
        <v>1484</v>
      </c>
      <c r="D3164" t="s">
        <v>1042</v>
      </c>
      <c r="E3164" t="s">
        <v>1273</v>
      </c>
      <c r="F3164" t="s">
        <v>87</v>
      </c>
      <c r="G3164">
        <v>2844.6469362659409</v>
      </c>
      <c r="H3164" t="s">
        <v>248</v>
      </c>
      <c r="I3164">
        <v>2</v>
      </c>
      <c r="J3164">
        <v>0</v>
      </c>
      <c r="K3164">
        <v>0</v>
      </c>
      <c r="L3164">
        <v>0</v>
      </c>
      <c r="M3164" t="s">
        <v>187</v>
      </c>
      <c r="N3164">
        <v>3623.4032682031698</v>
      </c>
      <c r="O3164" t="s">
        <v>248</v>
      </c>
      <c r="P3164" t="b">
        <v>1</v>
      </c>
      <c r="Q3164">
        <v>5127.448126730259</v>
      </c>
      <c r="R3164">
        <v>25161.562444438212</v>
      </c>
      <c r="S3164">
        <v>-2.6263132821225343</v>
      </c>
      <c r="T3164">
        <v>69.905862453543477</v>
      </c>
      <c r="U3164">
        <v>0</v>
      </c>
      <c r="V3164">
        <v>0</v>
      </c>
    </row>
    <row r="3165" spans="1:22" x14ac:dyDescent="0.2">
      <c r="A3165"/>
      <c r="B3165">
        <v>72275</v>
      </c>
      <c r="C3165" t="s">
        <v>1485</v>
      </c>
      <c r="D3165" t="s">
        <v>1042</v>
      </c>
      <c r="E3165" t="s">
        <v>1273</v>
      </c>
      <c r="F3165" t="s">
        <v>123</v>
      </c>
      <c r="G3165">
        <v>3966.4191065636837</v>
      </c>
      <c r="H3165" t="s">
        <v>248</v>
      </c>
      <c r="I3165">
        <v>-2</v>
      </c>
      <c r="J3165">
        <v>0</v>
      </c>
      <c r="K3165">
        <v>0</v>
      </c>
      <c r="L3165">
        <v>0</v>
      </c>
      <c r="M3165" t="s">
        <v>188</v>
      </c>
      <c r="N3165">
        <v>4667.2000256782903</v>
      </c>
      <c r="O3165" t="s">
        <v>248</v>
      </c>
      <c r="P3165" t="b">
        <v>1</v>
      </c>
      <c r="Q3165">
        <v>5315.695220711531</v>
      </c>
      <c r="R3165">
        <v>26185.120264441655</v>
      </c>
      <c r="S3165">
        <v>-2.3383218184564694</v>
      </c>
      <c r="T3165">
        <v>82.399774097704721</v>
      </c>
      <c r="U3165">
        <v>0</v>
      </c>
      <c r="V3165">
        <v>0</v>
      </c>
    </row>
    <row r="3166" spans="1:22" x14ac:dyDescent="0.2">
      <c r="A3166"/>
      <c r="B3166">
        <v>72276</v>
      </c>
      <c r="C3166" t="s">
        <v>1486</v>
      </c>
      <c r="D3166" t="s">
        <v>1042</v>
      </c>
      <c r="E3166" t="s">
        <v>1273</v>
      </c>
      <c r="F3166" t="s">
        <v>87</v>
      </c>
      <c r="G3166">
        <v>3889.8562348885821</v>
      </c>
      <c r="H3166" t="s">
        <v>248</v>
      </c>
      <c r="I3166">
        <v>2</v>
      </c>
      <c r="J3166">
        <v>0</v>
      </c>
      <c r="K3166">
        <v>0</v>
      </c>
      <c r="L3166">
        <v>0</v>
      </c>
      <c r="M3166" t="s">
        <v>187</v>
      </c>
      <c r="N3166">
        <v>4668.6125668258101</v>
      </c>
      <c r="O3166" t="s">
        <v>248</v>
      </c>
      <c r="P3166" t="b">
        <v>1</v>
      </c>
      <c r="Q3166">
        <v>5324.6845790811267</v>
      </c>
      <c r="R3166">
        <v>26184.596716146199</v>
      </c>
      <c r="S3166">
        <v>-2.3571802031034301</v>
      </c>
      <c r="T3166">
        <v>82.37213564020216</v>
      </c>
      <c r="U3166">
        <v>0</v>
      </c>
      <c r="V3166">
        <v>0</v>
      </c>
    </row>
    <row r="3167" spans="1:22" x14ac:dyDescent="0.2">
      <c r="A3167"/>
      <c r="B3167">
        <v>72277</v>
      </c>
      <c r="C3167" t="s">
        <v>1487</v>
      </c>
      <c r="D3167" t="s">
        <v>1042</v>
      </c>
      <c r="E3167" t="s">
        <v>1273</v>
      </c>
      <c r="F3167" t="s">
        <v>124</v>
      </c>
      <c r="G3167">
        <v>123.54428514674237</v>
      </c>
      <c r="H3167" t="s">
        <v>248</v>
      </c>
      <c r="I3167">
        <v>-2</v>
      </c>
      <c r="J3167">
        <v>0</v>
      </c>
      <c r="K3167">
        <v>0</v>
      </c>
      <c r="L3167">
        <v>0</v>
      </c>
      <c r="M3167" t="s">
        <v>188</v>
      </c>
      <c r="N3167">
        <v>6537.1291300883204</v>
      </c>
      <c r="O3167" t="s">
        <v>248</v>
      </c>
      <c r="P3167" t="b">
        <v>1</v>
      </c>
      <c r="Q3167">
        <v>5640.2048707280865</v>
      </c>
      <c r="R3167">
        <v>28026.203161161386</v>
      </c>
      <c r="S3167">
        <v>5.2387706512334153</v>
      </c>
      <c r="T3167">
        <v>80.706291694702642</v>
      </c>
      <c r="U3167">
        <v>0</v>
      </c>
      <c r="V3167">
        <v>0</v>
      </c>
    </row>
    <row r="3168" spans="1:22" x14ac:dyDescent="0.2">
      <c r="A3168"/>
      <c r="B3168">
        <v>72278</v>
      </c>
      <c r="C3168" t="s">
        <v>1488</v>
      </c>
      <c r="D3168" t="s">
        <v>1042</v>
      </c>
      <c r="E3168" t="s">
        <v>1273</v>
      </c>
      <c r="F3168" t="s">
        <v>89</v>
      </c>
      <c r="G3168">
        <v>200.62175199303056</v>
      </c>
      <c r="H3168" t="s">
        <v>248</v>
      </c>
      <c r="I3168">
        <v>2</v>
      </c>
      <c r="J3168">
        <v>0</v>
      </c>
      <c r="K3168">
        <v>0</v>
      </c>
      <c r="L3168">
        <v>0</v>
      </c>
      <c r="M3168" t="s">
        <v>187</v>
      </c>
      <c r="N3168">
        <v>6537.8408363970802</v>
      </c>
      <c r="O3168" t="s">
        <v>248</v>
      </c>
      <c r="P3168" t="b">
        <v>1</v>
      </c>
      <c r="Q3168">
        <v>5649.0173438133015</v>
      </c>
      <c r="R3168">
        <v>28024.881614647584</v>
      </c>
      <c r="S3168">
        <v>5.254187237210048</v>
      </c>
      <c r="T3168">
        <v>80.648153277121466</v>
      </c>
      <c r="U3168">
        <v>0</v>
      </c>
      <c r="V3168">
        <v>0</v>
      </c>
    </row>
    <row r="3169" spans="1:22" x14ac:dyDescent="0.2">
      <c r="A3169"/>
      <c r="B3169">
        <v>72279</v>
      </c>
      <c r="C3169" t="s">
        <v>1489</v>
      </c>
      <c r="D3169" t="s">
        <v>1042</v>
      </c>
      <c r="E3169" t="s">
        <v>1273</v>
      </c>
      <c r="F3169" t="s">
        <v>125</v>
      </c>
      <c r="G3169">
        <v>1027.5434998429992</v>
      </c>
      <c r="H3169" t="s">
        <v>248</v>
      </c>
      <c r="I3169">
        <v>-2</v>
      </c>
      <c r="J3169">
        <v>0</v>
      </c>
      <c r="K3169">
        <v>0</v>
      </c>
      <c r="L3169">
        <v>0</v>
      </c>
      <c r="M3169" t="s">
        <v>188</v>
      </c>
      <c r="N3169">
        <v>7688.2109850947099</v>
      </c>
      <c r="O3169" t="s">
        <v>248</v>
      </c>
      <c r="P3169" t="b">
        <v>1</v>
      </c>
      <c r="Q3169">
        <v>5645.8748341888913</v>
      </c>
      <c r="R3169">
        <v>29161.690889695248</v>
      </c>
      <c r="S3169">
        <v>17.272785798912423</v>
      </c>
      <c r="T3169">
        <v>87.788676108553702</v>
      </c>
      <c r="U3169">
        <v>0</v>
      </c>
      <c r="V3169">
        <v>0</v>
      </c>
    </row>
    <row r="3170" spans="1:22" x14ac:dyDescent="0.2">
      <c r="A3170"/>
      <c r="B3170">
        <v>72280</v>
      </c>
      <c r="C3170" t="s">
        <v>1490</v>
      </c>
      <c r="D3170" t="s">
        <v>1042</v>
      </c>
      <c r="E3170" t="s">
        <v>1273</v>
      </c>
      <c r="F3170" t="s">
        <v>91</v>
      </c>
      <c r="G3170">
        <v>947.45009644219476</v>
      </c>
      <c r="H3170" t="s">
        <v>248</v>
      </c>
      <c r="I3170">
        <v>2</v>
      </c>
      <c r="J3170">
        <v>0</v>
      </c>
      <c r="K3170">
        <v>0</v>
      </c>
      <c r="L3170">
        <v>0</v>
      </c>
      <c r="M3170" t="s">
        <v>187</v>
      </c>
      <c r="N3170">
        <v>7685.9048397710403</v>
      </c>
      <c r="O3170" t="s">
        <v>248</v>
      </c>
      <c r="P3170" t="b">
        <v>1</v>
      </c>
      <c r="Q3170">
        <v>5654.5642107361373</v>
      </c>
      <c r="R3170">
        <v>29157.804433384408</v>
      </c>
      <c r="S3170">
        <v>17.307765903819512</v>
      </c>
      <c r="T3170">
        <v>87.791531141052502</v>
      </c>
      <c r="U3170">
        <v>0</v>
      </c>
      <c r="V3170">
        <v>0</v>
      </c>
    </row>
    <row r="3171" spans="1:22" x14ac:dyDescent="0.2">
      <c r="A3171"/>
      <c r="B3171">
        <v>72281</v>
      </c>
      <c r="C3171" t="s">
        <v>1491</v>
      </c>
      <c r="D3171" t="s">
        <v>1042</v>
      </c>
      <c r="E3171" t="s">
        <v>1273</v>
      </c>
      <c r="F3171" t="s">
        <v>126</v>
      </c>
      <c r="G3171">
        <v>495.82691333813773</v>
      </c>
      <c r="H3171" t="s">
        <v>248</v>
      </c>
      <c r="I3171">
        <v>-2</v>
      </c>
      <c r="J3171">
        <v>0</v>
      </c>
      <c r="K3171">
        <v>0</v>
      </c>
      <c r="L3171">
        <v>0</v>
      </c>
      <c r="M3171" t="s">
        <v>188</v>
      </c>
      <c r="N3171">
        <v>8511.0771220566494</v>
      </c>
      <c r="O3171" t="s">
        <v>248</v>
      </c>
      <c r="P3171" t="b">
        <v>1</v>
      </c>
      <c r="Q3171">
        <v>5707.9642580117106</v>
      </c>
      <c r="R3171">
        <v>29981.275613101829</v>
      </c>
      <c r="S3171">
        <v>8.8053921246960076</v>
      </c>
      <c r="T3171">
        <v>88.048344171665818</v>
      </c>
      <c r="U3171">
        <v>0</v>
      </c>
      <c r="V3171">
        <v>0</v>
      </c>
    </row>
    <row r="3172" spans="1:22" x14ac:dyDescent="0.2">
      <c r="A3172"/>
      <c r="B3172">
        <v>72282</v>
      </c>
      <c r="C3172" t="s">
        <v>1492</v>
      </c>
      <c r="D3172" t="s">
        <v>1042</v>
      </c>
      <c r="E3172" t="s">
        <v>1273</v>
      </c>
      <c r="F3172" t="s">
        <v>92</v>
      </c>
      <c r="G3172">
        <v>492.27538099978187</v>
      </c>
      <c r="H3172" t="s">
        <v>248</v>
      </c>
      <c r="I3172">
        <v>2</v>
      </c>
      <c r="J3172">
        <v>0</v>
      </c>
      <c r="K3172">
        <v>0</v>
      </c>
      <c r="L3172">
        <v>0</v>
      </c>
      <c r="M3172" t="s">
        <v>187</v>
      </c>
      <c r="N3172">
        <v>8508.7011923535501</v>
      </c>
      <c r="O3172" t="s">
        <v>248</v>
      </c>
      <c r="P3172" t="b">
        <v>1</v>
      </c>
      <c r="Q3172">
        <v>5716.7809694064908</v>
      </c>
      <c r="R3172">
        <v>29977.333299082555</v>
      </c>
      <c r="S3172">
        <v>8.8483513392851254</v>
      </c>
      <c r="T3172">
        <v>88.034293451798007</v>
      </c>
      <c r="U3172">
        <v>0</v>
      </c>
      <c r="V3172">
        <v>0</v>
      </c>
    </row>
    <row r="3173" spans="1:22" x14ac:dyDescent="0.2">
      <c r="A3173"/>
      <c r="B3173">
        <v>72283</v>
      </c>
      <c r="C3173" t="s">
        <v>1493</v>
      </c>
      <c r="D3173" t="s">
        <v>1042</v>
      </c>
      <c r="E3173" t="s">
        <v>1273</v>
      </c>
      <c r="F3173" t="s">
        <v>126</v>
      </c>
      <c r="G3173">
        <v>1742.1866149473776</v>
      </c>
      <c r="H3173" t="s">
        <v>248</v>
      </c>
      <c r="I3173">
        <v>-2</v>
      </c>
      <c r="J3173">
        <v>0</v>
      </c>
      <c r="K3173">
        <v>0</v>
      </c>
      <c r="L3173">
        <v>0</v>
      </c>
      <c r="M3173" t="s">
        <v>188</v>
      </c>
      <c r="N3173">
        <v>9757.4368236658902</v>
      </c>
      <c r="O3173" t="s">
        <v>248</v>
      </c>
      <c r="P3173" t="b">
        <v>1</v>
      </c>
      <c r="Q3173">
        <v>5996.7811744520568</v>
      </c>
      <c r="R3173">
        <v>31165.465791956991</v>
      </c>
      <c r="S3173">
        <v>8.9873616499851501</v>
      </c>
      <c r="T3173">
        <v>76.984662172644136</v>
      </c>
      <c r="U3173">
        <v>0</v>
      </c>
      <c r="V3173">
        <v>0</v>
      </c>
    </row>
    <row r="3174" spans="1:22" x14ac:dyDescent="0.2">
      <c r="A3174"/>
      <c r="B3174">
        <v>72284</v>
      </c>
      <c r="C3174" t="s">
        <v>1494</v>
      </c>
      <c r="D3174" t="s">
        <v>1042</v>
      </c>
      <c r="E3174" t="s">
        <v>1273</v>
      </c>
      <c r="F3174" t="s">
        <v>92</v>
      </c>
      <c r="G3174">
        <v>1738.4037561014493</v>
      </c>
      <c r="H3174" t="s">
        <v>248</v>
      </c>
      <c r="I3174">
        <v>2</v>
      </c>
      <c r="J3174">
        <v>0</v>
      </c>
      <c r="K3174">
        <v>0</v>
      </c>
      <c r="L3174">
        <v>0</v>
      </c>
      <c r="M3174" t="s">
        <v>187</v>
      </c>
      <c r="N3174">
        <v>9754.8295674552191</v>
      </c>
      <c r="O3174" t="s">
        <v>248</v>
      </c>
      <c r="P3174" t="b">
        <v>1</v>
      </c>
      <c r="Q3174">
        <v>6004.8780344947827</v>
      </c>
      <c r="R3174">
        <v>31160.600839468967</v>
      </c>
      <c r="S3174">
        <v>9.0482958964306857</v>
      </c>
      <c r="T3174">
        <v>77.153451701169331</v>
      </c>
      <c r="U3174">
        <v>0</v>
      </c>
      <c r="V3174">
        <v>0</v>
      </c>
    </row>
    <row r="3175" spans="1:22" x14ac:dyDescent="0.2">
      <c r="A3175"/>
      <c r="B3175">
        <v>72285</v>
      </c>
      <c r="C3175" t="s">
        <v>1495</v>
      </c>
      <c r="D3175" t="s">
        <v>1042</v>
      </c>
      <c r="E3175" t="s">
        <v>1273</v>
      </c>
      <c r="F3175" t="s">
        <v>126</v>
      </c>
      <c r="G3175">
        <v>2436.4494564222882</v>
      </c>
      <c r="H3175" t="s">
        <v>248</v>
      </c>
      <c r="I3175">
        <v>-2</v>
      </c>
      <c r="J3175">
        <v>0</v>
      </c>
      <c r="K3175">
        <v>0</v>
      </c>
      <c r="L3175">
        <v>0</v>
      </c>
      <c r="M3175" t="s">
        <v>188</v>
      </c>
      <c r="N3175">
        <v>10451.699665140801</v>
      </c>
      <c r="O3175" t="s">
        <v>248</v>
      </c>
      <c r="P3175" t="b">
        <v>1</v>
      </c>
      <c r="Q3175">
        <v>6321.3069151328973</v>
      </c>
      <c r="R3175">
        <v>31764.42461505422</v>
      </c>
      <c r="S3175">
        <v>0.97585280056391022</v>
      </c>
      <c r="T3175">
        <v>44.389270320394466</v>
      </c>
      <c r="U3175">
        <v>0</v>
      </c>
      <c r="V3175">
        <v>0</v>
      </c>
    </row>
    <row r="3176" spans="1:22" x14ac:dyDescent="0.2">
      <c r="A3176"/>
      <c r="B3176">
        <v>72286</v>
      </c>
      <c r="C3176" t="s">
        <v>1496</v>
      </c>
      <c r="D3176" t="s">
        <v>1042</v>
      </c>
      <c r="E3176" t="s">
        <v>1273</v>
      </c>
      <c r="F3176" t="s">
        <v>92</v>
      </c>
      <c r="G3176">
        <v>2430.2560870674306</v>
      </c>
      <c r="H3176" t="s">
        <v>248</v>
      </c>
      <c r="I3176">
        <v>2</v>
      </c>
      <c r="J3176">
        <v>0</v>
      </c>
      <c r="K3176">
        <v>0</v>
      </c>
      <c r="L3176">
        <v>0</v>
      </c>
      <c r="M3176" t="s">
        <v>187</v>
      </c>
      <c r="N3176">
        <v>10446.6818984212</v>
      </c>
      <c r="O3176" t="s">
        <v>248</v>
      </c>
      <c r="P3176" t="b">
        <v>1</v>
      </c>
      <c r="Q3176">
        <v>6325.7510471970245</v>
      </c>
      <c r="R3176">
        <v>31756.281602056199</v>
      </c>
      <c r="S3176">
        <v>0.99500265067996319</v>
      </c>
      <c r="T3176">
        <v>44.400452715308553</v>
      </c>
      <c r="U3176">
        <v>0</v>
      </c>
      <c r="V3176">
        <v>0</v>
      </c>
    </row>
    <row r="3177" spans="1:22" x14ac:dyDescent="0.2">
      <c r="A3177"/>
      <c r="B3177">
        <v>72287</v>
      </c>
      <c r="C3177" t="s">
        <v>1497</v>
      </c>
      <c r="D3177" t="s">
        <v>1042</v>
      </c>
      <c r="E3177" t="s">
        <v>1273</v>
      </c>
      <c r="F3177" t="s">
        <v>126</v>
      </c>
      <c r="G3177">
        <v>4080.5207471233866</v>
      </c>
      <c r="H3177" t="s">
        <v>248</v>
      </c>
      <c r="I3177">
        <v>-2</v>
      </c>
      <c r="J3177">
        <v>0</v>
      </c>
      <c r="K3177">
        <v>0</v>
      </c>
      <c r="L3177">
        <v>0</v>
      </c>
      <c r="M3177" t="s">
        <v>188</v>
      </c>
      <c r="N3177">
        <v>12095.770955841899</v>
      </c>
      <c r="O3177" t="s">
        <v>248</v>
      </c>
      <c r="P3177" t="b">
        <v>1</v>
      </c>
      <c r="Q3177">
        <v>6725.8043746082476</v>
      </c>
      <c r="R3177">
        <v>33187.267902551888</v>
      </c>
      <c r="S3177">
        <v>1.8776037401034442</v>
      </c>
      <c r="T3177">
        <v>105.41899886572139</v>
      </c>
      <c r="U3177">
        <v>0</v>
      </c>
      <c r="V3177">
        <v>0</v>
      </c>
    </row>
    <row r="3178" spans="1:22" x14ac:dyDescent="0.2">
      <c r="A3178"/>
      <c r="B3178">
        <v>72288</v>
      </c>
      <c r="C3178" t="s">
        <v>1498</v>
      </c>
      <c r="D3178" t="s">
        <v>1042</v>
      </c>
      <c r="E3178" t="s">
        <v>1273</v>
      </c>
      <c r="F3178" t="s">
        <v>92</v>
      </c>
      <c r="G3178">
        <v>4080.5359695986308</v>
      </c>
      <c r="H3178" t="s">
        <v>248</v>
      </c>
      <c r="I3178">
        <v>2</v>
      </c>
      <c r="J3178">
        <v>0</v>
      </c>
      <c r="K3178">
        <v>0</v>
      </c>
      <c r="L3178">
        <v>0</v>
      </c>
      <c r="M3178" t="s">
        <v>187</v>
      </c>
      <c r="N3178">
        <v>12096.961780952401</v>
      </c>
      <c r="O3178" t="s">
        <v>248</v>
      </c>
      <c r="P3178" t="b">
        <v>1</v>
      </c>
      <c r="Q3178">
        <v>6734.8161565975124</v>
      </c>
      <c r="R3178">
        <v>33188.118811374785</v>
      </c>
      <c r="S3178">
        <v>1.9082382972229308</v>
      </c>
      <c r="T3178">
        <v>105.5066973509047</v>
      </c>
      <c r="U3178">
        <v>0</v>
      </c>
      <c r="V3178">
        <v>0</v>
      </c>
    </row>
    <row r="3179" spans="1:22" x14ac:dyDescent="0.2">
      <c r="A3179"/>
      <c r="B3179">
        <v>72289</v>
      </c>
      <c r="C3179" t="s">
        <v>1499</v>
      </c>
      <c r="D3179" t="s">
        <v>1042</v>
      </c>
      <c r="E3179" t="s">
        <v>1273</v>
      </c>
      <c r="F3179" t="s">
        <v>126</v>
      </c>
      <c r="G3179">
        <v>4901.5175174101878</v>
      </c>
      <c r="H3179" t="s">
        <v>248</v>
      </c>
      <c r="I3179">
        <v>-2</v>
      </c>
      <c r="J3179">
        <v>0</v>
      </c>
      <c r="K3179">
        <v>0</v>
      </c>
      <c r="L3179">
        <v>0</v>
      </c>
      <c r="M3179" t="s">
        <v>188</v>
      </c>
      <c r="N3179">
        <v>12916.767726128701</v>
      </c>
      <c r="O3179" t="s">
        <v>248</v>
      </c>
      <c r="P3179" t="b">
        <v>1</v>
      </c>
      <c r="Q3179">
        <v>6504.4999706007538</v>
      </c>
      <c r="R3179">
        <v>33977.725893238756</v>
      </c>
      <c r="S3179">
        <v>4.3197588380122074</v>
      </c>
      <c r="T3179">
        <v>105.00415763984897</v>
      </c>
      <c r="U3179">
        <v>0</v>
      </c>
      <c r="V3179">
        <v>0</v>
      </c>
    </row>
    <row r="3180" spans="1:22" x14ac:dyDescent="0.2">
      <c r="A3180"/>
      <c r="B3180">
        <v>72290</v>
      </c>
      <c r="C3180" t="s">
        <v>1500</v>
      </c>
      <c r="D3180" t="s">
        <v>1042</v>
      </c>
      <c r="E3180" t="s">
        <v>1273</v>
      </c>
      <c r="F3180" t="s">
        <v>92</v>
      </c>
      <c r="G3180">
        <v>4901.9594832130306</v>
      </c>
      <c r="H3180" t="s">
        <v>248</v>
      </c>
      <c r="I3180">
        <v>2</v>
      </c>
      <c r="J3180">
        <v>0</v>
      </c>
      <c r="K3180">
        <v>0</v>
      </c>
      <c r="L3180">
        <v>0</v>
      </c>
      <c r="M3180" t="s">
        <v>187</v>
      </c>
      <c r="N3180">
        <v>12918.3852945668</v>
      </c>
      <c r="O3180" t="s">
        <v>248</v>
      </c>
      <c r="P3180" t="b">
        <v>1</v>
      </c>
      <c r="Q3180">
        <v>6513.4181048782784</v>
      </c>
      <c r="R3180">
        <v>33978.966341470739</v>
      </c>
      <c r="S3180">
        <v>4.3553457371140878</v>
      </c>
      <c r="T3180">
        <v>105.00926823364188</v>
      </c>
      <c r="U3180">
        <v>0</v>
      </c>
      <c r="V3180">
        <v>0</v>
      </c>
    </row>
    <row r="3181" spans="1:22" x14ac:dyDescent="0.2">
      <c r="A3181"/>
      <c r="B3181">
        <v>72291</v>
      </c>
      <c r="C3181" t="s">
        <v>1501</v>
      </c>
      <c r="D3181" t="s">
        <v>1042</v>
      </c>
      <c r="E3181" t="s">
        <v>1273</v>
      </c>
      <c r="F3181" t="s">
        <v>126</v>
      </c>
      <c r="G3181">
        <v>6043.1882386804864</v>
      </c>
      <c r="H3181" t="s">
        <v>248</v>
      </c>
      <c r="I3181">
        <v>-2</v>
      </c>
      <c r="J3181">
        <v>0</v>
      </c>
      <c r="K3181">
        <v>0</v>
      </c>
      <c r="L3181">
        <v>0</v>
      </c>
      <c r="M3181" t="s">
        <v>188</v>
      </c>
      <c r="N3181">
        <v>14058.438447398999</v>
      </c>
      <c r="O3181" t="s">
        <v>248</v>
      </c>
      <c r="P3181" t="b">
        <v>1</v>
      </c>
      <c r="Q3181">
        <v>6453.7029442656585</v>
      </c>
      <c r="R3181">
        <v>35109.423838685703</v>
      </c>
      <c r="S3181">
        <v>-2.08083324350812</v>
      </c>
      <c r="T3181">
        <v>87.995399544380874</v>
      </c>
      <c r="U3181">
        <v>0</v>
      </c>
      <c r="V3181">
        <v>0</v>
      </c>
    </row>
    <row r="3182" spans="1:22" x14ac:dyDescent="0.2">
      <c r="A3182"/>
      <c r="B3182">
        <v>72292</v>
      </c>
      <c r="C3182" t="s">
        <v>1502</v>
      </c>
      <c r="D3182" t="s">
        <v>1042</v>
      </c>
      <c r="E3182" t="s">
        <v>1273</v>
      </c>
      <c r="F3182" t="s">
        <v>92</v>
      </c>
      <c r="G3182">
        <v>6042.8176218724302</v>
      </c>
      <c r="H3182" t="s">
        <v>248</v>
      </c>
      <c r="I3182">
        <v>2</v>
      </c>
      <c r="J3182">
        <v>0</v>
      </c>
      <c r="K3182">
        <v>0</v>
      </c>
      <c r="L3182">
        <v>0</v>
      </c>
      <c r="M3182" t="s">
        <v>187</v>
      </c>
      <c r="N3182">
        <v>14059.2434332262</v>
      </c>
      <c r="O3182" t="s">
        <v>248</v>
      </c>
      <c r="P3182" t="b">
        <v>1</v>
      </c>
      <c r="Q3182">
        <v>6462.7377960091835</v>
      </c>
      <c r="R3182">
        <v>35108.638995579633</v>
      </c>
      <c r="S3182">
        <v>-2.0528308309017542</v>
      </c>
      <c r="T3182">
        <v>87.99479009259953</v>
      </c>
      <c r="U3182">
        <v>0</v>
      </c>
      <c r="V3182">
        <v>0</v>
      </c>
    </row>
    <row r="3183" spans="1:22" x14ac:dyDescent="0.2">
      <c r="A3183"/>
      <c r="B3183">
        <v>72293</v>
      </c>
      <c r="C3183" t="s">
        <v>1503</v>
      </c>
      <c r="D3183" t="s">
        <v>1042</v>
      </c>
      <c r="E3183" t="s">
        <v>1273</v>
      </c>
      <c r="F3183" t="s">
        <v>126</v>
      </c>
      <c r="G3183">
        <v>6985.3311829508893</v>
      </c>
      <c r="H3183" t="s">
        <v>248</v>
      </c>
      <c r="I3183">
        <v>-2</v>
      </c>
      <c r="J3183">
        <v>0</v>
      </c>
      <c r="K3183">
        <v>0</v>
      </c>
      <c r="L3183">
        <v>0</v>
      </c>
      <c r="M3183" t="s">
        <v>188</v>
      </c>
      <c r="N3183">
        <v>15000.581391669401</v>
      </c>
      <c r="O3183" t="s">
        <v>248</v>
      </c>
      <c r="P3183" t="b">
        <v>1</v>
      </c>
      <c r="Q3183">
        <v>6611.5336792326179</v>
      </c>
      <c r="R3183">
        <v>36036.838772717303</v>
      </c>
      <c r="S3183">
        <v>-3.9985932116357761</v>
      </c>
      <c r="T3183">
        <v>78.945776549763139</v>
      </c>
      <c r="U3183">
        <v>0</v>
      </c>
      <c r="V3183">
        <v>0</v>
      </c>
    </row>
    <row r="3184" spans="1:22" x14ac:dyDescent="0.2">
      <c r="A3184"/>
      <c r="B3184">
        <v>72294</v>
      </c>
      <c r="C3184" t="s">
        <v>1504</v>
      </c>
      <c r="D3184" t="s">
        <v>1042</v>
      </c>
      <c r="E3184" t="s">
        <v>1273</v>
      </c>
      <c r="F3184" t="s">
        <v>92</v>
      </c>
      <c r="G3184">
        <v>6984.7216097322289</v>
      </c>
      <c r="H3184" t="s">
        <v>248</v>
      </c>
      <c r="I3184">
        <v>2</v>
      </c>
      <c r="J3184">
        <v>0</v>
      </c>
      <c r="K3184">
        <v>0</v>
      </c>
      <c r="L3184">
        <v>0</v>
      </c>
      <c r="M3184" t="s">
        <v>187</v>
      </c>
      <c r="N3184">
        <v>15001.147421086</v>
      </c>
      <c r="O3184" t="s">
        <v>248</v>
      </c>
      <c r="P3184" t="b">
        <v>1</v>
      </c>
      <c r="Q3184">
        <v>6620.2925684416023</v>
      </c>
      <c r="R3184">
        <v>36035.213235153358</v>
      </c>
      <c r="S3184">
        <v>-3.9650615297918019</v>
      </c>
      <c r="T3184">
        <v>78.971710289853107</v>
      </c>
      <c r="U3184">
        <v>0</v>
      </c>
      <c r="V3184">
        <v>0</v>
      </c>
    </row>
    <row r="3185" spans="1:22" x14ac:dyDescent="0.2">
      <c r="A3185"/>
      <c r="B3185">
        <v>72295</v>
      </c>
      <c r="C3185" t="s">
        <v>1062</v>
      </c>
      <c r="D3185" t="s">
        <v>928</v>
      </c>
      <c r="E3185" t="s">
        <v>1041</v>
      </c>
      <c r="F3185" t="s">
        <v>92</v>
      </c>
      <c r="G3185">
        <v>6901.2799999999897</v>
      </c>
      <c r="H3185" t="s">
        <v>1270</v>
      </c>
      <c r="I3185">
        <v>0</v>
      </c>
      <c r="J3185">
        <v>0</v>
      </c>
      <c r="K3185">
        <v>0</v>
      </c>
      <c r="L3185">
        <v>0</v>
      </c>
      <c r="M3185" t="s">
        <v>92</v>
      </c>
      <c r="N3185">
        <v>6901.2799999999897</v>
      </c>
      <c r="O3185" t="s">
        <v>12</v>
      </c>
      <c r="P3185" t="b">
        <v>0</v>
      </c>
      <c r="Q3185">
        <v>6602.4078837093348</v>
      </c>
      <c r="R3185">
        <v>35953.687318183082</v>
      </c>
      <c r="S3185">
        <v>-3.9783201346888983</v>
      </c>
      <c r="T3185">
        <v>-100.95078489656264</v>
      </c>
      <c r="U3185">
        <v>0</v>
      </c>
      <c r="V3185">
        <v>0</v>
      </c>
    </row>
    <row r="3186" spans="1:22" x14ac:dyDescent="0.2">
      <c r="A3186"/>
      <c r="B3186">
        <v>72296</v>
      </c>
      <c r="C3186" t="s">
        <v>1063</v>
      </c>
      <c r="D3186" t="s">
        <v>928</v>
      </c>
      <c r="E3186" t="s">
        <v>1041</v>
      </c>
      <c r="F3186" t="s">
        <v>92</v>
      </c>
      <c r="G3186">
        <v>6923.4799999999896</v>
      </c>
      <c r="H3186" t="s">
        <v>1270</v>
      </c>
      <c r="I3186">
        <v>0</v>
      </c>
      <c r="J3186">
        <v>0</v>
      </c>
      <c r="K3186">
        <v>0</v>
      </c>
      <c r="L3186">
        <v>0</v>
      </c>
      <c r="M3186" t="s">
        <v>92</v>
      </c>
      <c r="N3186">
        <v>6923.4799999999896</v>
      </c>
      <c r="O3186" t="s">
        <v>12</v>
      </c>
      <c r="P3186" t="b">
        <v>0</v>
      </c>
      <c r="Q3186">
        <v>6606.63228192926</v>
      </c>
      <c r="R3186">
        <v>35975.481685213861</v>
      </c>
      <c r="S3186">
        <v>-3.9752547266156224</v>
      </c>
      <c r="T3186">
        <v>-100.98449246879693</v>
      </c>
      <c r="U3186">
        <v>0</v>
      </c>
      <c r="V3186">
        <v>0</v>
      </c>
    </row>
    <row r="3187" spans="1:22" x14ac:dyDescent="0.2">
      <c r="A3187"/>
      <c r="B3187">
        <v>72297</v>
      </c>
      <c r="C3187" t="s">
        <v>1065</v>
      </c>
      <c r="D3187" t="s">
        <v>928</v>
      </c>
      <c r="E3187" t="s">
        <v>1041</v>
      </c>
      <c r="F3187" t="s">
        <v>92</v>
      </c>
      <c r="G3187">
        <v>7059.4799999999896</v>
      </c>
      <c r="H3187" t="s">
        <v>12</v>
      </c>
      <c r="I3187">
        <v>0</v>
      </c>
      <c r="J3187">
        <v>0</v>
      </c>
      <c r="K3187">
        <v>0</v>
      </c>
      <c r="L3187">
        <v>0</v>
      </c>
      <c r="M3187" t="s">
        <v>92</v>
      </c>
      <c r="N3187">
        <v>7059.4799999999896</v>
      </c>
      <c r="O3187" t="s">
        <v>12</v>
      </c>
      <c r="P3187" t="b">
        <v>1</v>
      </c>
      <c r="Q3187">
        <v>6632.6234713555268</v>
      </c>
      <c r="R3187">
        <v>36108.974969142801</v>
      </c>
      <c r="S3187">
        <v>-3.9550570293989775</v>
      </c>
      <c r="T3187">
        <v>78.996775294781855</v>
      </c>
      <c r="U3187">
        <v>0</v>
      </c>
      <c r="V3187">
        <v>0</v>
      </c>
    </row>
    <row r="3188" spans="1:22" x14ac:dyDescent="0.2">
      <c r="A3188"/>
      <c r="B3188">
        <v>72298</v>
      </c>
      <c r="C3188" t="s">
        <v>1064</v>
      </c>
      <c r="D3188" t="s">
        <v>928</v>
      </c>
      <c r="E3188" t="s">
        <v>1041</v>
      </c>
      <c r="F3188" t="s">
        <v>92</v>
      </c>
      <c r="G3188">
        <v>7081.6799999999903</v>
      </c>
      <c r="H3188" t="s">
        <v>12</v>
      </c>
      <c r="I3188">
        <v>0</v>
      </c>
      <c r="J3188">
        <v>0</v>
      </c>
      <c r="K3188">
        <v>0</v>
      </c>
      <c r="L3188">
        <v>0</v>
      </c>
      <c r="M3188" t="s">
        <v>92</v>
      </c>
      <c r="N3188">
        <v>7081.6799999999903</v>
      </c>
      <c r="O3188" t="s">
        <v>12</v>
      </c>
      <c r="P3188" t="b">
        <v>1</v>
      </c>
      <c r="Q3188">
        <v>6636.8556330230904</v>
      </c>
      <c r="R3188">
        <v>36130.76783016033</v>
      </c>
      <c r="S3188">
        <v>-3.9544772985886159</v>
      </c>
      <c r="T3188">
        <v>79.028722725266505</v>
      </c>
      <c r="U3188">
        <v>0</v>
      </c>
      <c r="V3188">
        <v>0</v>
      </c>
    </row>
    <row r="3189" spans="1:22" x14ac:dyDescent="0.2">
      <c r="A3189"/>
      <c r="B3189">
        <v>72299</v>
      </c>
      <c r="C3189" t="s">
        <v>1092</v>
      </c>
      <c r="D3189" t="s">
        <v>1195</v>
      </c>
      <c r="E3189" t="s">
        <v>1198</v>
      </c>
      <c r="F3189" t="s">
        <v>122</v>
      </c>
      <c r="G3189">
        <v>87.499999999999901</v>
      </c>
      <c r="H3189" t="s">
        <v>1270</v>
      </c>
      <c r="I3189">
        <v>-1.6</v>
      </c>
      <c r="J3189">
        <v>0</v>
      </c>
      <c r="K3189">
        <v>0</v>
      </c>
      <c r="L3189">
        <v>0</v>
      </c>
      <c r="M3189" t="s">
        <v>122</v>
      </c>
      <c r="N3189">
        <v>87.499999999999901</v>
      </c>
      <c r="O3189" t="s">
        <v>12</v>
      </c>
      <c r="P3189" t="b">
        <v>0</v>
      </c>
      <c r="Q3189">
        <v>4956.3415007348049</v>
      </c>
      <c r="R3189">
        <v>22008.126705524959</v>
      </c>
      <c r="S3189">
        <v>-4.0410459951906938E-3</v>
      </c>
      <c r="T3189">
        <v>-103.89123297077111</v>
      </c>
      <c r="U3189">
        <v>0</v>
      </c>
      <c r="V3189">
        <v>0</v>
      </c>
    </row>
    <row r="3190" spans="1:22" x14ac:dyDescent="0.2">
      <c r="A3190"/>
      <c r="B3190">
        <v>72300</v>
      </c>
      <c r="C3190" t="s">
        <v>1093</v>
      </c>
      <c r="D3190" t="s">
        <v>1195</v>
      </c>
      <c r="E3190" t="s">
        <v>1274</v>
      </c>
      <c r="F3190" t="s">
        <v>122</v>
      </c>
      <c r="G3190">
        <v>109.69999999999899</v>
      </c>
      <c r="H3190" t="s">
        <v>1270</v>
      </c>
      <c r="I3190">
        <v>-1.5</v>
      </c>
      <c r="J3190">
        <v>0</v>
      </c>
      <c r="K3190">
        <v>0</v>
      </c>
      <c r="L3190">
        <v>0</v>
      </c>
      <c r="M3190" t="s">
        <v>122</v>
      </c>
      <c r="N3190">
        <v>109.69999999999899</v>
      </c>
      <c r="O3190" t="s">
        <v>12</v>
      </c>
      <c r="P3190" t="b">
        <v>0</v>
      </c>
      <c r="Q3190">
        <v>4961.4749123470046</v>
      </c>
      <c r="R3190">
        <v>22029.743535688351</v>
      </c>
      <c r="S3190">
        <v>-3.5210412493609229E-3</v>
      </c>
      <c r="T3190">
        <v>-103.22639984867686</v>
      </c>
      <c r="U3190">
        <v>0</v>
      </c>
      <c r="V3190">
        <v>0</v>
      </c>
    </row>
    <row r="3191" spans="1:22" x14ac:dyDescent="0.2">
      <c r="A3191"/>
      <c r="B3191">
        <v>72301</v>
      </c>
      <c r="C3191" t="s">
        <v>1094</v>
      </c>
      <c r="D3191" t="s">
        <v>1195</v>
      </c>
      <c r="E3191" t="s">
        <v>1274</v>
      </c>
      <c r="F3191" t="s">
        <v>122</v>
      </c>
      <c r="G3191">
        <v>246.3</v>
      </c>
      <c r="H3191" t="s">
        <v>12</v>
      </c>
      <c r="I3191">
        <v>-1.6</v>
      </c>
      <c r="J3191">
        <v>0</v>
      </c>
      <c r="K3191">
        <v>0</v>
      </c>
      <c r="L3191">
        <v>0</v>
      </c>
      <c r="M3191" t="s">
        <v>122</v>
      </c>
      <c r="N3191">
        <v>246.3</v>
      </c>
      <c r="O3191" t="s">
        <v>12</v>
      </c>
      <c r="P3191" t="b">
        <v>1</v>
      </c>
      <c r="Q3191">
        <v>4983.9633221687336</v>
      </c>
      <c r="R3191">
        <v>22164.547326011932</v>
      </c>
      <c r="S3191">
        <v>-2.7315048475514719E-2</v>
      </c>
      <c r="T3191">
        <v>79.882948886506981</v>
      </c>
      <c r="U3191">
        <v>0</v>
      </c>
      <c r="V3191">
        <v>0</v>
      </c>
    </row>
    <row r="3192" spans="1:22" x14ac:dyDescent="0.2">
      <c r="A3192"/>
      <c r="B3192">
        <v>72302</v>
      </c>
      <c r="C3192" t="s">
        <v>1095</v>
      </c>
      <c r="D3192" t="s">
        <v>1195</v>
      </c>
      <c r="E3192" t="s">
        <v>1198</v>
      </c>
      <c r="F3192" t="s">
        <v>122</v>
      </c>
      <c r="G3192">
        <v>268.5</v>
      </c>
      <c r="H3192" t="s">
        <v>12</v>
      </c>
      <c r="I3192">
        <v>-1.6</v>
      </c>
      <c r="J3192">
        <v>0</v>
      </c>
      <c r="K3192">
        <v>0</v>
      </c>
      <c r="L3192">
        <v>0</v>
      </c>
      <c r="M3192" t="s">
        <v>122</v>
      </c>
      <c r="N3192">
        <v>268.5</v>
      </c>
      <c r="O3192" t="s">
        <v>12</v>
      </c>
      <c r="P3192" t="b">
        <v>1</v>
      </c>
      <c r="Q3192">
        <v>4987.85522211223</v>
      </c>
      <c r="R3192">
        <v>22186.401644812679</v>
      </c>
      <c r="S3192">
        <v>-0.22021150001145864</v>
      </c>
      <c r="T3192">
        <v>79.917093360679488</v>
      </c>
      <c r="U3192">
        <v>0</v>
      </c>
      <c r="V3192">
        <v>0</v>
      </c>
    </row>
    <row r="3193" spans="1:22" x14ac:dyDescent="0.2">
      <c r="A3193"/>
      <c r="B3193">
        <v>72303</v>
      </c>
      <c r="C3193" t="s">
        <v>1096</v>
      </c>
      <c r="D3193" t="s">
        <v>1195</v>
      </c>
      <c r="E3193" t="s">
        <v>1198</v>
      </c>
      <c r="F3193" t="s">
        <v>84</v>
      </c>
      <c r="G3193">
        <v>87.82</v>
      </c>
      <c r="H3193" t="s">
        <v>1270</v>
      </c>
      <c r="I3193">
        <v>-1.6</v>
      </c>
      <c r="J3193">
        <v>0</v>
      </c>
      <c r="K3193">
        <v>0</v>
      </c>
      <c r="L3193">
        <v>0</v>
      </c>
      <c r="M3193" t="s">
        <v>84</v>
      </c>
      <c r="N3193">
        <v>87.82</v>
      </c>
      <c r="O3193" t="s">
        <v>12</v>
      </c>
      <c r="P3193" t="b">
        <v>0</v>
      </c>
      <c r="Q3193">
        <v>4961.2235722388832</v>
      </c>
      <c r="R3193">
        <v>22007.017128753912</v>
      </c>
      <c r="S3193">
        <v>-4.7399278592820514E-3</v>
      </c>
      <c r="T3193">
        <v>-103.84720557905052</v>
      </c>
      <c r="U3193">
        <v>0</v>
      </c>
      <c r="V3193">
        <v>0</v>
      </c>
    </row>
    <row r="3194" spans="1:22" x14ac:dyDescent="0.2">
      <c r="A3194"/>
      <c r="B3194">
        <v>72304</v>
      </c>
      <c r="C3194" t="s">
        <v>1097</v>
      </c>
      <c r="D3194" t="s">
        <v>1195</v>
      </c>
      <c r="E3194" t="s">
        <v>1274</v>
      </c>
      <c r="F3194" t="s">
        <v>84</v>
      </c>
      <c r="G3194">
        <v>110.02</v>
      </c>
      <c r="H3194" t="s">
        <v>1270</v>
      </c>
      <c r="I3194">
        <v>-1.6</v>
      </c>
      <c r="J3194">
        <v>0</v>
      </c>
      <c r="K3194">
        <v>0</v>
      </c>
      <c r="L3194">
        <v>0</v>
      </c>
      <c r="M3194" t="s">
        <v>84</v>
      </c>
      <c r="N3194">
        <v>110.02</v>
      </c>
      <c r="O3194" t="s">
        <v>12</v>
      </c>
      <c r="P3194" t="b">
        <v>0</v>
      </c>
      <c r="Q3194">
        <v>4966.4479604110447</v>
      </c>
      <c r="R3194">
        <v>22028.607967672302</v>
      </c>
      <c r="S3194">
        <v>2.3011621196019228E-3</v>
      </c>
      <c r="T3194">
        <v>-103.34589565670977</v>
      </c>
      <c r="U3194">
        <v>0</v>
      </c>
      <c r="V3194">
        <v>0</v>
      </c>
    </row>
    <row r="3195" spans="1:22" x14ac:dyDescent="0.2">
      <c r="A3195"/>
      <c r="B3195">
        <v>72305</v>
      </c>
      <c r="C3195" t="s">
        <v>1098</v>
      </c>
      <c r="D3195" t="s">
        <v>1195</v>
      </c>
      <c r="E3195" t="s">
        <v>1274</v>
      </c>
      <c r="F3195" t="s">
        <v>84</v>
      </c>
      <c r="G3195">
        <v>247</v>
      </c>
      <c r="H3195" t="s">
        <v>12</v>
      </c>
      <c r="I3195">
        <v>-1.6</v>
      </c>
      <c r="J3195">
        <v>0</v>
      </c>
      <c r="K3195">
        <v>0</v>
      </c>
      <c r="L3195">
        <v>0</v>
      </c>
      <c r="M3195" t="s">
        <v>84</v>
      </c>
      <c r="N3195">
        <v>247</v>
      </c>
      <c r="O3195" t="s">
        <v>12</v>
      </c>
      <c r="P3195" t="b">
        <v>1</v>
      </c>
      <c r="Q3195">
        <v>4988.8601979811483</v>
      </c>
      <c r="R3195">
        <v>22163.821608910534</v>
      </c>
      <c r="S3195">
        <v>-3.0225488160459325E-2</v>
      </c>
      <c r="T3195">
        <v>79.783576883279537</v>
      </c>
      <c r="U3195">
        <v>0</v>
      </c>
      <c r="V3195">
        <v>0</v>
      </c>
    </row>
    <row r="3196" spans="1:22" x14ac:dyDescent="0.2">
      <c r="A3196"/>
      <c r="B3196">
        <v>72306</v>
      </c>
      <c r="C3196" t="s">
        <v>1099</v>
      </c>
      <c r="D3196" t="s">
        <v>1195</v>
      </c>
      <c r="E3196" t="s">
        <v>1198</v>
      </c>
      <c r="F3196" t="s">
        <v>84</v>
      </c>
      <c r="G3196">
        <v>269.19999999999902</v>
      </c>
      <c r="H3196" t="s">
        <v>12</v>
      </c>
      <c r="I3196">
        <v>-1.6</v>
      </c>
      <c r="J3196">
        <v>0</v>
      </c>
      <c r="K3196">
        <v>0</v>
      </c>
      <c r="L3196">
        <v>0</v>
      </c>
      <c r="M3196" t="s">
        <v>84</v>
      </c>
      <c r="N3196">
        <v>269.19999999999902</v>
      </c>
      <c r="O3196" t="s">
        <v>12</v>
      </c>
      <c r="P3196" t="b">
        <v>1</v>
      </c>
      <c r="Q3196">
        <v>4992.7881810080335</v>
      </c>
      <c r="R3196">
        <v>22185.669100591153</v>
      </c>
      <c r="S3196">
        <v>-0.22776945733688159</v>
      </c>
      <c r="T3196">
        <v>79.829278900403352</v>
      </c>
      <c r="U3196">
        <v>0</v>
      </c>
      <c r="V3196">
        <v>0</v>
      </c>
    </row>
    <row r="3197" spans="1:22" x14ac:dyDescent="0.2">
      <c r="A3197"/>
      <c r="B3197">
        <v>72307</v>
      </c>
      <c r="C3197" t="s">
        <v>1100</v>
      </c>
      <c r="D3197" t="s">
        <v>1195</v>
      </c>
      <c r="E3197" t="s">
        <v>1198</v>
      </c>
      <c r="F3197" t="s">
        <v>123</v>
      </c>
      <c r="G3197">
        <v>1249.0999999999899</v>
      </c>
      <c r="H3197" t="s">
        <v>1270</v>
      </c>
      <c r="I3197">
        <v>-1.6</v>
      </c>
      <c r="J3197">
        <v>0</v>
      </c>
      <c r="K3197">
        <v>0</v>
      </c>
      <c r="L3197">
        <v>0</v>
      </c>
      <c r="M3197" t="s">
        <v>123</v>
      </c>
      <c r="N3197">
        <v>1249.0999999999899</v>
      </c>
      <c r="O3197" t="s">
        <v>12</v>
      </c>
      <c r="P3197" t="b">
        <v>0</v>
      </c>
      <c r="Q3197">
        <v>5068.6063260549436</v>
      </c>
      <c r="R3197">
        <v>23501.194390794284</v>
      </c>
      <c r="S3197">
        <v>7.4046637707225544</v>
      </c>
      <c r="T3197">
        <v>-91.510928029008298</v>
      </c>
      <c r="U3197">
        <v>0</v>
      </c>
      <c r="V3197">
        <v>0</v>
      </c>
    </row>
    <row r="3198" spans="1:22" x14ac:dyDescent="0.2">
      <c r="A3198"/>
      <c r="B3198">
        <v>72308</v>
      </c>
      <c r="C3198" t="s">
        <v>1101</v>
      </c>
      <c r="D3198" t="s">
        <v>1195</v>
      </c>
      <c r="E3198" t="s">
        <v>1274</v>
      </c>
      <c r="F3198" t="s">
        <v>123</v>
      </c>
      <c r="G3198">
        <v>1271.29999999999</v>
      </c>
      <c r="H3198" t="s">
        <v>1270</v>
      </c>
      <c r="I3198">
        <v>-1.6</v>
      </c>
      <c r="J3198">
        <v>0</v>
      </c>
      <c r="K3198">
        <v>0</v>
      </c>
      <c r="L3198">
        <v>0</v>
      </c>
      <c r="M3198" t="s">
        <v>123</v>
      </c>
      <c r="N3198">
        <v>1271.29999999999</v>
      </c>
      <c r="O3198" t="s">
        <v>12</v>
      </c>
      <c r="P3198" t="b">
        <v>0</v>
      </c>
      <c r="Q3198">
        <v>5069.2918369407071</v>
      </c>
      <c r="R3198">
        <v>23523.372430783325</v>
      </c>
      <c r="S3198">
        <v>7.397956531729772</v>
      </c>
      <c r="T3198">
        <v>-91.916229050346203</v>
      </c>
      <c r="U3198">
        <v>0</v>
      </c>
      <c r="V3198">
        <v>0</v>
      </c>
    </row>
    <row r="3199" spans="1:22" x14ac:dyDescent="0.2">
      <c r="A3199"/>
      <c r="B3199">
        <v>72309</v>
      </c>
      <c r="C3199" t="s">
        <v>1102</v>
      </c>
      <c r="D3199" t="s">
        <v>1195</v>
      </c>
      <c r="E3199" t="s">
        <v>1274</v>
      </c>
      <c r="F3199" t="s">
        <v>123</v>
      </c>
      <c r="G3199">
        <v>1407.99</v>
      </c>
      <c r="H3199" t="s">
        <v>12</v>
      </c>
      <c r="I3199">
        <v>-1.6</v>
      </c>
      <c r="J3199">
        <v>0</v>
      </c>
      <c r="K3199">
        <v>0</v>
      </c>
      <c r="L3199">
        <v>0</v>
      </c>
      <c r="M3199" t="s">
        <v>123</v>
      </c>
      <c r="N3199">
        <v>1407.99</v>
      </c>
      <c r="O3199" t="s">
        <v>12</v>
      </c>
      <c r="P3199" t="b">
        <v>1</v>
      </c>
      <c r="Q3199">
        <v>5070.3723222432918</v>
      </c>
      <c r="R3199">
        <v>23660.095192151173</v>
      </c>
      <c r="S3199">
        <v>7.4195992679669587</v>
      </c>
      <c r="T3199">
        <v>88.339191527352497</v>
      </c>
      <c r="U3199">
        <v>0</v>
      </c>
      <c r="V3199">
        <v>0</v>
      </c>
    </row>
    <row r="3200" spans="1:22" x14ac:dyDescent="0.2">
      <c r="A3200"/>
      <c r="B3200">
        <v>72310</v>
      </c>
      <c r="C3200" t="s">
        <v>1103</v>
      </c>
      <c r="D3200" t="s">
        <v>1195</v>
      </c>
      <c r="E3200" t="s">
        <v>1198</v>
      </c>
      <c r="F3200" t="s">
        <v>123</v>
      </c>
      <c r="G3200">
        <v>1430.19</v>
      </c>
      <c r="H3200" t="s">
        <v>12</v>
      </c>
      <c r="I3200">
        <v>-1.6</v>
      </c>
      <c r="J3200">
        <v>0</v>
      </c>
      <c r="K3200">
        <v>0</v>
      </c>
      <c r="L3200">
        <v>0</v>
      </c>
      <c r="M3200" t="s">
        <v>123</v>
      </c>
      <c r="N3200">
        <v>1430.19</v>
      </c>
      <c r="O3200" t="s">
        <v>12</v>
      </c>
      <c r="P3200" t="b">
        <v>1</v>
      </c>
      <c r="Q3200">
        <v>5071.0071408280946</v>
      </c>
      <c r="R3200">
        <v>23682.284876796642</v>
      </c>
      <c r="S3200">
        <v>7.4210519158150134</v>
      </c>
      <c r="T3200">
        <v>88.383450246067255</v>
      </c>
      <c r="U3200">
        <v>0</v>
      </c>
      <c r="V3200">
        <v>0</v>
      </c>
    </row>
    <row r="3201" spans="1:22" x14ac:dyDescent="0.2">
      <c r="A3201"/>
      <c r="B3201">
        <v>72311</v>
      </c>
      <c r="C3201" t="s">
        <v>1104</v>
      </c>
      <c r="D3201" t="s">
        <v>1195</v>
      </c>
      <c r="E3201" t="s">
        <v>1198</v>
      </c>
      <c r="F3201" t="s">
        <v>87</v>
      </c>
      <c r="G3201">
        <v>1353.44</v>
      </c>
      <c r="H3201" t="s">
        <v>12</v>
      </c>
      <c r="I3201">
        <v>-1.6</v>
      </c>
      <c r="J3201">
        <v>0</v>
      </c>
      <c r="K3201">
        <v>0</v>
      </c>
      <c r="L3201">
        <v>0</v>
      </c>
      <c r="M3201" t="s">
        <v>87</v>
      </c>
      <c r="N3201">
        <v>1353.44</v>
      </c>
      <c r="O3201" t="s">
        <v>12</v>
      </c>
      <c r="P3201" t="b">
        <v>1</v>
      </c>
      <c r="Q3201">
        <v>5075.9033058932582</v>
      </c>
      <c r="R3201">
        <v>23682.126040195362</v>
      </c>
      <c r="S3201">
        <v>7.4005415028803547</v>
      </c>
      <c r="T3201">
        <v>88.413044102679279</v>
      </c>
      <c r="U3201">
        <v>0</v>
      </c>
      <c r="V3201">
        <v>0</v>
      </c>
    </row>
    <row r="3202" spans="1:22" x14ac:dyDescent="0.2">
      <c r="A3202"/>
      <c r="B3202">
        <v>72312</v>
      </c>
      <c r="C3202" t="s">
        <v>1105</v>
      </c>
      <c r="D3202" t="s">
        <v>1195</v>
      </c>
      <c r="E3202" t="s">
        <v>1274</v>
      </c>
      <c r="F3202" t="s">
        <v>87</v>
      </c>
      <c r="G3202">
        <v>1331.24</v>
      </c>
      <c r="H3202" t="s">
        <v>12</v>
      </c>
      <c r="I3202">
        <v>-1.6</v>
      </c>
      <c r="J3202">
        <v>0</v>
      </c>
      <c r="K3202">
        <v>0</v>
      </c>
      <c r="L3202">
        <v>0</v>
      </c>
      <c r="M3202" t="s">
        <v>87</v>
      </c>
      <c r="N3202">
        <v>1331.24</v>
      </c>
      <c r="O3202" t="s">
        <v>12</v>
      </c>
      <c r="P3202" t="b">
        <v>1</v>
      </c>
      <c r="Q3202">
        <v>5075.2813900343235</v>
      </c>
      <c r="R3202">
        <v>23659.935784373974</v>
      </c>
      <c r="S3202">
        <v>7.4002785532646378</v>
      </c>
      <c r="T3202">
        <v>88.37614445465789</v>
      </c>
      <c r="U3202">
        <v>0</v>
      </c>
      <c r="V3202">
        <v>0</v>
      </c>
    </row>
    <row r="3203" spans="1:22" x14ac:dyDescent="0.2">
      <c r="A3203"/>
      <c r="B3203">
        <v>72313</v>
      </c>
      <c r="C3203" t="s">
        <v>1106</v>
      </c>
      <c r="D3203" t="s">
        <v>1195</v>
      </c>
      <c r="E3203" t="s">
        <v>1274</v>
      </c>
      <c r="F3203" t="s">
        <v>87</v>
      </c>
      <c r="G3203">
        <v>1194.6300000000001</v>
      </c>
      <c r="H3203" t="s">
        <v>1270</v>
      </c>
      <c r="I3203">
        <v>-1.6</v>
      </c>
      <c r="J3203">
        <v>0</v>
      </c>
      <c r="K3203">
        <v>0</v>
      </c>
      <c r="L3203">
        <v>0</v>
      </c>
      <c r="M3203" t="s">
        <v>87</v>
      </c>
      <c r="N3203">
        <v>1194.6300000000001</v>
      </c>
      <c r="O3203" t="s">
        <v>12</v>
      </c>
      <c r="P3203" t="b">
        <v>0</v>
      </c>
      <c r="Q3203">
        <v>5074.3326860786083</v>
      </c>
      <c r="R3203">
        <v>23523.291647539674</v>
      </c>
      <c r="S3203">
        <v>7.3980820215218266</v>
      </c>
      <c r="T3203">
        <v>-91.857290339556343</v>
      </c>
      <c r="U3203">
        <v>0</v>
      </c>
      <c r="V3203">
        <v>0</v>
      </c>
    </row>
    <row r="3204" spans="1:22" x14ac:dyDescent="0.2">
      <c r="A3204"/>
      <c r="B3204">
        <v>72314</v>
      </c>
      <c r="C3204" t="s">
        <v>1107</v>
      </c>
      <c r="D3204" t="s">
        <v>1195</v>
      </c>
      <c r="E3204" t="s">
        <v>1198</v>
      </c>
      <c r="F3204" t="s">
        <v>87</v>
      </c>
      <c r="G3204">
        <v>1172.43</v>
      </c>
      <c r="H3204" t="s">
        <v>1270</v>
      </c>
      <c r="I3204">
        <v>-1.6</v>
      </c>
      <c r="J3204">
        <v>0</v>
      </c>
      <c r="K3204">
        <v>0</v>
      </c>
      <c r="L3204">
        <v>0</v>
      </c>
      <c r="M3204" t="s">
        <v>87</v>
      </c>
      <c r="N3204">
        <v>1172.43</v>
      </c>
      <c r="O3204" t="s">
        <v>12</v>
      </c>
      <c r="P3204" t="b">
        <v>0</v>
      </c>
      <c r="Q3204">
        <v>5073.6056087102324</v>
      </c>
      <c r="R3204">
        <v>23501.102468685003</v>
      </c>
      <c r="S3204">
        <v>7.3976310676806172</v>
      </c>
      <c r="T3204">
        <v>-91.896259989998526</v>
      </c>
      <c r="U3204">
        <v>0</v>
      </c>
      <c r="V3204">
        <v>0</v>
      </c>
    </row>
    <row r="3205" spans="1:22" x14ac:dyDescent="0.2">
      <c r="A3205"/>
      <c r="B3205">
        <v>72315</v>
      </c>
      <c r="C3205" t="s">
        <v>1108</v>
      </c>
      <c r="D3205" t="s">
        <v>1195</v>
      </c>
      <c r="E3205" t="s">
        <v>1198</v>
      </c>
      <c r="F3205" t="s">
        <v>123</v>
      </c>
      <c r="G3205">
        <v>3014.0299999999902</v>
      </c>
      <c r="H3205" t="s">
        <v>12</v>
      </c>
      <c r="I3205">
        <v>-1.6</v>
      </c>
      <c r="J3205">
        <v>0</v>
      </c>
      <c r="K3205">
        <v>0</v>
      </c>
      <c r="L3205">
        <v>0</v>
      </c>
      <c r="M3205" t="s">
        <v>123</v>
      </c>
      <c r="N3205">
        <v>3014.0299999999902</v>
      </c>
      <c r="O3205" t="s">
        <v>12</v>
      </c>
      <c r="P3205" t="b">
        <v>1</v>
      </c>
      <c r="Q3205">
        <v>5150.6387784203607</v>
      </c>
      <c r="R3205">
        <v>25250.043949241874</v>
      </c>
      <c r="S3205">
        <v>-2.6176990108370823</v>
      </c>
      <c r="T3205">
        <v>70.003047817297713</v>
      </c>
      <c r="U3205">
        <v>0</v>
      </c>
      <c r="V3205">
        <v>0</v>
      </c>
    </row>
    <row r="3206" spans="1:22" x14ac:dyDescent="0.2">
      <c r="A3206"/>
      <c r="B3206">
        <v>72316</v>
      </c>
      <c r="C3206" t="s">
        <v>1109</v>
      </c>
      <c r="D3206" t="s">
        <v>1195</v>
      </c>
      <c r="E3206" t="s">
        <v>1274</v>
      </c>
      <c r="F3206" t="s">
        <v>123</v>
      </c>
      <c r="G3206">
        <v>2991.8299999999899</v>
      </c>
      <c r="H3206" t="s">
        <v>12</v>
      </c>
      <c r="I3206">
        <v>-1.6</v>
      </c>
      <c r="J3206">
        <v>0</v>
      </c>
      <c r="K3206">
        <v>0</v>
      </c>
      <c r="L3206">
        <v>0</v>
      </c>
      <c r="M3206" t="s">
        <v>123</v>
      </c>
      <c r="N3206">
        <v>2991.8299999999899</v>
      </c>
      <c r="O3206" t="s">
        <v>12</v>
      </c>
      <c r="P3206" t="b">
        <v>1</v>
      </c>
      <c r="Q3206">
        <v>5143.0409062914459</v>
      </c>
      <c r="R3206">
        <v>25229.185584760351</v>
      </c>
      <c r="S3206">
        <v>-2.6170308902498451</v>
      </c>
      <c r="T3206">
        <v>69.970142970261122</v>
      </c>
      <c r="U3206">
        <v>0</v>
      </c>
      <c r="V3206">
        <v>0</v>
      </c>
    </row>
    <row r="3207" spans="1:22" x14ac:dyDescent="0.2">
      <c r="A3207"/>
      <c r="B3207">
        <v>72317</v>
      </c>
      <c r="C3207" t="s">
        <v>1110</v>
      </c>
      <c r="D3207" t="s">
        <v>1195</v>
      </c>
      <c r="E3207" t="s">
        <v>1274</v>
      </c>
      <c r="F3207" t="s">
        <v>123</v>
      </c>
      <c r="G3207">
        <v>2855.3</v>
      </c>
      <c r="H3207" t="s">
        <v>1270</v>
      </c>
      <c r="I3207">
        <v>-1.6</v>
      </c>
      <c r="J3207">
        <v>0</v>
      </c>
      <c r="K3207">
        <v>0</v>
      </c>
      <c r="L3207">
        <v>0</v>
      </c>
      <c r="M3207" t="s">
        <v>123</v>
      </c>
      <c r="N3207">
        <v>2855.3</v>
      </c>
      <c r="O3207" t="s">
        <v>12</v>
      </c>
      <c r="P3207" t="b">
        <v>0</v>
      </c>
      <c r="Q3207">
        <v>5099.3098851013765</v>
      </c>
      <c r="R3207">
        <v>25099.811681061074</v>
      </c>
      <c r="S3207">
        <v>-2.6235101435018402</v>
      </c>
      <c r="T3207">
        <v>-109.92111020432431</v>
      </c>
      <c r="U3207">
        <v>0</v>
      </c>
      <c r="V3207">
        <v>0</v>
      </c>
    </row>
    <row r="3208" spans="1:22" x14ac:dyDescent="0.2">
      <c r="A3208"/>
      <c r="B3208">
        <v>72318</v>
      </c>
      <c r="C3208" t="s">
        <v>1111</v>
      </c>
      <c r="D3208" t="s">
        <v>1195</v>
      </c>
      <c r="E3208" t="s">
        <v>1198</v>
      </c>
      <c r="F3208" t="s">
        <v>123</v>
      </c>
      <c r="G3208">
        <v>2833.1</v>
      </c>
      <c r="H3208" t="s">
        <v>1270</v>
      </c>
      <c r="I3208">
        <v>-1.6</v>
      </c>
      <c r="J3208">
        <v>0</v>
      </c>
      <c r="K3208">
        <v>0</v>
      </c>
      <c r="L3208">
        <v>0</v>
      </c>
      <c r="M3208" t="s">
        <v>123</v>
      </c>
      <c r="N3208">
        <v>2833.1</v>
      </c>
      <c r="O3208" t="s">
        <v>12</v>
      </c>
      <c r="P3208" t="b">
        <v>0</v>
      </c>
      <c r="Q3208">
        <v>5091.7566638493163</v>
      </c>
      <c r="R3208">
        <v>25078.937841608134</v>
      </c>
      <c r="S3208">
        <v>-2.6208844247890335</v>
      </c>
      <c r="T3208">
        <v>-109.86333925364255</v>
      </c>
      <c r="U3208">
        <v>0</v>
      </c>
      <c r="V3208">
        <v>0</v>
      </c>
    </row>
    <row r="3209" spans="1:22" x14ac:dyDescent="0.2">
      <c r="A3209"/>
      <c r="B3209">
        <v>72319</v>
      </c>
      <c r="C3209" t="s">
        <v>1112</v>
      </c>
      <c r="D3209" t="s">
        <v>1195</v>
      </c>
      <c r="E3209" t="s">
        <v>1198</v>
      </c>
      <c r="F3209" t="s">
        <v>87</v>
      </c>
      <c r="G3209">
        <v>2935.6999999999898</v>
      </c>
      <c r="H3209" t="s">
        <v>12</v>
      </c>
      <c r="I3209">
        <v>-1.6</v>
      </c>
      <c r="J3209">
        <v>0</v>
      </c>
      <c r="K3209">
        <v>0</v>
      </c>
      <c r="L3209">
        <v>0</v>
      </c>
      <c r="M3209" t="s">
        <v>87</v>
      </c>
      <c r="N3209">
        <v>2935.6999999999898</v>
      </c>
      <c r="O3209" t="s">
        <v>12</v>
      </c>
      <c r="P3209" t="b">
        <v>1</v>
      </c>
      <c r="Q3209">
        <v>5155.3443318941036</v>
      </c>
      <c r="R3209">
        <v>25248.30974849833</v>
      </c>
      <c r="S3209">
        <v>-2.6371420768554246</v>
      </c>
      <c r="T3209">
        <v>69.977060372280363</v>
      </c>
      <c r="U3209">
        <v>0</v>
      </c>
      <c r="V3209">
        <v>0</v>
      </c>
    </row>
    <row r="3210" spans="1:22" x14ac:dyDescent="0.2">
      <c r="A3210"/>
      <c r="B3210">
        <v>72320</v>
      </c>
      <c r="C3210" t="s">
        <v>1113</v>
      </c>
      <c r="D3210" t="s">
        <v>1195</v>
      </c>
      <c r="E3210" t="s">
        <v>1274</v>
      </c>
      <c r="F3210" t="s">
        <v>87</v>
      </c>
      <c r="G3210">
        <v>2913.5</v>
      </c>
      <c r="H3210" t="s">
        <v>12</v>
      </c>
      <c r="I3210">
        <v>-1.6</v>
      </c>
      <c r="J3210">
        <v>0</v>
      </c>
      <c r="K3210">
        <v>0</v>
      </c>
      <c r="L3210">
        <v>0</v>
      </c>
      <c r="M3210" t="s">
        <v>87</v>
      </c>
      <c r="N3210">
        <v>2913.5</v>
      </c>
      <c r="O3210" t="s">
        <v>12</v>
      </c>
      <c r="P3210" t="b">
        <v>1</v>
      </c>
      <c r="Q3210">
        <v>5147.7332557995715</v>
      </c>
      <c r="R3210">
        <v>25227.456799842272</v>
      </c>
      <c r="S3210">
        <v>-2.6323091915731101</v>
      </c>
      <c r="T3210">
        <v>69.923849337965606</v>
      </c>
      <c r="U3210">
        <v>0</v>
      </c>
      <c r="V3210">
        <v>0</v>
      </c>
    </row>
    <row r="3211" spans="1:22" x14ac:dyDescent="0.2">
      <c r="A3211"/>
      <c r="B3211">
        <v>72321</v>
      </c>
      <c r="C3211" t="s">
        <v>1114</v>
      </c>
      <c r="D3211" t="s">
        <v>1195</v>
      </c>
      <c r="E3211" t="s">
        <v>1274</v>
      </c>
      <c r="F3211" t="s">
        <v>87</v>
      </c>
      <c r="G3211">
        <v>2777.0999999999899</v>
      </c>
      <c r="H3211" t="s">
        <v>1270</v>
      </c>
      <c r="I3211">
        <v>-1.6</v>
      </c>
      <c r="J3211">
        <v>0</v>
      </c>
      <c r="K3211">
        <v>0</v>
      </c>
      <c r="L3211">
        <v>0</v>
      </c>
      <c r="M3211" t="s">
        <v>87</v>
      </c>
      <c r="N3211">
        <v>2777.0999999999899</v>
      </c>
      <c r="O3211" t="s">
        <v>12</v>
      </c>
      <c r="P3211" t="b">
        <v>0</v>
      </c>
      <c r="Q3211">
        <v>5103.9577191963199</v>
      </c>
      <c r="R3211">
        <v>25098.23688727753</v>
      </c>
      <c r="S3211">
        <v>-2.6263710211892772</v>
      </c>
      <c r="T3211">
        <v>-109.89747672538009</v>
      </c>
      <c r="U3211">
        <v>0</v>
      </c>
      <c r="V3211">
        <v>0</v>
      </c>
    </row>
    <row r="3212" spans="1:22" x14ac:dyDescent="0.2">
      <c r="A3212"/>
      <c r="B3212">
        <v>72322</v>
      </c>
      <c r="C3212" t="s">
        <v>1115</v>
      </c>
      <c r="D3212" t="s">
        <v>1195</v>
      </c>
      <c r="E3212" t="s">
        <v>1198</v>
      </c>
      <c r="F3212" t="s">
        <v>87</v>
      </c>
      <c r="G3212">
        <v>2754.9</v>
      </c>
      <c r="H3212" t="s">
        <v>1270</v>
      </c>
      <c r="I3212">
        <v>-1.6</v>
      </c>
      <c r="J3212">
        <v>0</v>
      </c>
      <c r="K3212">
        <v>0</v>
      </c>
      <c r="L3212">
        <v>0</v>
      </c>
      <c r="M3212" t="s">
        <v>87</v>
      </c>
      <c r="N3212">
        <v>2754.9</v>
      </c>
      <c r="O3212" t="s">
        <v>12</v>
      </c>
      <c r="P3212" t="b">
        <v>0</v>
      </c>
      <c r="Q3212">
        <v>5096.4202741109802</v>
      </c>
      <c r="R3212">
        <v>25077.358454340691</v>
      </c>
      <c r="S3212">
        <v>-2.6245553119620468</v>
      </c>
      <c r="T3212">
        <v>-109.80242754237791</v>
      </c>
      <c r="U3212">
        <v>0</v>
      </c>
      <c r="V3212">
        <v>0</v>
      </c>
    </row>
    <row r="3213" spans="1:22" x14ac:dyDescent="0.2">
      <c r="A3213"/>
      <c r="B3213">
        <v>72323</v>
      </c>
      <c r="C3213" t="s">
        <v>1116</v>
      </c>
      <c r="D3213" t="s">
        <v>1195</v>
      </c>
      <c r="E3213" t="s">
        <v>1198</v>
      </c>
      <c r="F3213" t="s">
        <v>123</v>
      </c>
      <c r="G3213">
        <v>4058.0999999999899</v>
      </c>
      <c r="H3213" t="s">
        <v>12</v>
      </c>
      <c r="I3213">
        <v>-1.6</v>
      </c>
      <c r="J3213">
        <v>0</v>
      </c>
      <c r="K3213">
        <v>0</v>
      </c>
      <c r="L3213">
        <v>0</v>
      </c>
      <c r="M3213" t="s">
        <v>123</v>
      </c>
      <c r="N3213">
        <v>4058.0999999999899</v>
      </c>
      <c r="O3213" t="s">
        <v>12</v>
      </c>
      <c r="P3213" t="b">
        <v>1</v>
      </c>
      <c r="Q3213">
        <v>5328.2503887414123</v>
      </c>
      <c r="R3213">
        <v>26275.939993098786</v>
      </c>
      <c r="S3213">
        <v>-2.3450174084384425</v>
      </c>
      <c r="T3213">
        <v>82.344419826548048</v>
      </c>
      <c r="U3213">
        <v>0</v>
      </c>
      <c r="V3213">
        <v>0</v>
      </c>
    </row>
    <row r="3214" spans="1:22" x14ac:dyDescent="0.2">
      <c r="A3214"/>
      <c r="B3214">
        <v>72324</v>
      </c>
      <c r="C3214" t="s">
        <v>1117</v>
      </c>
      <c r="D3214" t="s">
        <v>1195</v>
      </c>
      <c r="E3214" t="s">
        <v>1274</v>
      </c>
      <c r="F3214" t="s">
        <v>123</v>
      </c>
      <c r="G3214">
        <v>4035.9</v>
      </c>
      <c r="H3214" t="s">
        <v>12</v>
      </c>
      <c r="I3214">
        <v>-1.6</v>
      </c>
      <c r="J3214">
        <v>0</v>
      </c>
      <c r="K3214">
        <v>0</v>
      </c>
      <c r="L3214">
        <v>0</v>
      </c>
      <c r="M3214" t="s">
        <v>123</v>
      </c>
      <c r="N3214">
        <v>4035.9</v>
      </c>
      <c r="O3214" t="s">
        <v>12</v>
      </c>
      <c r="P3214" t="b">
        <v>1</v>
      </c>
      <c r="Q3214">
        <v>5325.2970935289768</v>
      </c>
      <c r="R3214">
        <v>26253.936714590123</v>
      </c>
      <c r="S3214">
        <v>-2.3430904428925796</v>
      </c>
      <c r="T3214">
        <v>82.365572415818207</v>
      </c>
      <c r="U3214">
        <v>0</v>
      </c>
      <c r="V3214">
        <v>0</v>
      </c>
    </row>
    <row r="3215" spans="1:22" x14ac:dyDescent="0.2">
      <c r="A3215"/>
      <c r="B3215">
        <v>72325</v>
      </c>
      <c r="C3215" t="s">
        <v>1118</v>
      </c>
      <c r="D3215" t="s">
        <v>1195</v>
      </c>
      <c r="E3215" t="s">
        <v>1274</v>
      </c>
      <c r="F3215" t="s">
        <v>123</v>
      </c>
      <c r="G3215">
        <v>3899.38</v>
      </c>
      <c r="H3215" t="s">
        <v>1270</v>
      </c>
      <c r="I3215">
        <v>-1.6</v>
      </c>
      <c r="J3215">
        <v>0</v>
      </c>
      <c r="K3215">
        <v>0</v>
      </c>
      <c r="L3215">
        <v>0</v>
      </c>
      <c r="M3215" t="s">
        <v>123</v>
      </c>
      <c r="N3215">
        <v>3899.38</v>
      </c>
      <c r="O3215" t="s">
        <v>12</v>
      </c>
      <c r="P3215" t="b">
        <v>0</v>
      </c>
      <c r="Q3215">
        <v>5310.3937731529504</v>
      </c>
      <c r="R3215">
        <v>26118.1940210254</v>
      </c>
      <c r="S3215">
        <v>-2.3355344356488867</v>
      </c>
      <c r="T3215">
        <v>-97.613203598904306</v>
      </c>
      <c r="U3215">
        <v>0</v>
      </c>
      <c r="V3215">
        <v>0</v>
      </c>
    </row>
    <row r="3216" spans="1:22" x14ac:dyDescent="0.2">
      <c r="A3216"/>
      <c r="B3216">
        <v>72326</v>
      </c>
      <c r="C3216" t="s">
        <v>1119</v>
      </c>
      <c r="D3216" t="s">
        <v>1195</v>
      </c>
      <c r="E3216" t="s">
        <v>1198</v>
      </c>
      <c r="F3216" t="s">
        <v>123</v>
      </c>
      <c r="G3216">
        <v>3877.18</v>
      </c>
      <c r="H3216" t="s">
        <v>1270</v>
      </c>
      <c r="I3216">
        <v>-1.6</v>
      </c>
      <c r="J3216">
        <v>0</v>
      </c>
      <c r="K3216">
        <v>0</v>
      </c>
      <c r="L3216">
        <v>0</v>
      </c>
      <c r="M3216" t="s">
        <v>123</v>
      </c>
      <c r="N3216">
        <v>3877.18</v>
      </c>
      <c r="O3216" t="s">
        <v>12</v>
      </c>
      <c r="P3216" t="b">
        <v>0</v>
      </c>
      <c r="Q3216">
        <v>5307.4499798000252</v>
      </c>
      <c r="R3216">
        <v>26096.189663586265</v>
      </c>
      <c r="S3216">
        <v>-2.3350039836470469</v>
      </c>
      <c r="T3216">
        <v>-97.627453573566214</v>
      </c>
      <c r="U3216">
        <v>0</v>
      </c>
      <c r="V3216">
        <v>0</v>
      </c>
    </row>
    <row r="3217" spans="1:22" x14ac:dyDescent="0.2">
      <c r="A3217"/>
      <c r="B3217">
        <v>72327</v>
      </c>
      <c r="C3217" t="s">
        <v>1120</v>
      </c>
      <c r="D3217" t="s">
        <v>1195</v>
      </c>
      <c r="E3217" t="s">
        <v>1198</v>
      </c>
      <c r="F3217" t="s">
        <v>87</v>
      </c>
      <c r="G3217">
        <v>3980.9199999999901</v>
      </c>
      <c r="H3217" t="s">
        <v>12</v>
      </c>
      <c r="I3217">
        <v>-1.6</v>
      </c>
      <c r="J3217">
        <v>0</v>
      </c>
      <c r="K3217">
        <v>0</v>
      </c>
      <c r="L3217">
        <v>0</v>
      </c>
      <c r="M3217" t="s">
        <v>87</v>
      </c>
      <c r="N3217">
        <v>3980.9199999999901</v>
      </c>
      <c r="O3217" t="s">
        <v>12</v>
      </c>
      <c r="P3217" t="b">
        <v>1</v>
      </c>
      <c r="Q3217">
        <v>5333.2008549592701</v>
      </c>
      <c r="R3217">
        <v>26275.332933821304</v>
      </c>
      <c r="S3217">
        <v>-2.3628428452899377</v>
      </c>
      <c r="T3217">
        <v>82.373049363048139</v>
      </c>
      <c r="U3217">
        <v>0</v>
      </c>
      <c r="V3217">
        <v>0</v>
      </c>
    </row>
    <row r="3218" spans="1:22" x14ac:dyDescent="0.2">
      <c r="A3218"/>
      <c r="B3218">
        <v>72328</v>
      </c>
      <c r="C3218" t="s">
        <v>1121</v>
      </c>
      <c r="D3218" t="s">
        <v>1195</v>
      </c>
      <c r="E3218" t="s">
        <v>1274</v>
      </c>
      <c r="F3218" t="s">
        <v>87</v>
      </c>
      <c r="G3218">
        <v>3958.7199999999898</v>
      </c>
      <c r="H3218" t="s">
        <v>12</v>
      </c>
      <c r="I3218">
        <v>-1.6</v>
      </c>
      <c r="J3218">
        <v>0</v>
      </c>
      <c r="K3218">
        <v>0</v>
      </c>
      <c r="L3218">
        <v>0</v>
      </c>
      <c r="M3218" t="s">
        <v>87</v>
      </c>
      <c r="N3218">
        <v>3958.7199999999898</v>
      </c>
      <c r="O3218" t="s">
        <v>12</v>
      </c>
      <c r="P3218" t="b">
        <v>1</v>
      </c>
      <c r="Q3218">
        <v>5330.2547402587452</v>
      </c>
      <c r="R3218">
        <v>26253.329244963999</v>
      </c>
      <c r="S3218">
        <v>-2.3619452859526198</v>
      </c>
      <c r="T3218">
        <v>82.374594671234206</v>
      </c>
      <c r="U3218">
        <v>0</v>
      </c>
      <c r="V3218">
        <v>0</v>
      </c>
    </row>
    <row r="3219" spans="1:22" x14ac:dyDescent="0.2">
      <c r="A3219"/>
      <c r="B3219">
        <v>72329</v>
      </c>
      <c r="C3219" t="s">
        <v>1122</v>
      </c>
      <c r="D3219" t="s">
        <v>1195</v>
      </c>
      <c r="E3219" t="s">
        <v>1274</v>
      </c>
      <c r="F3219" t="s">
        <v>87</v>
      </c>
      <c r="G3219">
        <v>3822.1999999999898</v>
      </c>
      <c r="H3219" t="s">
        <v>1270</v>
      </c>
      <c r="I3219">
        <v>-1.6</v>
      </c>
      <c r="J3219">
        <v>0</v>
      </c>
      <c r="K3219">
        <v>0</v>
      </c>
      <c r="L3219">
        <v>0</v>
      </c>
      <c r="M3219" t="s">
        <v>87</v>
      </c>
      <c r="N3219">
        <v>3822.1999999999898</v>
      </c>
      <c r="O3219" t="s">
        <v>12</v>
      </c>
      <c r="P3219" t="b">
        <v>0</v>
      </c>
      <c r="Q3219">
        <v>5315.3008557713329</v>
      </c>
      <c r="R3219">
        <v>26117.592786235062</v>
      </c>
      <c r="S3219">
        <v>-2.3495810758573632</v>
      </c>
      <c r="T3219">
        <v>-97.640962391314886</v>
      </c>
      <c r="U3219">
        <v>0</v>
      </c>
      <c r="V3219">
        <v>0</v>
      </c>
    </row>
    <row r="3220" spans="1:22" x14ac:dyDescent="0.2">
      <c r="A3220"/>
      <c r="B3220">
        <v>72330</v>
      </c>
      <c r="C3220" t="s">
        <v>1123</v>
      </c>
      <c r="D3220" t="s">
        <v>1195</v>
      </c>
      <c r="E3220" t="s">
        <v>1198</v>
      </c>
      <c r="F3220" t="s">
        <v>87</v>
      </c>
      <c r="G3220">
        <v>3800</v>
      </c>
      <c r="H3220" t="s">
        <v>1270</v>
      </c>
      <c r="I3220">
        <v>-1.6</v>
      </c>
      <c r="J3220">
        <v>0</v>
      </c>
      <c r="K3220">
        <v>0</v>
      </c>
      <c r="L3220">
        <v>0</v>
      </c>
      <c r="M3220" t="s">
        <v>87</v>
      </c>
      <c r="N3220">
        <v>3800</v>
      </c>
      <c r="O3220" t="s">
        <v>12</v>
      </c>
      <c r="P3220" t="b">
        <v>0</v>
      </c>
      <c r="Q3220">
        <v>5312.3477764344707</v>
      </c>
      <c r="R3220">
        <v>26095.589888666076</v>
      </c>
      <c r="S3220">
        <v>-2.3464574592904817</v>
      </c>
      <c r="T3220">
        <v>-97.647567277417565</v>
      </c>
      <c r="U3220">
        <v>0</v>
      </c>
      <c r="V3220">
        <v>0</v>
      </c>
    </row>
    <row r="3221" spans="1:22" x14ac:dyDescent="0.2">
      <c r="A3221"/>
      <c r="B3221">
        <v>72331</v>
      </c>
      <c r="C3221" t="s">
        <v>1124</v>
      </c>
      <c r="D3221" t="s">
        <v>1195</v>
      </c>
      <c r="E3221" t="s">
        <v>1198</v>
      </c>
      <c r="F3221" t="s">
        <v>124</v>
      </c>
      <c r="G3221">
        <v>216.25</v>
      </c>
      <c r="H3221" t="s">
        <v>12</v>
      </c>
      <c r="I3221">
        <v>-1.6</v>
      </c>
      <c r="J3221">
        <v>0</v>
      </c>
      <c r="K3221">
        <v>0</v>
      </c>
      <c r="L3221">
        <v>0</v>
      </c>
      <c r="M3221" t="s">
        <v>124</v>
      </c>
      <c r="N3221">
        <v>216.25</v>
      </c>
      <c r="O3221" t="s">
        <v>12</v>
      </c>
      <c r="P3221" t="b">
        <v>1</v>
      </c>
      <c r="Q3221">
        <v>5655.568480862552</v>
      </c>
      <c r="R3221">
        <v>28117.627804573232</v>
      </c>
      <c r="S3221">
        <v>5.2336090431631375</v>
      </c>
      <c r="T3221">
        <v>80.706560732361083</v>
      </c>
      <c r="U3221">
        <v>0</v>
      </c>
      <c r="V3221">
        <v>0</v>
      </c>
    </row>
    <row r="3222" spans="1:22" x14ac:dyDescent="0.2">
      <c r="A3222"/>
      <c r="B3222">
        <v>72332</v>
      </c>
      <c r="C3222" t="s">
        <v>1125</v>
      </c>
      <c r="D3222" t="s">
        <v>1195</v>
      </c>
      <c r="E3222" t="s">
        <v>1274</v>
      </c>
      <c r="F3222" t="s">
        <v>124</v>
      </c>
      <c r="G3222">
        <v>194.05</v>
      </c>
      <c r="H3222" t="s">
        <v>12</v>
      </c>
      <c r="I3222">
        <v>-1.6</v>
      </c>
      <c r="J3222">
        <v>0</v>
      </c>
      <c r="K3222">
        <v>0</v>
      </c>
      <c r="L3222">
        <v>0</v>
      </c>
      <c r="M3222" t="s">
        <v>124</v>
      </c>
      <c r="N3222">
        <v>194.05</v>
      </c>
      <c r="O3222" t="s">
        <v>12</v>
      </c>
      <c r="P3222" t="b">
        <v>1</v>
      </c>
      <c r="Q3222">
        <v>5651.9844516335215</v>
      </c>
      <c r="R3222">
        <v>28095.718938645619</v>
      </c>
      <c r="S3222">
        <v>5.2361793876723715</v>
      </c>
      <c r="T3222">
        <v>80.709527583829882</v>
      </c>
      <c r="U3222">
        <v>0</v>
      </c>
      <c r="V3222">
        <v>0</v>
      </c>
    </row>
    <row r="3223" spans="1:22" x14ac:dyDescent="0.2">
      <c r="A3223"/>
      <c r="B3223">
        <v>72333</v>
      </c>
      <c r="C3223" t="s">
        <v>1126</v>
      </c>
      <c r="D3223" t="s">
        <v>1195</v>
      </c>
      <c r="E3223" t="s">
        <v>1274</v>
      </c>
      <c r="F3223" t="s">
        <v>124</v>
      </c>
      <c r="G3223">
        <v>57.48</v>
      </c>
      <c r="H3223" t="s">
        <v>1270</v>
      </c>
      <c r="I3223">
        <v>-1.6</v>
      </c>
      <c r="J3223">
        <v>0</v>
      </c>
      <c r="K3223">
        <v>0</v>
      </c>
      <c r="L3223">
        <v>0</v>
      </c>
      <c r="M3223" t="s">
        <v>124</v>
      </c>
      <c r="N3223">
        <v>57.48</v>
      </c>
      <c r="O3223" t="s">
        <v>12</v>
      </c>
      <c r="P3223" t="b">
        <v>0</v>
      </c>
      <c r="Q3223">
        <v>5633.0887760286168</v>
      </c>
      <c r="R3223">
        <v>27960.424679509742</v>
      </c>
      <c r="S3223">
        <v>5.2311887189378359</v>
      </c>
      <c r="T3223">
        <v>-99.292627633763388</v>
      </c>
      <c r="U3223">
        <v>0</v>
      </c>
      <c r="V3223">
        <v>0</v>
      </c>
    </row>
    <row r="3224" spans="1:22" x14ac:dyDescent="0.2">
      <c r="A3224"/>
      <c r="B3224">
        <v>72334</v>
      </c>
      <c r="C3224" t="s">
        <v>1127</v>
      </c>
      <c r="D3224" t="s">
        <v>1195</v>
      </c>
      <c r="E3224" t="s">
        <v>1198</v>
      </c>
      <c r="F3224" t="s">
        <v>124</v>
      </c>
      <c r="G3224">
        <v>35.28</v>
      </c>
      <c r="H3224" t="s">
        <v>1270</v>
      </c>
      <c r="I3224">
        <v>-1.6</v>
      </c>
      <c r="J3224">
        <v>0</v>
      </c>
      <c r="K3224">
        <v>0</v>
      </c>
      <c r="L3224">
        <v>0</v>
      </c>
      <c r="M3224" t="s">
        <v>124</v>
      </c>
      <c r="N3224">
        <v>35.28</v>
      </c>
      <c r="O3224" t="s">
        <v>12</v>
      </c>
      <c r="P3224" t="b">
        <v>0</v>
      </c>
      <c r="Q3224">
        <v>5629.5042218301587</v>
      </c>
      <c r="R3224">
        <v>27938.516019325343</v>
      </c>
      <c r="S3224">
        <v>5.2264669701787971</v>
      </c>
      <c r="T3224">
        <v>-99.29137129647934</v>
      </c>
      <c r="U3224">
        <v>0</v>
      </c>
      <c r="V3224">
        <v>0</v>
      </c>
    </row>
    <row r="3225" spans="1:22" x14ac:dyDescent="0.2">
      <c r="A3225"/>
      <c r="B3225">
        <v>72335</v>
      </c>
      <c r="C3225" t="s">
        <v>1128</v>
      </c>
      <c r="D3225" t="s">
        <v>1195</v>
      </c>
      <c r="E3225" t="s">
        <v>1198</v>
      </c>
      <c r="F3225" t="s">
        <v>89</v>
      </c>
      <c r="G3225">
        <v>293.3</v>
      </c>
      <c r="H3225" t="s">
        <v>12</v>
      </c>
      <c r="I3225">
        <v>-1.6</v>
      </c>
      <c r="J3225">
        <v>0</v>
      </c>
      <c r="K3225">
        <v>0</v>
      </c>
      <c r="L3225">
        <v>0</v>
      </c>
      <c r="M3225" t="s">
        <v>89</v>
      </c>
      <c r="N3225">
        <v>293.3</v>
      </c>
      <c r="O3225" t="s">
        <v>12</v>
      </c>
      <c r="P3225" t="b">
        <v>1</v>
      </c>
      <c r="Q3225">
        <v>5660.5123311817642</v>
      </c>
      <c r="R3225">
        <v>28116.914371890613</v>
      </c>
      <c r="S3225">
        <v>5.2432876901125391</v>
      </c>
      <c r="T3225">
        <v>80.676451257525144</v>
      </c>
      <c r="U3225">
        <v>0</v>
      </c>
      <c r="V3225">
        <v>0</v>
      </c>
    </row>
    <row r="3226" spans="1:22" x14ac:dyDescent="0.2">
      <c r="A3226"/>
      <c r="B3226">
        <v>72336</v>
      </c>
      <c r="C3226" t="s">
        <v>1129</v>
      </c>
      <c r="D3226" t="s">
        <v>1195</v>
      </c>
      <c r="E3226" t="s">
        <v>1274</v>
      </c>
      <c r="F3226" t="s">
        <v>89</v>
      </c>
      <c r="G3226">
        <v>271.10000000000002</v>
      </c>
      <c r="H3226" t="s">
        <v>12</v>
      </c>
      <c r="I3226">
        <v>-1.6</v>
      </c>
      <c r="J3226">
        <v>0</v>
      </c>
      <c r="K3226">
        <v>0</v>
      </c>
      <c r="L3226">
        <v>0</v>
      </c>
      <c r="M3226" t="s">
        <v>89</v>
      </c>
      <c r="N3226">
        <v>271.10000000000002</v>
      </c>
      <c r="O3226" t="s">
        <v>12</v>
      </c>
      <c r="P3226" t="b">
        <v>1</v>
      </c>
      <c r="Q3226">
        <v>5656.9130505315252</v>
      </c>
      <c r="R3226">
        <v>28095.008474838865</v>
      </c>
      <c r="S3226">
        <v>5.2464117679925986</v>
      </c>
      <c r="T3226">
        <v>80.662868330426534</v>
      </c>
      <c r="U3226">
        <v>0</v>
      </c>
      <c r="V3226">
        <v>0</v>
      </c>
    </row>
    <row r="3227" spans="1:22" x14ac:dyDescent="0.2">
      <c r="A3227"/>
      <c r="B3227">
        <v>72337</v>
      </c>
      <c r="C3227" t="s">
        <v>1130</v>
      </c>
      <c r="D3227" t="s">
        <v>1195</v>
      </c>
      <c r="E3227" t="s">
        <v>1274</v>
      </c>
      <c r="F3227" t="s">
        <v>89</v>
      </c>
      <c r="G3227">
        <v>134.58000000000001</v>
      </c>
      <c r="H3227" t="s">
        <v>1270</v>
      </c>
      <c r="I3227">
        <v>-1.6</v>
      </c>
      <c r="J3227">
        <v>0</v>
      </c>
      <c r="K3227">
        <v>0</v>
      </c>
      <c r="L3227">
        <v>0</v>
      </c>
      <c r="M3227" t="s">
        <v>89</v>
      </c>
      <c r="N3227">
        <v>134.58000000000001</v>
      </c>
      <c r="O3227" t="s">
        <v>12</v>
      </c>
      <c r="P3227" t="b">
        <v>0</v>
      </c>
      <c r="Q3227">
        <v>5637.9020648144788</v>
      </c>
      <c r="R3227">
        <v>27959.781530747387</v>
      </c>
      <c r="S3227">
        <v>5.2584933242475964</v>
      </c>
      <c r="T3227">
        <v>-99.326427570225164</v>
      </c>
      <c r="U3227">
        <v>0</v>
      </c>
      <c r="V3227">
        <v>0</v>
      </c>
    </row>
    <row r="3228" spans="1:22" x14ac:dyDescent="0.2">
      <c r="A3228"/>
      <c r="B3228">
        <v>72338</v>
      </c>
      <c r="C3228" t="s">
        <v>1131</v>
      </c>
      <c r="D3228" t="s">
        <v>1195</v>
      </c>
      <c r="E3228" t="s">
        <v>1198</v>
      </c>
      <c r="F3228" t="s">
        <v>89</v>
      </c>
      <c r="G3228">
        <v>112.38</v>
      </c>
      <c r="H3228" t="s">
        <v>1270</v>
      </c>
      <c r="I3228">
        <v>-1.6</v>
      </c>
      <c r="J3228">
        <v>0</v>
      </c>
      <c r="K3228">
        <v>0</v>
      </c>
      <c r="L3228">
        <v>0</v>
      </c>
      <c r="M3228" t="s">
        <v>89</v>
      </c>
      <c r="N3228">
        <v>112.38</v>
      </c>
      <c r="O3228" t="s">
        <v>12</v>
      </c>
      <c r="P3228" t="b">
        <v>0</v>
      </c>
      <c r="Q3228">
        <v>5634.3075579480792</v>
      </c>
      <c r="R3228">
        <v>27937.87494818772</v>
      </c>
      <c r="S3228">
        <v>5.2592933522252716</v>
      </c>
      <c r="T3228">
        <v>-99.30936394851247</v>
      </c>
      <c r="U3228">
        <v>0</v>
      </c>
      <c r="V3228">
        <v>0</v>
      </c>
    </row>
    <row r="3229" spans="1:22" x14ac:dyDescent="0.2">
      <c r="A3229"/>
      <c r="B3229">
        <v>72339</v>
      </c>
      <c r="C3229" t="s">
        <v>1132</v>
      </c>
      <c r="D3229" t="s">
        <v>1195</v>
      </c>
      <c r="E3229" t="s">
        <v>1198</v>
      </c>
      <c r="F3229" t="s">
        <v>125</v>
      </c>
      <c r="G3229">
        <v>944.40999999999894</v>
      </c>
      <c r="H3229" t="s">
        <v>1270</v>
      </c>
      <c r="I3229">
        <v>-1.6</v>
      </c>
      <c r="J3229">
        <v>0</v>
      </c>
      <c r="K3229">
        <v>0</v>
      </c>
      <c r="L3229">
        <v>0</v>
      </c>
      <c r="M3229" t="s">
        <v>125</v>
      </c>
      <c r="N3229">
        <v>944.40999999999894</v>
      </c>
      <c r="O3229" t="s">
        <v>12</v>
      </c>
      <c r="P3229" t="b">
        <v>0</v>
      </c>
      <c r="Q3229">
        <v>5646.3545499821994</v>
      </c>
      <c r="R3229">
        <v>29078.481743265318</v>
      </c>
      <c r="S3229">
        <v>17.27348520447083</v>
      </c>
      <c r="T3229">
        <v>-92.041304231633404</v>
      </c>
      <c r="U3229">
        <v>0</v>
      </c>
      <c r="V3229">
        <v>0</v>
      </c>
    </row>
    <row r="3230" spans="1:22" x14ac:dyDescent="0.2">
      <c r="A3230"/>
      <c r="B3230">
        <v>72340</v>
      </c>
      <c r="C3230" t="s">
        <v>1133</v>
      </c>
      <c r="D3230" t="s">
        <v>1195</v>
      </c>
      <c r="E3230" t="s">
        <v>1274</v>
      </c>
      <c r="F3230" t="s">
        <v>125</v>
      </c>
      <c r="G3230">
        <v>966.61</v>
      </c>
      <c r="H3230" t="s">
        <v>1270</v>
      </c>
      <c r="I3230">
        <v>-1.6</v>
      </c>
      <c r="J3230">
        <v>0</v>
      </c>
      <c r="K3230">
        <v>0</v>
      </c>
      <c r="L3230">
        <v>0</v>
      </c>
      <c r="M3230" t="s">
        <v>125</v>
      </c>
      <c r="N3230">
        <v>966.61</v>
      </c>
      <c r="O3230" t="s">
        <v>12</v>
      </c>
      <c r="P3230" t="b">
        <v>0</v>
      </c>
      <c r="Q3230">
        <v>5647.1598866255081</v>
      </c>
      <c r="R3230">
        <v>29100.665107084111</v>
      </c>
      <c r="S3230">
        <v>17.273075183188098</v>
      </c>
      <c r="T3230">
        <v>-92.113682803659302</v>
      </c>
      <c r="U3230">
        <v>0</v>
      </c>
      <c r="V3230">
        <v>0</v>
      </c>
    </row>
    <row r="3231" spans="1:22" x14ac:dyDescent="0.2">
      <c r="A3231"/>
      <c r="B3231">
        <v>72341</v>
      </c>
      <c r="C3231" t="s">
        <v>1134</v>
      </c>
      <c r="D3231" t="s">
        <v>1195</v>
      </c>
      <c r="E3231" t="s">
        <v>1274</v>
      </c>
      <c r="F3231" t="s">
        <v>125</v>
      </c>
      <c r="G3231">
        <v>1103.2</v>
      </c>
      <c r="H3231" t="s">
        <v>12</v>
      </c>
      <c r="I3231">
        <v>-1.6</v>
      </c>
      <c r="J3231">
        <v>0</v>
      </c>
      <c r="K3231">
        <v>0</v>
      </c>
      <c r="L3231">
        <v>0</v>
      </c>
      <c r="M3231" t="s">
        <v>125</v>
      </c>
      <c r="N3231">
        <v>1103.2</v>
      </c>
      <c r="O3231" t="s">
        <v>12</v>
      </c>
      <c r="P3231" t="b">
        <v>1</v>
      </c>
      <c r="Q3231">
        <v>5649.1630776129941</v>
      </c>
      <c r="R3231">
        <v>29237.27454801045</v>
      </c>
      <c r="S3231">
        <v>17.273373664464408</v>
      </c>
      <c r="T3231">
        <v>87.868770428469148</v>
      </c>
      <c r="U3231">
        <v>0</v>
      </c>
      <c r="V3231">
        <v>0</v>
      </c>
    </row>
    <row r="3232" spans="1:22" x14ac:dyDescent="0.2">
      <c r="A3232"/>
      <c r="B3232">
        <v>72342</v>
      </c>
      <c r="C3232" t="s">
        <v>1135</v>
      </c>
      <c r="D3232" t="s">
        <v>1195</v>
      </c>
      <c r="E3232" t="s">
        <v>1198</v>
      </c>
      <c r="F3232" t="s">
        <v>125</v>
      </c>
      <c r="G3232">
        <v>1125.4000000000001</v>
      </c>
      <c r="H3232" t="s">
        <v>12</v>
      </c>
      <c r="I3232">
        <v>-1.6</v>
      </c>
      <c r="J3232">
        <v>0</v>
      </c>
      <c r="K3232">
        <v>0</v>
      </c>
      <c r="L3232">
        <v>0</v>
      </c>
      <c r="M3232" t="s">
        <v>125</v>
      </c>
      <c r="N3232">
        <v>1125.4000000000001</v>
      </c>
      <c r="O3232" t="s">
        <v>12</v>
      </c>
      <c r="P3232" t="b">
        <v>1</v>
      </c>
      <c r="Q3232">
        <v>5650.0125805842827</v>
      </c>
      <c r="R3232">
        <v>29259.470269801586</v>
      </c>
      <c r="S3232">
        <v>17.266648792743002</v>
      </c>
      <c r="T3232">
        <v>87.438348008974657</v>
      </c>
      <c r="U3232">
        <v>0</v>
      </c>
      <c r="V3232">
        <v>0</v>
      </c>
    </row>
    <row r="3233" spans="1:22" x14ac:dyDescent="0.2">
      <c r="A3233"/>
      <c r="B3233">
        <v>72343</v>
      </c>
      <c r="C3233" t="s">
        <v>1136</v>
      </c>
      <c r="D3233" t="s">
        <v>1195</v>
      </c>
      <c r="E3233" t="s">
        <v>1198</v>
      </c>
      <c r="F3233" t="s">
        <v>91</v>
      </c>
      <c r="G3233">
        <v>867.92999999999904</v>
      </c>
      <c r="H3233" t="s">
        <v>1270</v>
      </c>
      <c r="I3233">
        <v>-1.6</v>
      </c>
      <c r="J3233">
        <v>0</v>
      </c>
      <c r="K3233">
        <v>0</v>
      </c>
      <c r="L3233">
        <v>0</v>
      </c>
      <c r="M3233" t="s">
        <v>91</v>
      </c>
      <c r="N3233">
        <v>867.92999999999904</v>
      </c>
      <c r="O3233" t="s">
        <v>12</v>
      </c>
      <c r="P3233" t="b">
        <v>0</v>
      </c>
      <c r="Q3233">
        <v>5651.2698751947482</v>
      </c>
      <c r="R3233">
        <v>29078.359750566404</v>
      </c>
      <c r="S3233">
        <v>17.308682537749103</v>
      </c>
      <c r="T3233">
        <v>-91.949742167865637</v>
      </c>
      <c r="U3233">
        <v>0</v>
      </c>
      <c r="V3233">
        <v>0</v>
      </c>
    </row>
    <row r="3234" spans="1:22" x14ac:dyDescent="0.2">
      <c r="A3234"/>
      <c r="B3234">
        <v>72344</v>
      </c>
      <c r="C3234" t="s">
        <v>1197</v>
      </c>
      <c r="D3234" t="s">
        <v>1195</v>
      </c>
      <c r="E3234" t="s">
        <v>1274</v>
      </c>
      <c r="F3234" t="s">
        <v>91</v>
      </c>
      <c r="G3234">
        <v>890.12999999999897</v>
      </c>
      <c r="H3234" t="s">
        <v>1270</v>
      </c>
      <c r="I3234">
        <v>-1.6</v>
      </c>
      <c r="J3234">
        <v>0</v>
      </c>
      <c r="K3234">
        <v>0</v>
      </c>
      <c r="L3234">
        <v>0</v>
      </c>
      <c r="M3234" t="s">
        <v>91</v>
      </c>
      <c r="N3234">
        <v>890.12999999999897</v>
      </c>
      <c r="O3234" t="s">
        <v>12</v>
      </c>
      <c r="P3234" t="b">
        <v>0</v>
      </c>
      <c r="Q3234">
        <v>5652.040985577496</v>
      </c>
      <c r="R3234">
        <v>29100.544091707608</v>
      </c>
      <c r="S3234">
        <v>17.306158671499855</v>
      </c>
      <c r="T3234">
        <v>-92.030647859156744</v>
      </c>
      <c r="U3234">
        <v>0</v>
      </c>
      <c r="V3234">
        <v>0</v>
      </c>
    </row>
    <row r="3235" spans="1:22" x14ac:dyDescent="0.2">
      <c r="A3235"/>
      <c r="B3235">
        <v>72345</v>
      </c>
      <c r="C3235" t="s">
        <v>1137</v>
      </c>
      <c r="D3235" t="s">
        <v>1195</v>
      </c>
      <c r="E3235" t="s">
        <v>1274</v>
      </c>
      <c r="F3235" t="s">
        <v>91</v>
      </c>
      <c r="G3235">
        <v>1026.6500000000001</v>
      </c>
      <c r="H3235" t="s">
        <v>12</v>
      </c>
      <c r="I3235">
        <v>-1.6</v>
      </c>
      <c r="J3235">
        <v>0</v>
      </c>
      <c r="K3235">
        <v>0</v>
      </c>
      <c r="L3235">
        <v>0</v>
      </c>
      <c r="M3235" t="s">
        <v>91</v>
      </c>
      <c r="N3235">
        <v>1026.6500000000001</v>
      </c>
      <c r="O3235" t="s">
        <v>12</v>
      </c>
      <c r="P3235" t="b">
        <v>1</v>
      </c>
      <c r="Q3235">
        <v>5654.1465174223049</v>
      </c>
      <c r="R3235">
        <v>29237.08362387968</v>
      </c>
      <c r="S3235">
        <v>17.323741526292597</v>
      </c>
      <c r="T3235">
        <v>87.632596311270959</v>
      </c>
      <c r="U3235">
        <v>0</v>
      </c>
      <c r="V3235">
        <v>0</v>
      </c>
    </row>
    <row r="3236" spans="1:22" x14ac:dyDescent="0.2">
      <c r="A3236"/>
      <c r="B3236">
        <v>72346</v>
      </c>
      <c r="C3236" t="s">
        <v>1138</v>
      </c>
      <c r="D3236" t="s">
        <v>1195</v>
      </c>
      <c r="E3236" t="s">
        <v>1198</v>
      </c>
      <c r="F3236" t="s">
        <v>91</v>
      </c>
      <c r="G3236">
        <v>1048.8499999999999</v>
      </c>
      <c r="H3236" t="s">
        <v>12</v>
      </c>
      <c r="I3236">
        <v>-1.6</v>
      </c>
      <c r="J3236">
        <v>0</v>
      </c>
      <c r="K3236">
        <v>0</v>
      </c>
      <c r="L3236">
        <v>0</v>
      </c>
      <c r="M3236" t="s">
        <v>91</v>
      </c>
      <c r="N3236">
        <v>1048.8499999999999</v>
      </c>
      <c r="O3236" t="s">
        <v>12</v>
      </c>
      <c r="P3236" t="b">
        <v>1</v>
      </c>
      <c r="Q3236">
        <v>5655.060889921202</v>
      </c>
      <c r="R3236">
        <v>29259.264361203986</v>
      </c>
      <c r="S3236">
        <v>17.314671530507372</v>
      </c>
      <c r="T3236">
        <v>87.647698551524869</v>
      </c>
      <c r="U3236">
        <v>0</v>
      </c>
      <c r="V3236">
        <v>0</v>
      </c>
    </row>
    <row r="3237" spans="1:22" x14ac:dyDescent="0.2">
      <c r="A3237"/>
      <c r="B3237">
        <v>72347</v>
      </c>
      <c r="C3237" t="s">
        <v>1139</v>
      </c>
      <c r="D3237" t="s">
        <v>1195</v>
      </c>
      <c r="E3237" t="s">
        <v>1198</v>
      </c>
      <c r="F3237" t="s">
        <v>126</v>
      </c>
      <c r="G3237">
        <v>554.16</v>
      </c>
      <c r="H3237" t="s">
        <v>12</v>
      </c>
      <c r="I3237">
        <v>-1.6</v>
      </c>
      <c r="J3237">
        <v>0</v>
      </c>
      <c r="K3237">
        <v>0</v>
      </c>
      <c r="L3237">
        <v>0</v>
      </c>
      <c r="M3237" t="s">
        <v>126</v>
      </c>
      <c r="N3237">
        <v>554.16</v>
      </c>
      <c r="O3237" t="s">
        <v>12</v>
      </c>
      <c r="P3237" t="b">
        <v>1</v>
      </c>
      <c r="Q3237">
        <v>5710.3019425449711</v>
      </c>
      <c r="R3237">
        <v>30039.560211334923</v>
      </c>
      <c r="S3237">
        <v>8.7988968094626614</v>
      </c>
      <c r="T3237">
        <v>88.143424327103659</v>
      </c>
      <c r="U3237">
        <v>0</v>
      </c>
      <c r="V3237">
        <v>0</v>
      </c>
    </row>
    <row r="3238" spans="1:22" x14ac:dyDescent="0.2">
      <c r="A3238"/>
      <c r="B3238">
        <v>72348</v>
      </c>
      <c r="C3238" t="s">
        <v>1140</v>
      </c>
      <c r="D3238" t="s">
        <v>1195</v>
      </c>
      <c r="E3238" t="s">
        <v>1274</v>
      </c>
      <c r="F3238" t="s">
        <v>126</v>
      </c>
      <c r="G3238">
        <v>531.96</v>
      </c>
      <c r="H3238" t="s">
        <v>12</v>
      </c>
      <c r="I3238">
        <v>-1.6</v>
      </c>
      <c r="J3238">
        <v>0</v>
      </c>
      <c r="K3238">
        <v>0</v>
      </c>
      <c r="L3238">
        <v>0</v>
      </c>
      <c r="M3238" t="s">
        <v>126</v>
      </c>
      <c r="N3238">
        <v>531.96</v>
      </c>
      <c r="O3238" t="s">
        <v>12</v>
      </c>
      <c r="P3238" t="b">
        <v>1</v>
      </c>
      <c r="Q3238">
        <v>5709.5758385902527</v>
      </c>
      <c r="R3238">
        <v>30017.373095216521</v>
      </c>
      <c r="S3238">
        <v>8.8048278247065159</v>
      </c>
      <c r="T3238">
        <v>88.107545829649666</v>
      </c>
      <c r="U3238">
        <v>0</v>
      </c>
      <c r="V3238">
        <v>0</v>
      </c>
    </row>
    <row r="3239" spans="1:22" x14ac:dyDescent="0.2">
      <c r="A3239"/>
      <c r="B3239">
        <v>72349</v>
      </c>
      <c r="C3239" t="s">
        <v>1141</v>
      </c>
      <c r="D3239" t="s">
        <v>1195</v>
      </c>
      <c r="E3239" t="s">
        <v>1274</v>
      </c>
      <c r="F3239" t="s">
        <v>126</v>
      </c>
      <c r="G3239">
        <v>395.48</v>
      </c>
      <c r="H3239" t="s">
        <v>1270</v>
      </c>
      <c r="I3239">
        <v>-1.6</v>
      </c>
      <c r="J3239">
        <v>0</v>
      </c>
      <c r="K3239">
        <v>0</v>
      </c>
      <c r="L3239">
        <v>0</v>
      </c>
      <c r="M3239" t="s">
        <v>126</v>
      </c>
      <c r="N3239">
        <v>395.48</v>
      </c>
      <c r="O3239" t="s">
        <v>12</v>
      </c>
      <c r="P3239" t="b">
        <v>0</v>
      </c>
      <c r="Q3239">
        <v>5707.9985768788611</v>
      </c>
      <c r="R3239">
        <v>29880.86474660262</v>
      </c>
      <c r="S3239">
        <v>8.8006091192423614</v>
      </c>
      <c r="T3239">
        <v>-92.119250788207481</v>
      </c>
      <c r="U3239">
        <v>0</v>
      </c>
      <c r="V3239">
        <v>0</v>
      </c>
    </row>
    <row r="3240" spans="1:22" x14ac:dyDescent="0.2">
      <c r="A3240"/>
      <c r="B3240">
        <v>72350</v>
      </c>
      <c r="C3240" t="s">
        <v>1142</v>
      </c>
      <c r="D3240" t="s">
        <v>1195</v>
      </c>
      <c r="E3240" t="s">
        <v>1198</v>
      </c>
      <c r="F3240" t="s">
        <v>126</v>
      </c>
      <c r="G3240">
        <v>373.28</v>
      </c>
      <c r="H3240" t="s">
        <v>1270</v>
      </c>
      <c r="I3240">
        <v>-1.6</v>
      </c>
      <c r="J3240">
        <v>0</v>
      </c>
      <c r="K3240">
        <v>0</v>
      </c>
      <c r="L3240">
        <v>0</v>
      </c>
      <c r="M3240" t="s">
        <v>126</v>
      </c>
      <c r="N3240">
        <v>373.28</v>
      </c>
      <c r="O3240" t="s">
        <v>12</v>
      </c>
      <c r="P3240" t="b">
        <v>0</v>
      </c>
      <c r="Q3240">
        <v>5707.1703155153427</v>
      </c>
      <c r="R3240">
        <v>29858.679174399618</v>
      </c>
      <c r="S3240">
        <v>8.7994522199694138</v>
      </c>
      <c r="T3240">
        <v>-92.156077858811955</v>
      </c>
      <c r="U3240">
        <v>0</v>
      </c>
      <c r="V3240">
        <v>0</v>
      </c>
    </row>
    <row r="3241" spans="1:22" x14ac:dyDescent="0.2">
      <c r="A3241"/>
      <c r="B3241">
        <v>72351</v>
      </c>
      <c r="C3241" t="s">
        <v>1143</v>
      </c>
      <c r="D3241" t="s">
        <v>1195</v>
      </c>
      <c r="E3241" t="s">
        <v>1198</v>
      </c>
      <c r="F3241" t="s">
        <v>92</v>
      </c>
      <c r="G3241">
        <v>554.25999999999897</v>
      </c>
      <c r="H3241" t="s">
        <v>12</v>
      </c>
      <c r="I3241">
        <v>-1.6</v>
      </c>
      <c r="J3241">
        <v>0</v>
      </c>
      <c r="K3241">
        <v>0</v>
      </c>
      <c r="L3241">
        <v>0</v>
      </c>
      <c r="M3241" t="s">
        <v>92</v>
      </c>
      <c r="N3241">
        <v>554.25999999999897</v>
      </c>
      <c r="O3241" t="s">
        <v>12</v>
      </c>
      <c r="P3241" t="b">
        <v>1</v>
      </c>
      <c r="Q3241">
        <v>5715.2607809380033</v>
      </c>
      <c r="R3241">
        <v>30039.403982894124</v>
      </c>
      <c r="S3241">
        <v>8.8493590866603569</v>
      </c>
      <c r="T3241">
        <v>88.126406885141648</v>
      </c>
      <c r="U3241">
        <v>0</v>
      </c>
      <c r="V3241">
        <v>0</v>
      </c>
    </row>
    <row r="3242" spans="1:22" x14ac:dyDescent="0.2">
      <c r="A3242"/>
      <c r="B3242">
        <v>72352</v>
      </c>
      <c r="C3242" t="s">
        <v>1144</v>
      </c>
      <c r="D3242" t="s">
        <v>1195</v>
      </c>
      <c r="E3242" t="s">
        <v>1274</v>
      </c>
      <c r="F3242" t="s">
        <v>92</v>
      </c>
      <c r="G3242">
        <v>532.05999999999904</v>
      </c>
      <c r="H3242" t="s">
        <v>12</v>
      </c>
      <c r="I3242">
        <v>-1.6</v>
      </c>
      <c r="J3242">
        <v>0</v>
      </c>
      <c r="K3242">
        <v>0</v>
      </c>
      <c r="L3242">
        <v>0</v>
      </c>
      <c r="M3242" t="s">
        <v>92</v>
      </c>
      <c r="N3242">
        <v>532.05999999999904</v>
      </c>
      <c r="O3242" t="s">
        <v>12</v>
      </c>
      <c r="P3242" t="b">
        <v>1</v>
      </c>
      <c r="Q3242">
        <v>5714.528074722537</v>
      </c>
      <c r="R3242">
        <v>30017.217058469687</v>
      </c>
      <c r="S3242">
        <v>8.8548345095471976</v>
      </c>
      <c r="T3242">
        <v>88.091587525942032</v>
      </c>
      <c r="U3242">
        <v>0</v>
      </c>
      <c r="V3242">
        <v>0</v>
      </c>
    </row>
    <row r="3243" spans="1:22" x14ac:dyDescent="0.2">
      <c r="A3243"/>
      <c r="B3243">
        <v>72353</v>
      </c>
      <c r="C3243" t="s">
        <v>1145</v>
      </c>
      <c r="D3243" t="s">
        <v>1195</v>
      </c>
      <c r="E3243" t="s">
        <v>1274</v>
      </c>
      <c r="F3243" t="s">
        <v>92</v>
      </c>
      <c r="G3243">
        <v>395.56</v>
      </c>
      <c r="H3243" t="s">
        <v>1270</v>
      </c>
      <c r="I3243">
        <v>-1.6</v>
      </c>
      <c r="J3243">
        <v>0</v>
      </c>
      <c r="K3243">
        <v>0</v>
      </c>
      <c r="L3243">
        <v>0</v>
      </c>
      <c r="M3243" t="s">
        <v>92</v>
      </c>
      <c r="N3243">
        <v>395.56</v>
      </c>
      <c r="O3243" t="s">
        <v>12</v>
      </c>
      <c r="P3243" t="b">
        <v>0</v>
      </c>
      <c r="Q3243">
        <v>5712.9580414155453</v>
      </c>
      <c r="R3243">
        <v>29880.688880564179</v>
      </c>
      <c r="S3243">
        <v>8.8548281532706259</v>
      </c>
      <c r="T3243">
        <v>-92.086513440915454</v>
      </c>
      <c r="U3243">
        <v>0</v>
      </c>
      <c r="V3243">
        <v>0</v>
      </c>
    </row>
    <row r="3244" spans="1:22" x14ac:dyDescent="0.2">
      <c r="A3244"/>
      <c r="B3244">
        <v>72354</v>
      </c>
      <c r="C3244" t="s">
        <v>1146</v>
      </c>
      <c r="D3244" t="s">
        <v>1195</v>
      </c>
      <c r="E3244" t="s">
        <v>1198</v>
      </c>
      <c r="F3244" t="s">
        <v>92</v>
      </c>
      <c r="G3244">
        <v>373.36</v>
      </c>
      <c r="H3244" t="s">
        <v>1270</v>
      </c>
      <c r="I3244">
        <v>-1.6</v>
      </c>
      <c r="J3244">
        <v>0</v>
      </c>
      <c r="K3244">
        <v>0</v>
      </c>
      <c r="L3244">
        <v>0</v>
      </c>
      <c r="M3244" t="s">
        <v>92</v>
      </c>
      <c r="N3244">
        <v>373.36</v>
      </c>
      <c r="O3244" t="s">
        <v>12</v>
      </c>
      <c r="P3244" t="b">
        <v>0</v>
      </c>
      <c r="Q3244">
        <v>5712.1450523147514</v>
      </c>
      <c r="R3244">
        <v>29858.503104621828</v>
      </c>
      <c r="S3244">
        <v>8.8626763987739441</v>
      </c>
      <c r="T3244">
        <v>-92.11047212932948</v>
      </c>
      <c r="U3244">
        <v>0</v>
      </c>
      <c r="V3244">
        <v>0</v>
      </c>
    </row>
    <row r="3245" spans="1:22" x14ac:dyDescent="0.2">
      <c r="A3245"/>
      <c r="B3245">
        <v>72355</v>
      </c>
      <c r="C3245" t="s">
        <v>1147</v>
      </c>
      <c r="D3245" t="s">
        <v>1195</v>
      </c>
      <c r="E3245" t="s">
        <v>1198</v>
      </c>
      <c r="F3245" t="s">
        <v>126</v>
      </c>
      <c r="G3245">
        <v>1630.98</v>
      </c>
      <c r="H3245" t="s">
        <v>1270</v>
      </c>
      <c r="I3245">
        <v>-1.6</v>
      </c>
      <c r="J3245">
        <v>0</v>
      </c>
      <c r="K3245">
        <v>0</v>
      </c>
      <c r="L3245">
        <v>0</v>
      </c>
      <c r="M3245" t="s">
        <v>126</v>
      </c>
      <c r="N3245">
        <v>1630.98</v>
      </c>
      <c r="O3245" t="s">
        <v>12</v>
      </c>
      <c r="P3245" t="b">
        <v>0</v>
      </c>
      <c r="Q3245">
        <v>5975.173882693739</v>
      </c>
      <c r="R3245">
        <v>31056.317266283284</v>
      </c>
      <c r="S3245">
        <v>8.9874368794287598</v>
      </c>
      <c r="T3245">
        <v>-103.16365205293899</v>
      </c>
      <c r="U3245">
        <v>0</v>
      </c>
      <c r="V3245">
        <v>0</v>
      </c>
    </row>
    <row r="3246" spans="1:22" x14ac:dyDescent="0.2">
      <c r="A3246"/>
      <c r="B3246">
        <v>72356</v>
      </c>
      <c r="C3246" t="s">
        <v>1148</v>
      </c>
      <c r="D3246" t="s">
        <v>1195</v>
      </c>
      <c r="E3246" t="s">
        <v>1274</v>
      </c>
      <c r="F3246" t="s">
        <v>126</v>
      </c>
      <c r="G3246">
        <v>1653.18</v>
      </c>
      <c r="H3246" t="s">
        <v>1270</v>
      </c>
      <c r="I3246">
        <v>-1.6</v>
      </c>
      <c r="J3246">
        <v>0</v>
      </c>
      <c r="K3246">
        <v>0</v>
      </c>
      <c r="L3246">
        <v>0</v>
      </c>
      <c r="M3246" t="s">
        <v>126</v>
      </c>
      <c r="N3246">
        <v>1653.18</v>
      </c>
      <c r="O3246" t="s">
        <v>12</v>
      </c>
      <c r="P3246" t="b">
        <v>0</v>
      </c>
      <c r="Q3246">
        <v>5980.2169945229389</v>
      </c>
      <c r="R3246">
        <v>31077.938750102829</v>
      </c>
      <c r="S3246">
        <v>8.9883552801354831</v>
      </c>
      <c r="T3246">
        <v>-103.0978464160047</v>
      </c>
      <c r="U3246">
        <v>0</v>
      </c>
      <c r="V3246">
        <v>0</v>
      </c>
    </row>
    <row r="3247" spans="1:22" x14ac:dyDescent="0.2">
      <c r="A3247"/>
      <c r="B3247">
        <v>72357</v>
      </c>
      <c r="C3247" t="s">
        <v>1149</v>
      </c>
      <c r="D3247" t="s">
        <v>1195</v>
      </c>
      <c r="E3247" t="s">
        <v>1274</v>
      </c>
      <c r="F3247" t="s">
        <v>126</v>
      </c>
      <c r="G3247">
        <v>1789.68</v>
      </c>
      <c r="H3247" t="s">
        <v>12</v>
      </c>
      <c r="I3247">
        <v>-1.6</v>
      </c>
      <c r="J3247">
        <v>0</v>
      </c>
      <c r="K3247">
        <v>0</v>
      </c>
      <c r="L3247">
        <v>0</v>
      </c>
      <c r="M3247" t="s">
        <v>126</v>
      </c>
      <c r="N3247">
        <v>1789.68</v>
      </c>
      <c r="O3247" t="s">
        <v>12</v>
      </c>
      <c r="P3247" t="b">
        <v>1</v>
      </c>
      <c r="Q3247">
        <v>6007.8920587289394</v>
      </c>
      <c r="R3247">
        <v>31211.645311114084</v>
      </c>
      <c r="S3247">
        <v>8.9837690196025228</v>
      </c>
      <c r="T3247">
        <v>76.909927226130307</v>
      </c>
      <c r="U3247">
        <v>0</v>
      </c>
      <c r="V3247">
        <v>0</v>
      </c>
    </row>
    <row r="3248" spans="1:22" x14ac:dyDescent="0.2">
      <c r="A3248"/>
      <c r="B3248">
        <v>72358</v>
      </c>
      <c r="C3248" t="s">
        <v>1150</v>
      </c>
      <c r="D3248" t="s">
        <v>1195</v>
      </c>
      <c r="E3248" t="s">
        <v>1198</v>
      </c>
      <c r="F3248" t="s">
        <v>126</v>
      </c>
      <c r="G3248">
        <v>1811.88</v>
      </c>
      <c r="H3248" t="s">
        <v>12</v>
      </c>
      <c r="I3248">
        <v>-1.6</v>
      </c>
      <c r="J3248">
        <v>0</v>
      </c>
      <c r="K3248">
        <v>0</v>
      </c>
      <c r="L3248">
        <v>0</v>
      </c>
      <c r="M3248" t="s">
        <v>126</v>
      </c>
      <c r="N3248">
        <v>1811.88</v>
      </c>
      <c r="O3248" t="s">
        <v>12</v>
      </c>
      <c r="P3248" t="b">
        <v>1</v>
      </c>
      <c r="Q3248">
        <v>6012.9317412552919</v>
      </c>
      <c r="R3248">
        <v>31233.267518793669</v>
      </c>
      <c r="S3248">
        <v>8.9813953919373759</v>
      </c>
      <c r="T3248">
        <v>76.846761888481637</v>
      </c>
      <c r="U3248">
        <v>0</v>
      </c>
      <c r="V3248">
        <v>0</v>
      </c>
    </row>
    <row r="3249" spans="1:22" x14ac:dyDescent="0.2">
      <c r="A3249"/>
      <c r="B3249">
        <v>72359</v>
      </c>
      <c r="C3249" t="s">
        <v>1151</v>
      </c>
      <c r="D3249" t="s">
        <v>1195</v>
      </c>
      <c r="E3249" t="s">
        <v>1198</v>
      </c>
      <c r="F3249" t="s">
        <v>92</v>
      </c>
      <c r="G3249">
        <v>1811.13</v>
      </c>
      <c r="H3249" t="s">
        <v>12</v>
      </c>
      <c r="I3249">
        <v>-1.6</v>
      </c>
      <c r="J3249">
        <v>0</v>
      </c>
      <c r="K3249">
        <v>0</v>
      </c>
      <c r="L3249">
        <v>0</v>
      </c>
      <c r="M3249" t="s">
        <v>92</v>
      </c>
      <c r="N3249">
        <v>1811.13</v>
      </c>
      <c r="O3249" t="s">
        <v>12</v>
      </c>
      <c r="P3249" t="b">
        <v>1</v>
      </c>
      <c r="Q3249">
        <v>6017.6532905004997</v>
      </c>
      <c r="R3249">
        <v>31232.288292349534</v>
      </c>
      <c r="S3249">
        <v>9.0487904687646772</v>
      </c>
      <c r="T3249">
        <v>76.887585379294549</v>
      </c>
      <c r="U3249">
        <v>0</v>
      </c>
      <c r="V3249">
        <v>0</v>
      </c>
    </row>
    <row r="3250" spans="1:22" x14ac:dyDescent="0.2">
      <c r="A3250"/>
      <c r="B3250">
        <v>72360</v>
      </c>
      <c r="C3250" t="s">
        <v>1152</v>
      </c>
      <c r="D3250" t="s">
        <v>1195</v>
      </c>
      <c r="E3250" t="s">
        <v>1274</v>
      </c>
      <c r="F3250" t="s">
        <v>92</v>
      </c>
      <c r="G3250">
        <v>1788.93</v>
      </c>
      <c r="H3250" t="s">
        <v>12</v>
      </c>
      <c r="I3250">
        <v>-1.6</v>
      </c>
      <c r="J3250">
        <v>0</v>
      </c>
      <c r="K3250">
        <v>0</v>
      </c>
      <c r="L3250">
        <v>0</v>
      </c>
      <c r="M3250" t="s">
        <v>92</v>
      </c>
      <c r="N3250">
        <v>1788.93</v>
      </c>
      <c r="O3250" t="s">
        <v>12</v>
      </c>
      <c r="P3250" t="b">
        <v>1</v>
      </c>
      <c r="Q3250">
        <v>6012.6427647901892</v>
      </c>
      <c r="R3250">
        <v>31210.657294650908</v>
      </c>
      <c r="S3250">
        <v>9.0483485943872477</v>
      </c>
      <c r="T3250">
        <v>77.02117827314332</v>
      </c>
      <c r="U3250">
        <v>0</v>
      </c>
      <c r="V3250">
        <v>0</v>
      </c>
    </row>
    <row r="3251" spans="1:22" x14ac:dyDescent="0.2">
      <c r="A3251"/>
      <c r="B3251">
        <v>72361</v>
      </c>
      <c r="C3251" t="s">
        <v>1153</v>
      </c>
      <c r="D3251" t="s">
        <v>1195</v>
      </c>
      <c r="E3251" t="s">
        <v>1274</v>
      </c>
      <c r="F3251" t="s">
        <v>92</v>
      </c>
      <c r="G3251">
        <v>1652.25999999999</v>
      </c>
      <c r="H3251" t="s">
        <v>1270</v>
      </c>
      <c r="I3251">
        <v>-1.5</v>
      </c>
      <c r="J3251">
        <v>0</v>
      </c>
      <c r="K3251">
        <v>0</v>
      </c>
      <c r="L3251">
        <v>0</v>
      </c>
      <c r="M3251" t="s">
        <v>92</v>
      </c>
      <c r="N3251">
        <v>1652.25999999999</v>
      </c>
      <c r="O3251" t="s">
        <v>12</v>
      </c>
      <c r="P3251" t="b">
        <v>0</v>
      </c>
      <c r="Q3251">
        <v>5985.0807941813873</v>
      </c>
      <c r="R3251">
        <v>31076.75162427875</v>
      </c>
      <c r="S3251">
        <v>9.0490880553543587</v>
      </c>
      <c r="T3251">
        <v>-103.1764869666349</v>
      </c>
      <c r="U3251">
        <v>0</v>
      </c>
      <c r="V3251">
        <v>0</v>
      </c>
    </row>
    <row r="3252" spans="1:22" x14ac:dyDescent="0.2">
      <c r="A3252"/>
      <c r="B3252">
        <v>72362</v>
      </c>
      <c r="C3252" t="s">
        <v>1154</v>
      </c>
      <c r="D3252" t="s">
        <v>1195</v>
      </c>
      <c r="E3252" t="s">
        <v>1198</v>
      </c>
      <c r="F3252" t="s">
        <v>92</v>
      </c>
      <c r="G3252">
        <v>1630.0599999999899</v>
      </c>
      <c r="H3252" t="s">
        <v>1270</v>
      </c>
      <c r="I3252">
        <v>-1.6</v>
      </c>
      <c r="J3252">
        <v>0</v>
      </c>
      <c r="K3252">
        <v>0</v>
      </c>
      <c r="L3252">
        <v>0</v>
      </c>
      <c r="M3252" t="s">
        <v>92</v>
      </c>
      <c r="N3252">
        <v>1630.0599999999899</v>
      </c>
      <c r="O3252" t="s">
        <v>12</v>
      </c>
      <c r="P3252" t="b">
        <v>0</v>
      </c>
      <c r="Q3252">
        <v>5980.0796698022987</v>
      </c>
      <c r="R3252">
        <v>31055.116423539948</v>
      </c>
      <c r="S3252">
        <v>9.047731171564946</v>
      </c>
      <c r="T3252">
        <v>-103.37906847536591</v>
      </c>
      <c r="U3252">
        <v>0</v>
      </c>
      <c r="V3252">
        <v>0</v>
      </c>
    </row>
    <row r="3253" spans="1:22" x14ac:dyDescent="0.2">
      <c r="A3253"/>
      <c r="B3253">
        <v>72363</v>
      </c>
      <c r="C3253" t="s">
        <v>1155</v>
      </c>
      <c r="D3253" t="s">
        <v>1195</v>
      </c>
      <c r="E3253" t="s">
        <v>1198</v>
      </c>
      <c r="F3253" t="s">
        <v>126</v>
      </c>
      <c r="G3253">
        <v>2333.61</v>
      </c>
      <c r="H3253" t="s">
        <v>1270</v>
      </c>
      <c r="I3253">
        <v>-1.6</v>
      </c>
      <c r="J3253">
        <v>0</v>
      </c>
      <c r="K3253">
        <v>0</v>
      </c>
      <c r="L3253">
        <v>0</v>
      </c>
      <c r="M3253" t="s">
        <v>126</v>
      </c>
      <c r="N3253">
        <v>2333.61</v>
      </c>
      <c r="O3253" t="s">
        <v>12</v>
      </c>
      <c r="P3253" t="b">
        <v>0</v>
      </c>
      <c r="Q3253">
        <v>6250.3808289661119</v>
      </c>
      <c r="R3253">
        <v>31689.869798866326</v>
      </c>
      <c r="S3253">
        <v>0.97101600936893484</v>
      </c>
      <c r="T3253">
        <v>-135.53583147731774</v>
      </c>
      <c r="U3253">
        <v>0</v>
      </c>
      <c r="V3253">
        <v>0</v>
      </c>
    </row>
    <row r="3254" spans="1:22" x14ac:dyDescent="0.2">
      <c r="A3254"/>
      <c r="B3254">
        <v>72364</v>
      </c>
      <c r="C3254" t="s">
        <v>1156</v>
      </c>
      <c r="D3254" t="s">
        <v>1195</v>
      </c>
      <c r="E3254" t="s">
        <v>1274</v>
      </c>
      <c r="F3254" t="s">
        <v>126</v>
      </c>
      <c r="G3254">
        <v>2355.8099999999899</v>
      </c>
      <c r="H3254" t="s">
        <v>1270</v>
      </c>
      <c r="I3254">
        <v>-1.6</v>
      </c>
      <c r="J3254">
        <v>0</v>
      </c>
      <c r="K3254">
        <v>0</v>
      </c>
      <c r="L3254">
        <v>0</v>
      </c>
      <c r="M3254" t="s">
        <v>126</v>
      </c>
      <c r="N3254">
        <v>2355.8099999999899</v>
      </c>
      <c r="O3254" t="s">
        <v>12</v>
      </c>
      <c r="P3254" t="b">
        <v>0</v>
      </c>
      <c r="Q3254">
        <v>6266.2269481794674</v>
      </c>
      <c r="R3254">
        <v>31705.41704856588</v>
      </c>
      <c r="S3254">
        <v>0.97226053293142578</v>
      </c>
      <c r="T3254">
        <v>-135.55480657610332</v>
      </c>
      <c r="U3254">
        <v>0</v>
      </c>
      <c r="V3254">
        <v>0</v>
      </c>
    </row>
    <row r="3255" spans="1:22" x14ac:dyDescent="0.2">
      <c r="A3255"/>
      <c r="B3255">
        <v>72365</v>
      </c>
      <c r="C3255" t="s">
        <v>1157</v>
      </c>
      <c r="D3255" t="s">
        <v>1195</v>
      </c>
      <c r="E3255" t="s">
        <v>1274</v>
      </c>
      <c r="F3255" t="s">
        <v>126</v>
      </c>
      <c r="G3255">
        <v>2492.46</v>
      </c>
      <c r="H3255" t="s">
        <v>12</v>
      </c>
      <c r="I3255">
        <v>-1.6</v>
      </c>
      <c r="J3255">
        <v>0</v>
      </c>
      <c r="K3255">
        <v>0</v>
      </c>
      <c r="L3255">
        <v>0</v>
      </c>
      <c r="M3255" t="s">
        <v>126</v>
      </c>
      <c r="N3255">
        <v>2492.46</v>
      </c>
      <c r="O3255" t="s">
        <v>12</v>
      </c>
      <c r="P3255" t="b">
        <v>1</v>
      </c>
      <c r="Q3255">
        <v>6361.62234100981</v>
      </c>
      <c r="R3255">
        <v>31803.310376927013</v>
      </c>
      <c r="S3255">
        <v>0.97749110593740007</v>
      </c>
      <c r="T3255">
        <v>44.362427466094353</v>
      </c>
      <c r="U3255">
        <v>0</v>
      </c>
      <c r="V3255">
        <v>0</v>
      </c>
    </row>
    <row r="3256" spans="1:22" x14ac:dyDescent="0.2">
      <c r="A3256"/>
      <c r="B3256">
        <v>72366</v>
      </c>
      <c r="C3256" t="s">
        <v>1158</v>
      </c>
      <c r="D3256" t="s">
        <v>1195</v>
      </c>
      <c r="E3256" t="s">
        <v>1198</v>
      </c>
      <c r="F3256" t="s">
        <v>126</v>
      </c>
      <c r="G3256">
        <v>2514.6599999999899</v>
      </c>
      <c r="H3256" t="s">
        <v>12</v>
      </c>
      <c r="I3256">
        <v>-1.6</v>
      </c>
      <c r="J3256">
        <v>0</v>
      </c>
      <c r="K3256">
        <v>0</v>
      </c>
      <c r="L3256">
        <v>0</v>
      </c>
      <c r="M3256" t="s">
        <v>126</v>
      </c>
      <c r="N3256">
        <v>2514.6599999999899</v>
      </c>
      <c r="O3256" t="s">
        <v>12</v>
      </c>
      <c r="P3256" t="b">
        <v>1</v>
      </c>
      <c r="Q3256">
        <v>6377.4950770007308</v>
      </c>
      <c r="R3256">
        <v>31818.831517033992</v>
      </c>
      <c r="S3256">
        <v>0.97012432522235537</v>
      </c>
      <c r="T3256">
        <v>44.354531780765065</v>
      </c>
      <c r="U3256">
        <v>0</v>
      </c>
      <c r="V3256">
        <v>0</v>
      </c>
    </row>
    <row r="3257" spans="1:22" x14ac:dyDescent="0.2">
      <c r="A3257"/>
      <c r="B3257">
        <v>72367</v>
      </c>
      <c r="C3257" t="s">
        <v>1159</v>
      </c>
      <c r="D3257" t="s">
        <v>1195</v>
      </c>
      <c r="E3257" t="s">
        <v>1198</v>
      </c>
      <c r="F3257" t="s">
        <v>92</v>
      </c>
      <c r="G3257">
        <v>2330.08</v>
      </c>
      <c r="H3257" t="s">
        <v>1270</v>
      </c>
      <c r="I3257">
        <v>-1.6</v>
      </c>
      <c r="J3257">
        <v>0</v>
      </c>
      <c r="K3257">
        <v>0</v>
      </c>
      <c r="L3257">
        <v>0</v>
      </c>
      <c r="M3257" t="s">
        <v>92</v>
      </c>
      <c r="N3257">
        <v>2330.08</v>
      </c>
      <c r="O3257" t="s">
        <v>12</v>
      </c>
      <c r="P3257" t="b">
        <v>0</v>
      </c>
      <c r="Q3257">
        <v>6253.9541247309953</v>
      </c>
      <c r="R3257">
        <v>31686.424397455499</v>
      </c>
      <c r="S3257">
        <v>0.99090711012337218</v>
      </c>
      <c r="T3257">
        <v>-135.50700193816607</v>
      </c>
      <c r="U3257">
        <v>0</v>
      </c>
      <c r="V3257">
        <v>0</v>
      </c>
    </row>
    <row r="3258" spans="1:22" x14ac:dyDescent="0.2">
      <c r="A3258"/>
      <c r="B3258">
        <v>72368</v>
      </c>
      <c r="C3258" t="s">
        <v>1160</v>
      </c>
      <c r="D3258" t="s">
        <v>1195</v>
      </c>
      <c r="E3258" t="s">
        <v>1274</v>
      </c>
      <c r="F3258" t="s">
        <v>92</v>
      </c>
      <c r="G3258">
        <v>2352.2800000000002</v>
      </c>
      <c r="H3258" t="s">
        <v>1270</v>
      </c>
      <c r="I3258">
        <v>-1.6</v>
      </c>
      <c r="J3258">
        <v>0</v>
      </c>
      <c r="K3258">
        <v>0</v>
      </c>
      <c r="L3258">
        <v>0</v>
      </c>
      <c r="M3258" t="s">
        <v>92</v>
      </c>
      <c r="N3258">
        <v>2352.2800000000002</v>
      </c>
      <c r="O3258" t="s">
        <v>12</v>
      </c>
      <c r="P3258" t="b">
        <v>0</v>
      </c>
      <c r="Q3258">
        <v>6269.7928895071536</v>
      </c>
      <c r="R3258">
        <v>31701.978976692957</v>
      </c>
      <c r="S3258">
        <v>0.98959563605109091</v>
      </c>
      <c r="T3258">
        <v>-135.53005818420559</v>
      </c>
      <c r="U3258">
        <v>0</v>
      </c>
      <c r="V3258">
        <v>0</v>
      </c>
    </row>
    <row r="3259" spans="1:22" x14ac:dyDescent="0.2">
      <c r="A3259"/>
      <c r="B3259">
        <v>72369</v>
      </c>
      <c r="C3259" t="s">
        <v>1161</v>
      </c>
      <c r="D3259" t="s">
        <v>1195</v>
      </c>
      <c r="E3259" t="s">
        <v>1274</v>
      </c>
      <c r="F3259" t="s">
        <v>92</v>
      </c>
      <c r="G3259">
        <v>2488.94</v>
      </c>
      <c r="H3259" t="s">
        <v>12</v>
      </c>
      <c r="I3259">
        <v>-1.6</v>
      </c>
      <c r="J3259">
        <v>0</v>
      </c>
      <c r="K3259">
        <v>0</v>
      </c>
      <c r="L3259">
        <v>0</v>
      </c>
      <c r="M3259" t="s">
        <v>92</v>
      </c>
      <c r="N3259">
        <v>2488.94</v>
      </c>
      <c r="O3259" t="s">
        <v>12</v>
      </c>
      <c r="P3259" t="b">
        <v>1</v>
      </c>
      <c r="Q3259">
        <v>6365.1758853918864</v>
      </c>
      <c r="R3259">
        <v>31799.89834876838</v>
      </c>
      <c r="S3259">
        <v>1.0093525488869646</v>
      </c>
      <c r="T3259">
        <v>44.359957177695847</v>
      </c>
      <c r="U3259">
        <v>0</v>
      </c>
      <c r="V3259">
        <v>0</v>
      </c>
    </row>
    <row r="3260" spans="1:22" x14ac:dyDescent="0.2">
      <c r="A3260"/>
      <c r="B3260">
        <v>72370</v>
      </c>
      <c r="C3260" t="s">
        <v>1162</v>
      </c>
      <c r="D3260" t="s">
        <v>1195</v>
      </c>
      <c r="E3260" t="s">
        <v>1198</v>
      </c>
      <c r="F3260" t="s">
        <v>92</v>
      </c>
      <c r="G3260">
        <v>2511.1399999999899</v>
      </c>
      <c r="H3260" t="s">
        <v>12</v>
      </c>
      <c r="I3260">
        <v>-1.6</v>
      </c>
      <c r="J3260">
        <v>0</v>
      </c>
      <c r="K3260">
        <v>0</v>
      </c>
      <c r="L3260">
        <v>0</v>
      </c>
      <c r="M3260" t="s">
        <v>92</v>
      </c>
      <c r="N3260">
        <v>2511.1399999999899</v>
      </c>
      <c r="O3260" t="s">
        <v>12</v>
      </c>
      <c r="P3260" t="b">
        <v>1</v>
      </c>
      <c r="Q3260">
        <v>6381.0500260440322</v>
      </c>
      <c r="R3260">
        <v>31815.41824215799</v>
      </c>
      <c r="S3260">
        <v>1.0104771801446806</v>
      </c>
      <c r="T3260">
        <v>44.34738221646203</v>
      </c>
      <c r="U3260">
        <v>0</v>
      </c>
      <c r="V3260">
        <v>0</v>
      </c>
    </row>
    <row r="3261" spans="1:22" x14ac:dyDescent="0.2">
      <c r="A3261"/>
      <c r="B3261">
        <v>72371</v>
      </c>
      <c r="C3261" t="s">
        <v>1163</v>
      </c>
      <c r="D3261" t="s">
        <v>1195</v>
      </c>
      <c r="E3261" t="s">
        <v>1198</v>
      </c>
      <c r="F3261" t="s">
        <v>126</v>
      </c>
      <c r="G3261">
        <v>4149.6399999999903</v>
      </c>
      <c r="H3261" t="s">
        <v>12</v>
      </c>
      <c r="I3261">
        <v>-1.6</v>
      </c>
      <c r="J3261">
        <v>0</v>
      </c>
      <c r="K3261">
        <v>0</v>
      </c>
      <c r="L3261">
        <v>0</v>
      </c>
      <c r="M3261" t="s">
        <v>126</v>
      </c>
      <c r="N3261">
        <v>4149.6399999999903</v>
      </c>
      <c r="O3261" t="s">
        <v>12</v>
      </c>
      <c r="P3261" t="b">
        <v>1</v>
      </c>
      <c r="Q3261">
        <v>6707.7006105441669</v>
      </c>
      <c r="R3261">
        <v>33253.967888161824</v>
      </c>
      <c r="S3261">
        <v>1.8730012594196452</v>
      </c>
      <c r="T3261">
        <v>105.65089110531723</v>
      </c>
      <c r="U3261">
        <v>0</v>
      </c>
      <c r="V3261">
        <v>0</v>
      </c>
    </row>
    <row r="3262" spans="1:22" x14ac:dyDescent="0.2">
      <c r="A3262"/>
      <c r="B3262">
        <v>72372</v>
      </c>
      <c r="C3262" t="s">
        <v>1164</v>
      </c>
      <c r="D3262" t="s">
        <v>1195</v>
      </c>
      <c r="E3262" t="s">
        <v>1274</v>
      </c>
      <c r="F3262" t="s">
        <v>126</v>
      </c>
      <c r="G3262">
        <v>4127.4399999999896</v>
      </c>
      <c r="H3262" t="s">
        <v>12</v>
      </c>
      <c r="I3262">
        <v>-1.6</v>
      </c>
      <c r="J3262">
        <v>0</v>
      </c>
      <c r="K3262">
        <v>0</v>
      </c>
      <c r="L3262">
        <v>0</v>
      </c>
      <c r="M3262" t="s">
        <v>126</v>
      </c>
      <c r="N3262">
        <v>4127.4399999999896</v>
      </c>
      <c r="O3262" t="s">
        <v>12</v>
      </c>
      <c r="P3262" t="b">
        <v>1</v>
      </c>
      <c r="Q3262">
        <v>6713.6707208781972</v>
      </c>
      <c r="R3262">
        <v>33232.588475883269</v>
      </c>
      <c r="S3262">
        <v>1.8783103752384633</v>
      </c>
      <c r="T3262">
        <v>105.55541847854342</v>
      </c>
      <c r="U3262">
        <v>0</v>
      </c>
      <c r="V3262">
        <v>0</v>
      </c>
    </row>
    <row r="3263" spans="1:22" x14ac:dyDescent="0.2">
      <c r="A3263"/>
      <c r="B3263">
        <v>72373</v>
      </c>
      <c r="C3263" t="s">
        <v>1165</v>
      </c>
      <c r="D3263" t="s">
        <v>1195</v>
      </c>
      <c r="E3263" t="s">
        <v>1274</v>
      </c>
      <c r="F3263" t="s">
        <v>126</v>
      </c>
      <c r="G3263">
        <v>3990.86</v>
      </c>
      <c r="H3263" t="s">
        <v>1270</v>
      </c>
      <c r="I3263">
        <v>-1.6</v>
      </c>
      <c r="J3263">
        <v>0</v>
      </c>
      <c r="K3263">
        <v>0</v>
      </c>
      <c r="L3263">
        <v>0</v>
      </c>
      <c r="M3263" t="s">
        <v>126</v>
      </c>
      <c r="N3263">
        <v>3990.86</v>
      </c>
      <c r="O3263" t="s">
        <v>12</v>
      </c>
      <c r="P3263" t="b">
        <v>0</v>
      </c>
      <c r="Q3263">
        <v>6753.1318605115675</v>
      </c>
      <c r="R3263">
        <v>33101.799629950838</v>
      </c>
      <c r="S3263">
        <v>1.8717679601608721</v>
      </c>
      <c r="T3263">
        <v>-74.474567688799368</v>
      </c>
      <c r="U3263">
        <v>0</v>
      </c>
      <c r="V3263">
        <v>0</v>
      </c>
    </row>
    <row r="3264" spans="1:22" x14ac:dyDescent="0.2">
      <c r="A3264"/>
      <c r="B3264">
        <v>72374</v>
      </c>
      <c r="C3264" t="s">
        <v>1166</v>
      </c>
      <c r="D3264" t="s">
        <v>1195</v>
      </c>
      <c r="E3264" t="s">
        <v>1198</v>
      </c>
      <c r="F3264" t="s">
        <v>126</v>
      </c>
      <c r="G3264">
        <v>3968.66</v>
      </c>
      <c r="H3264" t="s">
        <v>1270</v>
      </c>
      <c r="I3264">
        <v>-1.6</v>
      </c>
      <c r="J3264">
        <v>0</v>
      </c>
      <c r="K3264">
        <v>0</v>
      </c>
      <c r="L3264">
        <v>0</v>
      </c>
      <c r="M3264" t="s">
        <v>126</v>
      </c>
      <c r="N3264">
        <v>3968.66</v>
      </c>
      <c r="O3264" t="s">
        <v>12</v>
      </c>
      <c r="P3264" t="b">
        <v>0</v>
      </c>
      <c r="Q3264">
        <v>6759.0912773723148</v>
      </c>
      <c r="R3264">
        <v>33080.417404635919</v>
      </c>
      <c r="S3264">
        <v>1.8695993736832348</v>
      </c>
      <c r="T3264">
        <v>-74.373214570752424</v>
      </c>
      <c r="U3264">
        <v>0</v>
      </c>
      <c r="V3264">
        <v>0</v>
      </c>
    </row>
    <row r="3265" spans="1:22" x14ac:dyDescent="0.2">
      <c r="A3265"/>
      <c r="B3265">
        <v>72375</v>
      </c>
      <c r="C3265" t="s">
        <v>1167</v>
      </c>
      <c r="D3265" t="s">
        <v>1195</v>
      </c>
      <c r="E3265" t="s">
        <v>1198</v>
      </c>
      <c r="F3265" t="s">
        <v>92</v>
      </c>
      <c r="G3265">
        <v>3968.72</v>
      </c>
      <c r="H3265" t="s">
        <v>1270</v>
      </c>
      <c r="I3265">
        <v>-1.6</v>
      </c>
      <c r="J3265">
        <v>0</v>
      </c>
      <c r="K3265">
        <v>0</v>
      </c>
      <c r="L3265">
        <v>0</v>
      </c>
      <c r="M3265" t="s">
        <v>92</v>
      </c>
      <c r="N3265">
        <v>3968.72</v>
      </c>
      <c r="O3265" t="s">
        <v>12</v>
      </c>
      <c r="P3265" t="b">
        <v>0</v>
      </c>
      <c r="Q3265">
        <v>6764.313438671883</v>
      </c>
      <c r="R3265">
        <v>33080.258531233747</v>
      </c>
      <c r="S3265">
        <v>1.8931423374129968</v>
      </c>
      <c r="T3265">
        <v>-74.646316007238866</v>
      </c>
      <c r="U3265">
        <v>0</v>
      </c>
      <c r="V3265">
        <v>0</v>
      </c>
    </row>
    <row r="3266" spans="1:22" x14ac:dyDescent="0.2">
      <c r="A3266"/>
      <c r="B3266">
        <v>72376</v>
      </c>
      <c r="C3266" t="s">
        <v>1168</v>
      </c>
      <c r="D3266" t="s">
        <v>1195</v>
      </c>
      <c r="E3266" t="s">
        <v>1274</v>
      </c>
      <c r="F3266" t="s">
        <v>92</v>
      </c>
      <c r="G3266">
        <v>3990.92</v>
      </c>
      <c r="H3266" t="s">
        <v>1270</v>
      </c>
      <c r="I3266">
        <v>-1.6</v>
      </c>
      <c r="J3266">
        <v>0</v>
      </c>
      <c r="K3266">
        <v>0</v>
      </c>
      <c r="L3266">
        <v>0</v>
      </c>
      <c r="M3266" t="s">
        <v>92</v>
      </c>
      <c r="N3266">
        <v>3990.92</v>
      </c>
      <c r="O3266" t="s">
        <v>12</v>
      </c>
      <c r="P3266" t="b">
        <v>0</v>
      </c>
      <c r="Q3266">
        <v>6758.4077059673609</v>
      </c>
      <c r="R3266">
        <v>33101.66210541613</v>
      </c>
      <c r="S3266">
        <v>1.8935775208416321</v>
      </c>
      <c r="T3266">
        <v>-74.524645597000145</v>
      </c>
      <c r="U3266">
        <v>0</v>
      </c>
      <c r="V3266">
        <v>0</v>
      </c>
    </row>
    <row r="3267" spans="1:22" x14ac:dyDescent="0.2">
      <c r="A3267"/>
      <c r="B3267">
        <v>72377</v>
      </c>
      <c r="C3267" t="s">
        <v>1169</v>
      </c>
      <c r="D3267" t="s">
        <v>1195</v>
      </c>
      <c r="E3267" t="s">
        <v>1274</v>
      </c>
      <c r="F3267" t="s">
        <v>92</v>
      </c>
      <c r="G3267">
        <v>4127.3900000000003</v>
      </c>
      <c r="H3267" t="s">
        <v>12</v>
      </c>
      <c r="I3267">
        <v>-1.6</v>
      </c>
      <c r="J3267">
        <v>0</v>
      </c>
      <c r="K3267">
        <v>0</v>
      </c>
      <c r="L3267">
        <v>0</v>
      </c>
      <c r="M3267" t="s">
        <v>92</v>
      </c>
      <c r="N3267">
        <v>4127.3900000000003</v>
      </c>
      <c r="O3267" t="s">
        <v>12</v>
      </c>
      <c r="P3267" t="b">
        <v>1</v>
      </c>
      <c r="Q3267">
        <v>6718.8581798965406</v>
      </c>
      <c r="R3267">
        <v>33232.318058169578</v>
      </c>
      <c r="S3267">
        <v>1.9050718238220423</v>
      </c>
      <c r="T3267">
        <v>105.40879293435621</v>
      </c>
      <c r="U3267">
        <v>0</v>
      </c>
      <c r="V3267">
        <v>0</v>
      </c>
    </row>
    <row r="3268" spans="1:22" x14ac:dyDescent="0.2">
      <c r="A3268"/>
      <c r="B3268">
        <v>72378</v>
      </c>
      <c r="C3268" t="s">
        <v>1170</v>
      </c>
      <c r="D3268" t="s">
        <v>1195</v>
      </c>
      <c r="E3268" t="s">
        <v>1198</v>
      </c>
      <c r="F3268" t="s">
        <v>92</v>
      </c>
      <c r="G3268">
        <v>4149.59</v>
      </c>
      <c r="H3268" t="s">
        <v>12</v>
      </c>
      <c r="I3268">
        <v>-1.6</v>
      </c>
      <c r="J3268">
        <v>0</v>
      </c>
      <c r="K3268">
        <v>0</v>
      </c>
      <c r="L3268">
        <v>0</v>
      </c>
      <c r="M3268" t="s">
        <v>92</v>
      </c>
      <c r="N3268">
        <v>4149.59</v>
      </c>
      <c r="O3268" t="s">
        <v>12</v>
      </c>
      <c r="P3268" t="b">
        <v>1</v>
      </c>
      <c r="Q3268">
        <v>6712.9537810183556</v>
      </c>
      <c r="R3268">
        <v>33253.716501769886</v>
      </c>
      <c r="S3268">
        <v>1.9139217997955427</v>
      </c>
      <c r="T3268">
        <v>105.47698294922756</v>
      </c>
      <c r="U3268">
        <v>0</v>
      </c>
      <c r="V3268">
        <v>0</v>
      </c>
    </row>
    <row r="3269" spans="1:22" x14ac:dyDescent="0.2">
      <c r="A3269"/>
      <c r="B3269">
        <v>72379</v>
      </c>
      <c r="C3269" t="s">
        <v>1171</v>
      </c>
      <c r="D3269" t="s">
        <v>1195</v>
      </c>
      <c r="E3269" t="s">
        <v>1198</v>
      </c>
      <c r="F3269" t="s">
        <v>126</v>
      </c>
      <c r="G3269">
        <v>4805.8599999999997</v>
      </c>
      <c r="H3269" t="s">
        <v>1270</v>
      </c>
      <c r="I3269">
        <v>-1.6</v>
      </c>
      <c r="J3269">
        <v>0</v>
      </c>
      <c r="K3269">
        <v>0</v>
      </c>
      <c r="L3269">
        <v>0</v>
      </c>
      <c r="M3269" t="s">
        <v>126</v>
      </c>
      <c r="N3269">
        <v>4805.8599999999997</v>
      </c>
      <c r="O3269" t="s">
        <v>12</v>
      </c>
      <c r="P3269" t="b">
        <v>0</v>
      </c>
      <c r="Q3269">
        <v>6532.7578623769259</v>
      </c>
      <c r="R3269">
        <v>33886.266254537812</v>
      </c>
      <c r="S3269">
        <v>4.3160121320675575</v>
      </c>
      <c r="T3269">
        <v>-74.983478007483896</v>
      </c>
      <c r="U3269">
        <v>0</v>
      </c>
      <c r="V3269">
        <v>0</v>
      </c>
    </row>
    <row r="3270" spans="1:22" x14ac:dyDescent="0.2">
      <c r="A3270"/>
      <c r="B3270">
        <v>72380</v>
      </c>
      <c r="C3270" t="s">
        <v>1172</v>
      </c>
      <c r="D3270" t="s">
        <v>1195</v>
      </c>
      <c r="E3270" t="s">
        <v>1274</v>
      </c>
      <c r="F3270" t="s">
        <v>126</v>
      </c>
      <c r="G3270">
        <v>4828.0600000000004</v>
      </c>
      <c r="H3270" t="s">
        <v>1270</v>
      </c>
      <c r="I3270">
        <v>-1.6</v>
      </c>
      <c r="J3270">
        <v>0</v>
      </c>
      <c r="K3270">
        <v>0</v>
      </c>
      <c r="L3270">
        <v>0</v>
      </c>
      <c r="M3270" t="s">
        <v>126</v>
      </c>
      <c r="N3270">
        <v>4828.0600000000004</v>
      </c>
      <c r="O3270" t="s">
        <v>12</v>
      </c>
      <c r="P3270" t="b">
        <v>0</v>
      </c>
      <c r="Q3270">
        <v>6527.005598029702</v>
      </c>
      <c r="R3270">
        <v>33907.708103138037</v>
      </c>
      <c r="S3270">
        <v>4.3178862230548152</v>
      </c>
      <c r="T3270">
        <v>-74.982332676668364</v>
      </c>
      <c r="U3270">
        <v>0</v>
      </c>
      <c r="V3270">
        <v>0</v>
      </c>
    </row>
    <row r="3271" spans="1:22" x14ac:dyDescent="0.2">
      <c r="A3271"/>
      <c r="B3271">
        <v>72381</v>
      </c>
      <c r="C3271" t="s">
        <v>1173</v>
      </c>
      <c r="D3271" t="s">
        <v>1195</v>
      </c>
      <c r="E3271" t="s">
        <v>1274</v>
      </c>
      <c r="F3271" t="s">
        <v>126</v>
      </c>
      <c r="G3271">
        <v>4964.7700000000004</v>
      </c>
      <c r="H3271" t="s">
        <v>12</v>
      </c>
      <c r="I3271">
        <v>-1.6</v>
      </c>
      <c r="J3271">
        <v>0</v>
      </c>
      <c r="K3271">
        <v>0</v>
      </c>
      <c r="L3271">
        <v>0</v>
      </c>
      <c r="M3271" t="s">
        <v>126</v>
      </c>
      <c r="N3271">
        <v>4964.7700000000004</v>
      </c>
      <c r="O3271" t="s">
        <v>12</v>
      </c>
      <c r="P3271" t="b">
        <v>1</v>
      </c>
      <c r="Q3271">
        <v>6488.5265180685201</v>
      </c>
      <c r="R3271">
        <v>34038.9305877726</v>
      </c>
      <c r="S3271">
        <v>4.3160445071685576</v>
      </c>
      <c r="T3271">
        <v>104.97123578337863</v>
      </c>
      <c r="U3271">
        <v>0</v>
      </c>
      <c r="V3271">
        <v>0</v>
      </c>
    </row>
    <row r="3272" spans="1:22" x14ac:dyDescent="0.2">
      <c r="A3272"/>
      <c r="B3272">
        <v>72382</v>
      </c>
      <c r="C3272" t="s">
        <v>1174</v>
      </c>
      <c r="D3272" t="s">
        <v>1195</v>
      </c>
      <c r="E3272" t="s">
        <v>1198</v>
      </c>
      <c r="F3272" t="s">
        <v>126</v>
      </c>
      <c r="G3272">
        <v>4986.97</v>
      </c>
      <c r="H3272" t="s">
        <v>12</v>
      </c>
      <c r="I3272">
        <v>-1.6</v>
      </c>
      <c r="J3272">
        <v>0</v>
      </c>
      <c r="K3272">
        <v>0</v>
      </c>
      <c r="L3272">
        <v>0</v>
      </c>
      <c r="M3272" t="s">
        <v>126</v>
      </c>
      <c r="N3272">
        <v>4986.97</v>
      </c>
      <c r="O3272" t="s">
        <v>12</v>
      </c>
      <c r="P3272" t="b">
        <v>1</v>
      </c>
      <c r="Q3272">
        <v>6482.7943453551061</v>
      </c>
      <c r="R3272">
        <v>34060.378252074472</v>
      </c>
      <c r="S3272">
        <v>4.3135722728607693</v>
      </c>
      <c r="T3272">
        <v>104.95501064586338</v>
      </c>
      <c r="U3272">
        <v>0</v>
      </c>
      <c r="V3272">
        <v>0</v>
      </c>
    </row>
    <row r="3273" spans="1:22" x14ac:dyDescent="0.2">
      <c r="A3273"/>
      <c r="B3273">
        <v>72383</v>
      </c>
      <c r="C3273" t="s">
        <v>1175</v>
      </c>
      <c r="D3273" t="s">
        <v>1195</v>
      </c>
      <c r="E3273" t="s">
        <v>1198</v>
      </c>
      <c r="F3273" t="s">
        <v>92</v>
      </c>
      <c r="G3273">
        <v>4988.5199999999904</v>
      </c>
      <c r="H3273" t="s">
        <v>12</v>
      </c>
      <c r="I3273">
        <v>-1.6</v>
      </c>
      <c r="J3273">
        <v>0</v>
      </c>
      <c r="K3273">
        <v>0</v>
      </c>
      <c r="L3273">
        <v>0</v>
      </c>
      <c r="M3273" t="s">
        <v>92</v>
      </c>
      <c r="N3273">
        <v>4988.5199999999904</v>
      </c>
      <c r="O3273" t="s">
        <v>12</v>
      </c>
      <c r="P3273" t="b">
        <v>1</v>
      </c>
      <c r="Q3273">
        <v>6487.562848834883</v>
      </c>
      <c r="R3273">
        <v>34061.653678564973</v>
      </c>
      <c r="S3273">
        <v>4.3527572248545523</v>
      </c>
      <c r="T3273">
        <v>104.9469165219639</v>
      </c>
      <c r="U3273">
        <v>0</v>
      </c>
      <c r="V3273">
        <v>0</v>
      </c>
    </row>
    <row r="3274" spans="1:22" x14ac:dyDescent="0.2">
      <c r="A3274"/>
      <c r="B3274">
        <v>72384</v>
      </c>
      <c r="C3274" t="s">
        <v>1176</v>
      </c>
      <c r="D3274" t="s">
        <v>1195</v>
      </c>
      <c r="E3274" t="s">
        <v>1274</v>
      </c>
      <c r="F3274" t="s">
        <v>92</v>
      </c>
      <c r="G3274">
        <v>4966.3199999999897</v>
      </c>
      <c r="H3274" t="s">
        <v>12</v>
      </c>
      <c r="I3274">
        <v>-1.6</v>
      </c>
      <c r="J3274">
        <v>0</v>
      </c>
      <c r="K3274">
        <v>0</v>
      </c>
      <c r="L3274">
        <v>0</v>
      </c>
      <c r="M3274" t="s">
        <v>92</v>
      </c>
      <c r="N3274">
        <v>4966.3199999999897</v>
      </c>
      <c r="O3274" t="s">
        <v>12</v>
      </c>
      <c r="P3274" t="b">
        <v>1</v>
      </c>
      <c r="Q3274">
        <v>6493.2929005276837</v>
      </c>
      <c r="R3274">
        <v>34040.205316322499</v>
      </c>
      <c r="S3274">
        <v>4.3543376543507959</v>
      </c>
      <c r="T3274">
        <v>104.96767888421961</v>
      </c>
      <c r="U3274">
        <v>0</v>
      </c>
      <c r="V3274">
        <v>0</v>
      </c>
    </row>
    <row r="3275" spans="1:22" x14ac:dyDescent="0.2">
      <c r="A3275"/>
      <c r="B3275">
        <v>72385</v>
      </c>
      <c r="C3275" t="s">
        <v>1177</v>
      </c>
      <c r="D3275" t="s">
        <v>1195</v>
      </c>
      <c r="E3275" t="s">
        <v>1274</v>
      </c>
      <c r="F3275" t="s">
        <v>92</v>
      </c>
      <c r="G3275">
        <v>4829.72</v>
      </c>
      <c r="H3275" t="s">
        <v>1270</v>
      </c>
      <c r="I3275">
        <v>-1.6</v>
      </c>
      <c r="J3275">
        <v>0</v>
      </c>
      <c r="K3275">
        <v>0</v>
      </c>
      <c r="L3275">
        <v>0</v>
      </c>
      <c r="M3275" t="s">
        <v>92</v>
      </c>
      <c r="N3275">
        <v>4829.72</v>
      </c>
      <c r="O3275" t="s">
        <v>12</v>
      </c>
      <c r="P3275" t="b">
        <v>0</v>
      </c>
      <c r="Q3275">
        <v>6531.7517894046405</v>
      </c>
      <c r="R3275">
        <v>33909.091355653167</v>
      </c>
      <c r="S3275">
        <v>4.3501470899623866</v>
      </c>
      <c r="T3275">
        <v>-74.977002601906236</v>
      </c>
      <c r="U3275">
        <v>0</v>
      </c>
      <c r="V3275">
        <v>0</v>
      </c>
    </row>
    <row r="3276" spans="1:22" x14ac:dyDescent="0.2">
      <c r="A3276"/>
      <c r="B3276">
        <v>72386</v>
      </c>
      <c r="C3276" t="s">
        <v>1178</v>
      </c>
      <c r="D3276" t="s">
        <v>1195</v>
      </c>
      <c r="E3276" t="s">
        <v>1198</v>
      </c>
      <c r="F3276" t="s">
        <v>92</v>
      </c>
      <c r="G3276">
        <v>4807.5200000000004</v>
      </c>
      <c r="H3276" t="s">
        <v>1270</v>
      </c>
      <c r="I3276">
        <v>-1.6</v>
      </c>
      <c r="J3276">
        <v>0</v>
      </c>
      <c r="K3276">
        <v>0</v>
      </c>
      <c r="L3276">
        <v>0</v>
      </c>
      <c r="M3276" t="s">
        <v>92</v>
      </c>
      <c r="N3276">
        <v>4807.5200000000004</v>
      </c>
      <c r="O3276" t="s">
        <v>12</v>
      </c>
      <c r="P3276" t="b">
        <v>0</v>
      </c>
      <c r="Q3276">
        <v>6537.5057809816217</v>
      </c>
      <c r="R3276">
        <v>33887.649923301855</v>
      </c>
      <c r="S3276">
        <v>4.347204573726752</v>
      </c>
      <c r="T3276">
        <v>-74.979784422317024</v>
      </c>
      <c r="U3276">
        <v>0</v>
      </c>
      <c r="V3276">
        <v>0</v>
      </c>
    </row>
    <row r="3277" spans="1:22" x14ac:dyDescent="0.2">
      <c r="A3277"/>
      <c r="B3277">
        <v>72387</v>
      </c>
      <c r="C3277" t="s">
        <v>1179</v>
      </c>
      <c r="D3277" t="s">
        <v>1195</v>
      </c>
      <c r="E3277" t="s">
        <v>1198</v>
      </c>
      <c r="F3277" t="s">
        <v>126</v>
      </c>
      <c r="G3277">
        <v>6158.53999999999</v>
      </c>
      <c r="H3277" t="s">
        <v>12</v>
      </c>
      <c r="I3277">
        <v>-1.6</v>
      </c>
      <c r="J3277">
        <v>0</v>
      </c>
      <c r="K3277">
        <v>0</v>
      </c>
      <c r="L3277">
        <v>0</v>
      </c>
      <c r="M3277" t="s">
        <v>126</v>
      </c>
      <c r="N3277">
        <v>6158.53999999999</v>
      </c>
      <c r="O3277" t="s">
        <v>12</v>
      </c>
      <c r="P3277" t="b">
        <v>1</v>
      </c>
      <c r="Q3277">
        <v>6458.526744063668</v>
      </c>
      <c r="R3277">
        <v>35224.688787228304</v>
      </c>
      <c r="S3277">
        <v>-2.0933080105569633</v>
      </c>
      <c r="T3277">
        <v>87.55396271227653</v>
      </c>
      <c r="U3277">
        <v>0</v>
      </c>
      <c r="V3277">
        <v>0</v>
      </c>
    </row>
    <row r="3278" spans="1:22" x14ac:dyDescent="0.2">
      <c r="A3278"/>
      <c r="B3278">
        <v>72388</v>
      </c>
      <c r="C3278" t="s">
        <v>1180</v>
      </c>
      <c r="D3278" t="s">
        <v>1195</v>
      </c>
      <c r="E3278" t="s">
        <v>1274</v>
      </c>
      <c r="F3278" t="s">
        <v>126</v>
      </c>
      <c r="G3278">
        <v>6136.34</v>
      </c>
      <c r="H3278" t="s">
        <v>12</v>
      </c>
      <c r="I3278">
        <v>-1.6</v>
      </c>
      <c r="J3278">
        <v>0</v>
      </c>
      <c r="K3278">
        <v>0</v>
      </c>
      <c r="L3278">
        <v>0</v>
      </c>
      <c r="M3278" t="s">
        <v>126</v>
      </c>
      <c r="N3278">
        <v>6136.34</v>
      </c>
      <c r="O3278" t="s">
        <v>12</v>
      </c>
      <c r="P3278" t="b">
        <v>1</v>
      </c>
      <c r="Q3278">
        <v>6457.6009691994677</v>
      </c>
      <c r="R3278">
        <v>35202.505009614972</v>
      </c>
      <c r="S3278">
        <v>-2.0891192890230985</v>
      </c>
      <c r="T3278">
        <v>87.664626187620115</v>
      </c>
      <c r="U3278">
        <v>0</v>
      </c>
      <c r="V3278">
        <v>0</v>
      </c>
    </row>
    <row r="3279" spans="1:22" x14ac:dyDescent="0.2">
      <c r="A3279"/>
      <c r="B3279">
        <v>72389</v>
      </c>
      <c r="C3279" t="s">
        <v>1181</v>
      </c>
      <c r="D3279" t="s">
        <v>1195</v>
      </c>
      <c r="E3279" t="s">
        <v>1274</v>
      </c>
      <c r="F3279" t="s">
        <v>126</v>
      </c>
      <c r="G3279">
        <v>5999.6999999999898</v>
      </c>
      <c r="H3279" t="s">
        <v>1270</v>
      </c>
      <c r="I3279">
        <v>-1.6</v>
      </c>
      <c r="J3279">
        <v>0</v>
      </c>
      <c r="K3279">
        <v>0</v>
      </c>
      <c r="L3279">
        <v>0</v>
      </c>
      <c r="M3279" t="s">
        <v>126</v>
      </c>
      <c r="N3279">
        <v>5999.6999999999898</v>
      </c>
      <c r="O3279" t="s">
        <v>12</v>
      </c>
      <c r="P3279" t="b">
        <v>0</v>
      </c>
      <c r="Q3279">
        <v>6455.813136194517</v>
      </c>
      <c r="R3279">
        <v>35065.837378157019</v>
      </c>
      <c r="S3279">
        <v>-2.0821023168500932</v>
      </c>
      <c r="T3279">
        <v>-91.924045363360207</v>
      </c>
      <c r="U3279">
        <v>0</v>
      </c>
      <c r="V3279">
        <v>0</v>
      </c>
    </row>
    <row r="3280" spans="1:22" x14ac:dyDescent="0.2">
      <c r="A3280"/>
      <c r="B3280">
        <v>72390</v>
      </c>
      <c r="C3280" t="s">
        <v>1182</v>
      </c>
      <c r="D3280" t="s">
        <v>1195</v>
      </c>
      <c r="E3280" t="s">
        <v>1198</v>
      </c>
      <c r="F3280" t="s">
        <v>126</v>
      </c>
      <c r="G3280">
        <v>5977.5</v>
      </c>
      <c r="H3280" t="s">
        <v>1270</v>
      </c>
      <c r="I3280">
        <v>-1.6</v>
      </c>
      <c r="J3280">
        <v>0</v>
      </c>
      <c r="K3280">
        <v>0</v>
      </c>
      <c r="L3280">
        <v>0</v>
      </c>
      <c r="M3280" t="s">
        <v>126</v>
      </c>
      <c r="N3280">
        <v>5977.5</v>
      </c>
      <c r="O3280" t="s">
        <v>12</v>
      </c>
      <c r="P3280" t="b">
        <v>0</v>
      </c>
      <c r="Q3280">
        <v>6455.072657210585</v>
      </c>
      <c r="R3280">
        <v>35043.650381670275</v>
      </c>
      <c r="S3280">
        <v>-2.0839857545865494</v>
      </c>
      <c r="T3280">
        <v>-91.900762585666186</v>
      </c>
      <c r="U3280">
        <v>0</v>
      </c>
      <c r="V3280">
        <v>0</v>
      </c>
    </row>
    <row r="3281" spans="1:22" x14ac:dyDescent="0.2">
      <c r="A3281"/>
      <c r="B3281">
        <v>72391</v>
      </c>
      <c r="C3281" t="s">
        <v>1183</v>
      </c>
      <c r="D3281" t="s">
        <v>1195</v>
      </c>
      <c r="E3281" t="s">
        <v>1198</v>
      </c>
      <c r="F3281" t="s">
        <v>92</v>
      </c>
      <c r="G3281">
        <v>6158.67</v>
      </c>
      <c r="H3281" t="s">
        <v>12</v>
      </c>
      <c r="I3281">
        <v>-1.6</v>
      </c>
      <c r="J3281">
        <v>0</v>
      </c>
      <c r="K3281">
        <v>0</v>
      </c>
      <c r="L3281">
        <v>0</v>
      </c>
      <c r="M3281" t="s">
        <v>92</v>
      </c>
      <c r="N3281">
        <v>6158.67</v>
      </c>
      <c r="O3281" t="s">
        <v>12</v>
      </c>
      <c r="P3281" t="b">
        <v>1</v>
      </c>
      <c r="Q3281">
        <v>6463.4138067934909</v>
      </c>
      <c r="R3281">
        <v>35224.549337540593</v>
      </c>
      <c r="S3281">
        <v>-2.0522758386756261</v>
      </c>
      <c r="T3281">
        <v>87.600899349967918</v>
      </c>
      <c r="U3281">
        <v>0</v>
      </c>
      <c r="V3281">
        <v>0</v>
      </c>
    </row>
    <row r="3282" spans="1:22" x14ac:dyDescent="0.2">
      <c r="A3282"/>
      <c r="B3282">
        <v>72392</v>
      </c>
      <c r="C3282" t="s">
        <v>1184</v>
      </c>
      <c r="D3282" t="s">
        <v>1195</v>
      </c>
      <c r="E3282" t="s">
        <v>1274</v>
      </c>
      <c r="F3282" t="s">
        <v>92</v>
      </c>
      <c r="G3282">
        <v>6136.47</v>
      </c>
      <c r="H3282" t="s">
        <v>12</v>
      </c>
      <c r="I3282">
        <v>-1.6</v>
      </c>
      <c r="J3282">
        <v>0</v>
      </c>
      <c r="K3282">
        <v>0</v>
      </c>
      <c r="L3282">
        <v>0</v>
      </c>
      <c r="M3282" t="s">
        <v>92</v>
      </c>
      <c r="N3282">
        <v>6136.47</v>
      </c>
      <c r="O3282" t="s">
        <v>12</v>
      </c>
      <c r="P3282" t="b">
        <v>1</v>
      </c>
      <c r="Q3282">
        <v>6462.5290050078693</v>
      </c>
      <c r="R3282">
        <v>35202.361129838187</v>
      </c>
      <c r="S3282">
        <v>-2.04869588201682</v>
      </c>
      <c r="T3282">
        <v>87.810543843431091</v>
      </c>
      <c r="U3282">
        <v>0</v>
      </c>
      <c r="V3282">
        <v>0</v>
      </c>
    </row>
    <row r="3283" spans="1:22" x14ac:dyDescent="0.2">
      <c r="A3283"/>
      <c r="B3283">
        <v>72393</v>
      </c>
      <c r="C3283" t="s">
        <v>1185</v>
      </c>
      <c r="D3283" t="s">
        <v>1195</v>
      </c>
      <c r="E3283" t="s">
        <v>1274</v>
      </c>
      <c r="F3283" t="s">
        <v>92</v>
      </c>
      <c r="G3283">
        <v>5999.88</v>
      </c>
      <c r="H3283" t="s">
        <v>1270</v>
      </c>
      <c r="I3283">
        <v>-1.6</v>
      </c>
      <c r="J3283">
        <v>0</v>
      </c>
      <c r="K3283">
        <v>0</v>
      </c>
      <c r="L3283">
        <v>0</v>
      </c>
      <c r="M3283" t="s">
        <v>92</v>
      </c>
      <c r="N3283">
        <v>5999.88</v>
      </c>
      <c r="O3283" t="s">
        <v>12</v>
      </c>
      <c r="P3283" t="b">
        <v>0</v>
      </c>
      <c r="Q3283">
        <v>6460.8985509275863</v>
      </c>
      <c r="R3283">
        <v>35065.742428207399</v>
      </c>
      <c r="S3283">
        <v>-2.0544284743270556</v>
      </c>
      <c r="T3283">
        <v>-91.900897343043709</v>
      </c>
      <c r="U3283">
        <v>0</v>
      </c>
      <c r="V3283">
        <v>0</v>
      </c>
    </row>
    <row r="3284" spans="1:22" x14ac:dyDescent="0.2">
      <c r="A3284"/>
      <c r="B3284">
        <v>72394</v>
      </c>
      <c r="C3284" t="s">
        <v>1186</v>
      </c>
      <c r="D3284" t="s">
        <v>1195</v>
      </c>
      <c r="E3284" t="s">
        <v>1198</v>
      </c>
      <c r="F3284" t="s">
        <v>92</v>
      </c>
      <c r="G3284">
        <v>5977.68</v>
      </c>
      <c r="H3284" t="s">
        <v>1270</v>
      </c>
      <c r="I3284">
        <v>-1.6</v>
      </c>
      <c r="J3284">
        <v>0</v>
      </c>
      <c r="K3284">
        <v>0</v>
      </c>
      <c r="L3284">
        <v>0</v>
      </c>
      <c r="M3284" t="s">
        <v>92</v>
      </c>
      <c r="N3284">
        <v>5977.68</v>
      </c>
      <c r="O3284" t="s">
        <v>12</v>
      </c>
      <c r="P3284" t="b">
        <v>0</v>
      </c>
      <c r="Q3284">
        <v>6460.1585619132065</v>
      </c>
      <c r="R3284">
        <v>35043.554236726348</v>
      </c>
      <c r="S3284">
        <v>-2.0552471383022795</v>
      </c>
      <c r="T3284">
        <v>-91.919794186509662</v>
      </c>
      <c r="U3284">
        <v>0</v>
      </c>
      <c r="V3284">
        <v>0</v>
      </c>
    </row>
    <row r="3285" spans="1:22" x14ac:dyDescent="0.2">
      <c r="A3285"/>
      <c r="B3285">
        <v>72395</v>
      </c>
      <c r="C3285" t="s">
        <v>1187</v>
      </c>
      <c r="D3285" t="s">
        <v>1195</v>
      </c>
      <c r="E3285" t="s">
        <v>1198</v>
      </c>
      <c r="F3285" t="s">
        <v>126</v>
      </c>
      <c r="G3285">
        <v>6901.46</v>
      </c>
      <c r="H3285" t="s">
        <v>1270</v>
      </c>
      <c r="I3285">
        <v>-1.6</v>
      </c>
      <c r="J3285">
        <v>0</v>
      </c>
      <c r="K3285">
        <v>0</v>
      </c>
      <c r="L3285">
        <v>0</v>
      </c>
      <c r="M3285" t="s">
        <v>126</v>
      </c>
      <c r="N3285">
        <v>6901.46</v>
      </c>
      <c r="O3285" t="s">
        <v>12</v>
      </c>
      <c r="P3285" t="b">
        <v>0</v>
      </c>
      <c r="Q3285">
        <v>6599.0289133540446</v>
      </c>
      <c r="R3285">
        <v>35953.827508391354</v>
      </c>
      <c r="S3285">
        <v>-4.001641267441042</v>
      </c>
      <c r="T3285">
        <v>-100.96691065893675</v>
      </c>
      <c r="U3285">
        <v>0</v>
      </c>
      <c r="V3285">
        <v>0</v>
      </c>
    </row>
    <row r="3286" spans="1:22" x14ac:dyDescent="0.2">
      <c r="A3286"/>
      <c r="B3286">
        <v>72396</v>
      </c>
      <c r="C3286" t="s">
        <v>1188</v>
      </c>
      <c r="D3286" t="s">
        <v>1195</v>
      </c>
      <c r="E3286" t="s">
        <v>1274</v>
      </c>
      <c r="F3286" t="s">
        <v>126</v>
      </c>
      <c r="G3286">
        <v>6923.6599999999899</v>
      </c>
      <c r="H3286" t="s">
        <v>1270</v>
      </c>
      <c r="I3286">
        <v>-1.6</v>
      </c>
      <c r="J3286">
        <v>0</v>
      </c>
      <c r="K3286">
        <v>0</v>
      </c>
      <c r="L3286">
        <v>0</v>
      </c>
      <c r="M3286" t="s">
        <v>126</v>
      </c>
      <c r="N3286">
        <v>6923.6599999999899</v>
      </c>
      <c r="O3286" t="s">
        <v>12</v>
      </c>
      <c r="P3286" t="b">
        <v>0</v>
      </c>
      <c r="Q3286">
        <v>6603.2599148362387</v>
      </c>
      <c r="R3286">
        <v>35975.619477557753</v>
      </c>
      <c r="S3286">
        <v>-4.0006781709341483</v>
      </c>
      <c r="T3286">
        <v>-101.00617832179428</v>
      </c>
      <c r="U3286">
        <v>0</v>
      </c>
      <c r="V3286">
        <v>0</v>
      </c>
    </row>
    <row r="3287" spans="1:22" x14ac:dyDescent="0.2">
      <c r="A3287"/>
      <c r="B3287">
        <v>72397</v>
      </c>
      <c r="C3287" t="s">
        <v>1189</v>
      </c>
      <c r="D3287" t="s">
        <v>1195</v>
      </c>
      <c r="E3287" t="s">
        <v>1274</v>
      </c>
      <c r="F3287" t="s">
        <v>126</v>
      </c>
      <c r="G3287">
        <v>7060.13</v>
      </c>
      <c r="H3287" t="s">
        <v>12</v>
      </c>
      <c r="I3287">
        <v>-1.6</v>
      </c>
      <c r="J3287">
        <v>0</v>
      </c>
      <c r="K3287">
        <v>0</v>
      </c>
      <c r="L3287">
        <v>0</v>
      </c>
      <c r="M3287" t="s">
        <v>126</v>
      </c>
      <c r="N3287">
        <v>7060.13</v>
      </c>
      <c r="O3287" t="s">
        <v>12</v>
      </c>
      <c r="P3287" t="b">
        <v>1</v>
      </c>
      <c r="Q3287">
        <v>6626.241950690981</v>
      </c>
      <c r="R3287">
        <v>36110.176405699043</v>
      </c>
      <c r="S3287">
        <v>-3.9972297954334097</v>
      </c>
      <c r="T3287">
        <v>79.007966075991845</v>
      </c>
      <c r="U3287">
        <v>0</v>
      </c>
      <c r="V3287">
        <v>0</v>
      </c>
    </row>
    <row r="3288" spans="1:22" x14ac:dyDescent="0.2">
      <c r="A3288"/>
      <c r="B3288">
        <v>72398</v>
      </c>
      <c r="C3288" t="s">
        <v>1190</v>
      </c>
      <c r="D3288" t="s">
        <v>1195</v>
      </c>
      <c r="E3288" t="s">
        <v>1198</v>
      </c>
      <c r="F3288" t="s">
        <v>126</v>
      </c>
      <c r="G3288">
        <v>7082.3299999999899</v>
      </c>
      <c r="H3288" t="s">
        <v>12</v>
      </c>
      <c r="I3288">
        <v>-1.6</v>
      </c>
      <c r="J3288">
        <v>0</v>
      </c>
      <c r="K3288">
        <v>0</v>
      </c>
      <c r="L3288">
        <v>0</v>
      </c>
      <c r="M3288" t="s">
        <v>126</v>
      </c>
      <c r="N3288">
        <v>7082.3299999999899</v>
      </c>
      <c r="O3288" t="s">
        <v>12</v>
      </c>
      <c r="P3288" t="b">
        <v>1</v>
      </c>
      <c r="Q3288">
        <v>6630.4666726917158</v>
      </c>
      <c r="R3288">
        <v>36131.969462125402</v>
      </c>
      <c r="S3288">
        <v>-3.9970709751321154</v>
      </c>
      <c r="T3288">
        <v>79.051835565343865</v>
      </c>
      <c r="U3288">
        <v>0</v>
      </c>
      <c r="V3288">
        <v>0</v>
      </c>
    </row>
    <row r="3289" spans="1:22" x14ac:dyDescent="0.2">
      <c r="A3289"/>
      <c r="B3289">
        <v>72399</v>
      </c>
      <c r="C3289" t="s">
        <v>1191</v>
      </c>
      <c r="D3289" t="s">
        <v>1195</v>
      </c>
      <c r="E3289" t="s">
        <v>1198</v>
      </c>
      <c r="F3289" t="s">
        <v>92</v>
      </c>
      <c r="G3289">
        <v>6900.7799999999897</v>
      </c>
      <c r="H3289" t="s">
        <v>1270</v>
      </c>
      <c r="I3289">
        <v>-1.6</v>
      </c>
      <c r="J3289">
        <v>0</v>
      </c>
      <c r="K3289">
        <v>0</v>
      </c>
      <c r="L3289">
        <v>0</v>
      </c>
      <c r="M3289" t="s">
        <v>92</v>
      </c>
      <c r="N3289">
        <v>6900.7799999999897</v>
      </c>
      <c r="O3289" t="s">
        <v>12</v>
      </c>
      <c r="P3289" t="b">
        <v>0</v>
      </c>
      <c r="Q3289">
        <v>6603.8837776079545</v>
      </c>
      <c r="R3289">
        <v>35952.892509917801</v>
      </c>
      <c r="S3289">
        <v>-3.9782800366791218</v>
      </c>
      <c r="T3289">
        <v>-100.94957101937416</v>
      </c>
      <c r="U3289">
        <v>0</v>
      </c>
      <c r="V3289">
        <v>0</v>
      </c>
    </row>
    <row r="3290" spans="1:22" x14ac:dyDescent="0.2">
      <c r="A3290"/>
      <c r="B3290">
        <v>72400</v>
      </c>
      <c r="C3290" t="s">
        <v>1192</v>
      </c>
      <c r="D3290" t="s">
        <v>1195</v>
      </c>
      <c r="E3290" t="s">
        <v>1274</v>
      </c>
      <c r="F3290" t="s">
        <v>92</v>
      </c>
      <c r="G3290">
        <v>6922.9799999999896</v>
      </c>
      <c r="H3290" t="s">
        <v>1270</v>
      </c>
      <c r="I3290">
        <v>-1.6</v>
      </c>
      <c r="J3290">
        <v>0</v>
      </c>
      <c r="K3290">
        <v>0</v>
      </c>
      <c r="L3290">
        <v>0</v>
      </c>
      <c r="M3290" t="s">
        <v>92</v>
      </c>
      <c r="N3290">
        <v>6922.9799999999896</v>
      </c>
      <c r="O3290" t="s">
        <v>12</v>
      </c>
      <c r="P3290" t="b">
        <v>0</v>
      </c>
      <c r="Q3290">
        <v>6608.1077020667153</v>
      </c>
      <c r="R3290">
        <v>35974.685992384424</v>
      </c>
      <c r="S3290">
        <v>-3.9753453519855437</v>
      </c>
      <c r="T3290">
        <v>-100.98389645177139</v>
      </c>
      <c r="U3290">
        <v>0</v>
      </c>
      <c r="V3290">
        <v>0</v>
      </c>
    </row>
    <row r="3291" spans="1:22" x14ac:dyDescent="0.2">
      <c r="A3291"/>
      <c r="B3291">
        <v>72401</v>
      </c>
      <c r="C3291" t="s">
        <v>1193</v>
      </c>
      <c r="D3291" t="s">
        <v>1195</v>
      </c>
      <c r="E3291" t="s">
        <v>1274</v>
      </c>
      <c r="F3291" t="s">
        <v>92</v>
      </c>
      <c r="G3291">
        <v>7059.4799999999896</v>
      </c>
      <c r="H3291" t="s">
        <v>12</v>
      </c>
      <c r="I3291">
        <v>-1.6</v>
      </c>
      <c r="J3291">
        <v>0</v>
      </c>
      <c r="K3291">
        <v>0</v>
      </c>
      <c r="L3291">
        <v>0</v>
      </c>
      <c r="M3291" t="s">
        <v>92</v>
      </c>
      <c r="N3291">
        <v>7059.4799999999896</v>
      </c>
      <c r="O3291" t="s">
        <v>12</v>
      </c>
      <c r="P3291" t="b">
        <v>1</v>
      </c>
      <c r="Q3291">
        <v>6631.0528850469927</v>
      </c>
      <c r="R3291">
        <v>36109.280351931193</v>
      </c>
      <c r="S3291">
        <v>-3.9550570293989775</v>
      </c>
      <c r="T3291">
        <v>78.996775294781855</v>
      </c>
      <c r="U3291">
        <v>0</v>
      </c>
      <c r="V3291">
        <v>0</v>
      </c>
    </row>
    <row r="3292" spans="1:22" x14ac:dyDescent="0.2">
      <c r="A3292"/>
      <c r="B3292">
        <v>72402</v>
      </c>
      <c r="C3292" t="s">
        <v>1194</v>
      </c>
      <c r="D3292" t="s">
        <v>1195</v>
      </c>
      <c r="E3292" t="s">
        <v>1198</v>
      </c>
      <c r="F3292" t="s">
        <v>92</v>
      </c>
      <c r="G3292">
        <v>7081.6799999999903</v>
      </c>
      <c r="H3292" t="s">
        <v>12</v>
      </c>
      <c r="I3292">
        <v>-1.6</v>
      </c>
      <c r="J3292">
        <v>0</v>
      </c>
      <c r="K3292">
        <v>0</v>
      </c>
      <c r="L3292">
        <v>0</v>
      </c>
      <c r="M3292" t="s">
        <v>92</v>
      </c>
      <c r="N3292">
        <v>7081.6799999999903</v>
      </c>
      <c r="O3292" t="s">
        <v>12</v>
      </c>
      <c r="P3292" t="b">
        <v>1</v>
      </c>
      <c r="Q3292">
        <v>6635.2848766809839</v>
      </c>
      <c r="R3292">
        <v>36131.072337161451</v>
      </c>
      <c r="S3292">
        <v>-3.9544772985886159</v>
      </c>
      <c r="T3292">
        <v>79.028722725266505</v>
      </c>
      <c r="U3292">
        <v>0</v>
      </c>
      <c r="V3292">
        <v>0</v>
      </c>
    </row>
    <row r="3293" spans="1:22" x14ac:dyDescent="0.2">
      <c r="A3293"/>
      <c r="B3293">
        <v>73004</v>
      </c>
      <c r="C3293" t="s">
        <v>931</v>
      </c>
      <c r="D3293" t="s">
        <v>928</v>
      </c>
      <c r="E3293" t="s">
        <v>1085</v>
      </c>
      <c r="F3293" t="s">
        <v>106</v>
      </c>
      <c r="G3293">
        <v>44.3619365159214</v>
      </c>
      <c r="H3293" t="s">
        <v>1270</v>
      </c>
      <c r="I3293">
        <v>0</v>
      </c>
      <c r="J3293">
        <v>0</v>
      </c>
      <c r="K3293">
        <v>0</v>
      </c>
      <c r="L3293">
        <v>0</v>
      </c>
      <c r="M3293" t="s">
        <v>188</v>
      </c>
      <c r="N3293">
        <v>44.3619365159214</v>
      </c>
      <c r="O3293" t="s">
        <v>12</v>
      </c>
      <c r="P3293" t="b">
        <v>0</v>
      </c>
      <c r="Q3293">
        <v>4863.1835384370888</v>
      </c>
      <c r="R3293">
        <v>21653.052543597387</v>
      </c>
      <c r="S3293">
        <v>-2.4574360302062771E-3</v>
      </c>
      <c r="T3293">
        <v>-104.47080229866859</v>
      </c>
      <c r="U3293">
        <v>0</v>
      </c>
      <c r="V3293">
        <v>0</v>
      </c>
    </row>
    <row r="3294" spans="1:22" x14ac:dyDescent="0.2">
      <c r="A3294"/>
      <c r="B3294">
        <v>73005</v>
      </c>
      <c r="C3294" t="s">
        <v>932</v>
      </c>
      <c r="D3294" t="s">
        <v>928</v>
      </c>
      <c r="E3294" t="s">
        <v>1085</v>
      </c>
      <c r="F3294" t="s">
        <v>106</v>
      </c>
      <c r="G3294">
        <v>89.551962513473399</v>
      </c>
      <c r="H3294" t="s">
        <v>1270</v>
      </c>
      <c r="I3294">
        <v>0</v>
      </c>
      <c r="J3294">
        <v>0</v>
      </c>
      <c r="K3294">
        <v>0</v>
      </c>
      <c r="L3294">
        <v>0</v>
      </c>
      <c r="M3294" t="s">
        <v>188</v>
      </c>
      <c r="N3294">
        <v>89.551962513473399</v>
      </c>
      <c r="O3294" t="s">
        <v>12</v>
      </c>
      <c r="P3294" t="b">
        <v>0</v>
      </c>
      <c r="Q3294">
        <v>4874.4767093869605</v>
      </c>
      <c r="R3294">
        <v>21696.808717320378</v>
      </c>
      <c r="S3294">
        <v>-2.8919961493806979E-3</v>
      </c>
      <c r="T3294">
        <v>-104.47198318443934</v>
      </c>
      <c r="U3294">
        <v>0</v>
      </c>
      <c r="V3294">
        <v>0</v>
      </c>
    </row>
    <row r="3295" spans="1:22" x14ac:dyDescent="0.2">
      <c r="A3295"/>
      <c r="B3295">
        <v>73006</v>
      </c>
      <c r="C3295" t="s">
        <v>933</v>
      </c>
      <c r="D3295" t="s">
        <v>928</v>
      </c>
      <c r="E3295" t="s">
        <v>1085</v>
      </c>
      <c r="F3295" t="s">
        <v>82</v>
      </c>
      <c r="G3295">
        <v>44.360176124388303</v>
      </c>
      <c r="H3295" t="s">
        <v>1270</v>
      </c>
      <c r="I3295">
        <v>0</v>
      </c>
      <c r="J3295">
        <v>0</v>
      </c>
      <c r="K3295">
        <v>0</v>
      </c>
      <c r="L3295">
        <v>0</v>
      </c>
      <c r="M3295" t="s">
        <v>187</v>
      </c>
      <c r="N3295">
        <v>44.360176124388303</v>
      </c>
      <c r="O3295" t="s">
        <v>12</v>
      </c>
      <c r="P3295" t="b">
        <v>0</v>
      </c>
      <c r="Q3295">
        <v>4867.9829920619286</v>
      </c>
      <c r="R3295">
        <v>21651.637006898407</v>
      </c>
      <c r="S3295">
        <v>2.8982668306570342E-4</v>
      </c>
      <c r="T3295">
        <v>-104.45916645079586</v>
      </c>
      <c r="U3295">
        <v>0</v>
      </c>
      <c r="V3295">
        <v>0</v>
      </c>
    </row>
    <row r="3296" spans="1:22" x14ac:dyDescent="0.2">
      <c r="A3296"/>
      <c r="B3296">
        <v>73007</v>
      </c>
      <c r="C3296" t="s">
        <v>934</v>
      </c>
      <c r="D3296" t="s">
        <v>928</v>
      </c>
      <c r="E3296" t="s">
        <v>1085</v>
      </c>
      <c r="F3296" t="s">
        <v>82</v>
      </c>
      <c r="G3296">
        <v>89.548408869765296</v>
      </c>
      <c r="H3296" t="s">
        <v>1270</v>
      </c>
      <c r="I3296">
        <v>0</v>
      </c>
      <c r="J3296">
        <v>0</v>
      </c>
      <c r="K3296">
        <v>0</v>
      </c>
      <c r="L3296">
        <v>0</v>
      </c>
      <c r="M3296" t="s">
        <v>187</v>
      </c>
      <c r="N3296">
        <v>89.548408869765296</v>
      </c>
      <c r="O3296" t="s">
        <v>12</v>
      </c>
      <c r="P3296" t="b">
        <v>0</v>
      </c>
      <c r="Q3296">
        <v>4879.2664224275404</v>
      </c>
      <c r="R3296">
        <v>21695.393841484802</v>
      </c>
      <c r="S3296">
        <v>-1.7759276960800977E-3</v>
      </c>
      <c r="T3296">
        <v>-104.46030459733485</v>
      </c>
      <c r="U3296">
        <v>0</v>
      </c>
      <c r="V3296">
        <v>0</v>
      </c>
    </row>
    <row r="3297" spans="1:22" x14ac:dyDescent="0.2">
      <c r="A3297"/>
      <c r="B3297">
        <v>73008</v>
      </c>
      <c r="C3297" t="s">
        <v>967</v>
      </c>
      <c r="D3297" t="s">
        <v>928</v>
      </c>
      <c r="E3297" t="s">
        <v>1090</v>
      </c>
      <c r="F3297" t="s">
        <v>87</v>
      </c>
      <c r="G3297">
        <v>5307.3239192653127</v>
      </c>
      <c r="H3297" t="s">
        <v>1270</v>
      </c>
      <c r="I3297">
        <v>0</v>
      </c>
      <c r="J3297">
        <v>0</v>
      </c>
      <c r="K3297">
        <v>0</v>
      </c>
      <c r="L3297">
        <v>0</v>
      </c>
      <c r="M3297" t="s">
        <v>187</v>
      </c>
      <c r="N3297">
        <v>6086.0802512025402</v>
      </c>
      <c r="O3297" t="s">
        <v>12</v>
      </c>
      <c r="P3297" t="b">
        <v>0</v>
      </c>
      <c r="Q3297">
        <v>5572.0506753537029</v>
      </c>
      <c r="R3297">
        <v>27579.721574432508</v>
      </c>
      <c r="S3297">
        <v>5.1329925170689652</v>
      </c>
      <c r="T3297">
        <v>-99.827901683105878</v>
      </c>
      <c r="U3297">
        <v>0</v>
      </c>
      <c r="V3297">
        <v>0</v>
      </c>
    </row>
    <row r="3298" spans="1:22" x14ac:dyDescent="0.2">
      <c r="A3298"/>
      <c r="B3298">
        <v>73009</v>
      </c>
      <c r="C3298" t="s">
        <v>968</v>
      </c>
      <c r="D3298" t="s">
        <v>928</v>
      </c>
      <c r="E3298" t="s">
        <v>1090</v>
      </c>
      <c r="F3298" t="s">
        <v>87</v>
      </c>
      <c r="G3298">
        <v>5352.4326693689727</v>
      </c>
      <c r="H3298" t="s">
        <v>1270</v>
      </c>
      <c r="I3298">
        <v>0</v>
      </c>
      <c r="J3298">
        <v>0</v>
      </c>
      <c r="K3298">
        <v>0</v>
      </c>
      <c r="L3298">
        <v>0</v>
      </c>
      <c r="M3298" t="s">
        <v>187</v>
      </c>
      <c r="N3298">
        <v>6131.1890013062002</v>
      </c>
      <c r="O3298" t="s">
        <v>12</v>
      </c>
      <c r="P3298" t="b">
        <v>0</v>
      </c>
      <c r="Q3298">
        <v>5579.7686276473241</v>
      </c>
      <c r="R3298">
        <v>27624.164742623605</v>
      </c>
      <c r="S3298">
        <v>5.253173851157352</v>
      </c>
      <c r="T3298">
        <v>-99.874751710462846</v>
      </c>
      <c r="U3298">
        <v>0</v>
      </c>
      <c r="V3298">
        <v>0</v>
      </c>
    </row>
    <row r="3299" spans="1:22" x14ac:dyDescent="0.2">
      <c r="A3299"/>
      <c r="B3299">
        <v>73010</v>
      </c>
      <c r="C3299" t="s">
        <v>977</v>
      </c>
      <c r="D3299" t="s">
        <v>928</v>
      </c>
      <c r="E3299" t="s">
        <v>1090</v>
      </c>
      <c r="F3299" t="s">
        <v>91</v>
      </c>
      <c r="G3299">
        <v>208.8341873267243</v>
      </c>
      <c r="H3299" t="s">
        <v>12</v>
      </c>
      <c r="I3299">
        <v>0</v>
      </c>
      <c r="J3299">
        <v>0</v>
      </c>
      <c r="K3299">
        <v>0</v>
      </c>
      <c r="L3299">
        <v>0</v>
      </c>
      <c r="M3299" t="s">
        <v>187</v>
      </c>
      <c r="N3299">
        <v>6947.2889306555699</v>
      </c>
      <c r="O3299" t="s">
        <v>12</v>
      </c>
      <c r="P3299" t="b">
        <v>1</v>
      </c>
      <c r="Q3299">
        <v>5710.4601603589254</v>
      </c>
      <c r="R3299">
        <v>28429.697736033366</v>
      </c>
      <c r="S3299">
        <v>4.5028464865715003</v>
      </c>
      <c r="T3299">
        <v>81.883676232305064</v>
      </c>
      <c r="U3299">
        <v>0</v>
      </c>
      <c r="V3299">
        <v>0</v>
      </c>
    </row>
    <row r="3300" spans="1:22" x14ac:dyDescent="0.2">
      <c r="A3300"/>
      <c r="B3300">
        <v>73011</v>
      </c>
      <c r="C3300" t="s">
        <v>978</v>
      </c>
      <c r="D3300" t="s">
        <v>928</v>
      </c>
      <c r="E3300" t="s">
        <v>1090</v>
      </c>
      <c r="F3300" t="s">
        <v>91</v>
      </c>
      <c r="G3300">
        <v>254.55687513805401</v>
      </c>
      <c r="H3300" t="s">
        <v>12</v>
      </c>
      <c r="I3300">
        <v>0</v>
      </c>
      <c r="J3300">
        <v>0</v>
      </c>
      <c r="K3300">
        <v>0</v>
      </c>
      <c r="L3300">
        <v>0</v>
      </c>
      <c r="M3300" t="s">
        <v>187</v>
      </c>
      <c r="N3300">
        <v>6993.0116184668996</v>
      </c>
      <c r="O3300" t="s">
        <v>12</v>
      </c>
      <c r="P3300" t="b">
        <v>1</v>
      </c>
      <c r="Q3300">
        <v>5716.8561004298954</v>
      </c>
      <c r="R3300">
        <v>28474.967109741418</v>
      </c>
      <c r="S3300">
        <v>5.0477716379102029</v>
      </c>
      <c r="T3300">
        <v>82.033615677397179</v>
      </c>
      <c r="U3300">
        <v>0</v>
      </c>
      <c r="V3300">
        <v>0</v>
      </c>
    </row>
    <row r="3301" spans="1:22" x14ac:dyDescent="0.2">
      <c r="A3301"/>
      <c r="B3301">
        <v>73012</v>
      </c>
      <c r="C3301" t="s">
        <v>1086</v>
      </c>
      <c r="D3301" t="s">
        <v>928</v>
      </c>
      <c r="E3301" t="s">
        <v>1090</v>
      </c>
      <c r="F3301" t="s">
        <v>118</v>
      </c>
      <c r="G3301">
        <v>145.28131525475561</v>
      </c>
      <c r="H3301" t="s">
        <v>1270</v>
      </c>
      <c r="I3301">
        <v>0</v>
      </c>
      <c r="J3301">
        <v>0</v>
      </c>
      <c r="K3301">
        <v>0</v>
      </c>
      <c r="L3301">
        <v>0</v>
      </c>
      <c r="M3301" t="s">
        <v>187</v>
      </c>
      <c r="N3301">
        <v>15463.1742238189</v>
      </c>
      <c r="O3301" t="s">
        <v>12</v>
      </c>
      <c r="P3301" t="b">
        <v>0</v>
      </c>
      <c r="Q3301">
        <v>6707.9410101748927</v>
      </c>
      <c r="R3301">
        <v>36488.73553429429</v>
      </c>
      <c r="S3301">
        <v>-4.6819882655037794</v>
      </c>
      <c r="T3301">
        <v>-106.83490594500448</v>
      </c>
      <c r="U3301">
        <v>0</v>
      </c>
      <c r="V3301">
        <v>0</v>
      </c>
    </row>
    <row r="3302" spans="1:22" x14ac:dyDescent="0.2">
      <c r="A3302"/>
      <c r="B3302">
        <v>73013</v>
      </c>
      <c r="C3302" t="s">
        <v>1087</v>
      </c>
      <c r="D3302" t="s">
        <v>928</v>
      </c>
      <c r="E3302" t="s">
        <v>1090</v>
      </c>
      <c r="F3302" t="s">
        <v>118</v>
      </c>
      <c r="G3302">
        <v>186.44136155445682</v>
      </c>
      <c r="H3302" t="s">
        <v>1270</v>
      </c>
      <c r="I3302">
        <v>0</v>
      </c>
      <c r="J3302">
        <v>0</v>
      </c>
      <c r="K3302">
        <v>0</v>
      </c>
      <c r="L3302">
        <v>0</v>
      </c>
      <c r="M3302" t="s">
        <v>187</v>
      </c>
      <c r="N3302">
        <v>15504.334270118599</v>
      </c>
      <c r="O3302" t="s">
        <v>12</v>
      </c>
      <c r="P3302" t="b">
        <v>0</v>
      </c>
      <c r="Q3302">
        <v>6721.2348317072492</v>
      </c>
      <c r="R3302">
        <v>36527.662879272553</v>
      </c>
      <c r="S3302">
        <v>-5.8530182427047155</v>
      </c>
      <c r="T3302">
        <v>-110.88003294500555</v>
      </c>
      <c r="U3302">
        <v>0</v>
      </c>
      <c r="V3302">
        <v>0</v>
      </c>
    </row>
    <row r="3303" spans="1:22" x14ac:dyDescent="0.2">
      <c r="A3303"/>
      <c r="B3303">
        <v>73014</v>
      </c>
      <c r="C3303" t="s">
        <v>1088</v>
      </c>
      <c r="D3303" t="s">
        <v>928</v>
      </c>
      <c r="E3303" t="s">
        <v>1090</v>
      </c>
      <c r="F3303" t="s">
        <v>118</v>
      </c>
      <c r="G3303">
        <v>196.0759011878568</v>
      </c>
      <c r="H3303" t="s">
        <v>12</v>
      </c>
      <c r="I3303">
        <v>0</v>
      </c>
      <c r="J3303">
        <v>0</v>
      </c>
      <c r="K3303">
        <v>0</v>
      </c>
      <c r="L3303">
        <v>0</v>
      </c>
      <c r="M3303" t="s">
        <v>187</v>
      </c>
      <c r="N3303">
        <v>15513.968809751999</v>
      </c>
      <c r="O3303" t="s">
        <v>12</v>
      </c>
      <c r="P3303" t="b">
        <v>1</v>
      </c>
      <c r="Q3303">
        <v>6724.7414634623019</v>
      </c>
      <c r="R3303">
        <v>36536.63152093676</v>
      </c>
      <c r="S3303">
        <v>-6.15173122722525</v>
      </c>
      <c r="T3303">
        <v>68.170061372385803</v>
      </c>
      <c r="U3303">
        <v>0</v>
      </c>
      <c r="V3303">
        <v>0</v>
      </c>
    </row>
    <row r="3304" spans="1:22" x14ac:dyDescent="0.2">
      <c r="A3304"/>
      <c r="B3304">
        <v>73015</v>
      </c>
      <c r="C3304" t="s">
        <v>1089</v>
      </c>
      <c r="D3304" t="s">
        <v>928</v>
      </c>
      <c r="E3304" t="s">
        <v>1090</v>
      </c>
      <c r="F3304" t="s">
        <v>118</v>
      </c>
      <c r="G3304">
        <v>237.23594748745614</v>
      </c>
      <c r="H3304" t="s">
        <v>12</v>
      </c>
      <c r="I3304">
        <v>0</v>
      </c>
      <c r="J3304">
        <v>0</v>
      </c>
      <c r="K3304">
        <v>0</v>
      </c>
      <c r="L3304">
        <v>0</v>
      </c>
      <c r="M3304" t="s">
        <v>187</v>
      </c>
      <c r="N3304">
        <v>15555.1288560516</v>
      </c>
      <c r="O3304" t="s">
        <v>12</v>
      </c>
      <c r="P3304" t="b">
        <v>1</v>
      </c>
      <c r="Q3304">
        <v>6741.3808116222717</v>
      </c>
      <c r="R3304">
        <v>36574.246002304324</v>
      </c>
      <c r="S3304">
        <v>-7.463537503905977</v>
      </c>
      <c r="T3304">
        <v>64.101089069475847</v>
      </c>
      <c r="U3304">
        <v>0</v>
      </c>
      <c r="V3304">
        <v>0</v>
      </c>
    </row>
    <row r="3305" spans="1:22" x14ac:dyDescent="0.2">
      <c r="A3305"/>
      <c r="B3305">
        <v>74000</v>
      </c>
      <c r="C3305" t="s">
        <v>1505</v>
      </c>
      <c r="D3305" t="s">
        <v>1045</v>
      </c>
      <c r="E3305" t="s">
        <v>1048</v>
      </c>
      <c r="F3305" t="s">
        <v>106</v>
      </c>
      <c r="G3305">
        <v>0</v>
      </c>
      <c r="H3305" t="s">
        <v>12</v>
      </c>
      <c r="I3305">
        <v>-2.5</v>
      </c>
      <c r="J3305">
        <v>0</v>
      </c>
      <c r="K3305">
        <v>0</v>
      </c>
      <c r="L3305">
        <v>0</v>
      </c>
      <c r="M3305" t="s">
        <v>188</v>
      </c>
      <c r="N3305">
        <v>0</v>
      </c>
      <c r="O3305" t="s">
        <v>12</v>
      </c>
      <c r="P3305" t="b">
        <v>1</v>
      </c>
      <c r="Q3305">
        <v>4849.6793784251913</v>
      </c>
      <c r="R3305">
        <v>21610.72190146564</v>
      </c>
      <c r="S3305">
        <v>0</v>
      </c>
      <c r="T3305">
        <v>75.535601381544851</v>
      </c>
      <c r="U3305">
        <v>0</v>
      </c>
      <c r="V3305">
        <v>0</v>
      </c>
    </row>
    <row r="3306" spans="1:22" x14ac:dyDescent="0.2">
      <c r="A3306"/>
      <c r="B3306">
        <v>74000</v>
      </c>
      <c r="C3306" t="s">
        <v>1505</v>
      </c>
      <c r="D3306" t="s">
        <v>1045</v>
      </c>
      <c r="E3306" t="s">
        <v>1048</v>
      </c>
      <c r="F3306" t="s">
        <v>82</v>
      </c>
      <c r="G3306">
        <v>0</v>
      </c>
      <c r="H3306" t="s">
        <v>12</v>
      </c>
      <c r="M3306" t="s">
        <v>188</v>
      </c>
      <c r="N3306">
        <v>0</v>
      </c>
      <c r="O3306" t="s">
        <v>12</v>
      </c>
      <c r="P3306" t="b">
        <v>1</v>
      </c>
      <c r="Q3306">
        <v>4849.6793784251913</v>
      </c>
      <c r="R3306">
        <v>21610.72190146564</v>
      </c>
      <c r="S3306">
        <v>0</v>
      </c>
      <c r="T3306">
        <v>75.535601381544851</v>
      </c>
      <c r="U3306">
        <v>0</v>
      </c>
      <c r="V3306">
        <v>0</v>
      </c>
    </row>
    <row r="3307" spans="1:22" x14ac:dyDescent="0.2">
      <c r="A3307"/>
      <c r="B3307">
        <v>74001</v>
      </c>
      <c r="C3307" t="s">
        <v>1506</v>
      </c>
      <c r="D3307" t="s">
        <v>1045</v>
      </c>
      <c r="E3307" t="s">
        <v>1048</v>
      </c>
      <c r="F3307" t="s">
        <v>106</v>
      </c>
      <c r="G3307">
        <v>0</v>
      </c>
      <c r="H3307" t="s">
        <v>1270</v>
      </c>
      <c r="I3307">
        <v>2.5</v>
      </c>
      <c r="J3307">
        <v>0</v>
      </c>
      <c r="K3307">
        <v>0</v>
      </c>
      <c r="L3307">
        <v>0</v>
      </c>
      <c r="M3307" t="s">
        <v>188</v>
      </c>
      <c r="N3307">
        <v>0</v>
      </c>
      <c r="O3307" t="s">
        <v>12</v>
      </c>
      <c r="P3307" t="b">
        <v>0</v>
      </c>
      <c r="Q3307">
        <v>4849.6793784251913</v>
      </c>
      <c r="R3307">
        <v>21610.72190146564</v>
      </c>
      <c r="S3307">
        <v>0</v>
      </c>
      <c r="T3307">
        <v>-104.46439861845515</v>
      </c>
      <c r="U3307">
        <v>0</v>
      </c>
      <c r="V3307">
        <v>0</v>
      </c>
    </row>
    <row r="3308" spans="1:22" x14ac:dyDescent="0.2">
      <c r="A3308"/>
      <c r="B3308">
        <v>74001</v>
      </c>
      <c r="C3308" t="s">
        <v>1506</v>
      </c>
      <c r="D3308" t="s">
        <v>1045</v>
      </c>
      <c r="E3308" t="s">
        <v>1048</v>
      </c>
      <c r="F3308" t="s">
        <v>82</v>
      </c>
      <c r="G3308">
        <v>0</v>
      </c>
      <c r="H3308" t="s">
        <v>1270</v>
      </c>
      <c r="M3308" t="s">
        <v>188</v>
      </c>
      <c r="N3308">
        <v>0</v>
      </c>
      <c r="O3308" t="s">
        <v>12</v>
      </c>
      <c r="P3308" t="b">
        <v>0</v>
      </c>
      <c r="Q3308">
        <v>4849.6793784251913</v>
      </c>
      <c r="R3308">
        <v>21610.72190146564</v>
      </c>
      <c r="S3308">
        <v>0</v>
      </c>
      <c r="T3308">
        <v>-104.46439861845515</v>
      </c>
      <c r="U3308">
        <v>0</v>
      </c>
      <c r="V3308">
        <v>0</v>
      </c>
    </row>
    <row r="3309" spans="1:22" x14ac:dyDescent="0.2">
      <c r="A3309"/>
      <c r="B3309">
        <v>74002</v>
      </c>
      <c r="C3309" t="s">
        <v>1507</v>
      </c>
      <c r="D3309" t="s">
        <v>1045</v>
      </c>
      <c r="E3309" t="s">
        <v>1046</v>
      </c>
      <c r="F3309" t="s">
        <v>122</v>
      </c>
      <c r="G3309">
        <v>71.874596862793339</v>
      </c>
      <c r="H3309" t="s">
        <v>12</v>
      </c>
      <c r="I3309">
        <v>-2.2999999999999998</v>
      </c>
      <c r="J3309">
        <v>0</v>
      </c>
      <c r="K3309">
        <v>0</v>
      </c>
      <c r="L3309">
        <v>0</v>
      </c>
      <c r="M3309" t="s">
        <v>188</v>
      </c>
      <c r="N3309">
        <v>395.80938230948601</v>
      </c>
      <c r="O3309" t="s">
        <v>12</v>
      </c>
      <c r="P3309" t="b">
        <v>1</v>
      </c>
      <c r="Q3309">
        <v>4948.7681318180003</v>
      </c>
      <c r="R3309">
        <v>21993.915235769546</v>
      </c>
      <c r="S3309">
        <v>-4.065185876324727E-3</v>
      </c>
      <c r="T3309">
        <v>75.827385015542518</v>
      </c>
      <c r="U3309">
        <v>0</v>
      </c>
      <c r="V3309">
        <v>0</v>
      </c>
    </row>
    <row r="3310" spans="1:22" x14ac:dyDescent="0.2">
      <c r="A3310"/>
      <c r="B3310">
        <v>74002</v>
      </c>
      <c r="C3310" t="s">
        <v>1507</v>
      </c>
      <c r="D3310" t="s">
        <v>1045</v>
      </c>
      <c r="E3310" t="s">
        <v>1046</v>
      </c>
      <c r="F3310" t="s">
        <v>84</v>
      </c>
      <c r="G3310">
        <v>71.738209211315748</v>
      </c>
      <c r="H3310" t="s">
        <v>12</v>
      </c>
      <c r="M3310" t="s">
        <v>188</v>
      </c>
      <c r="N3310">
        <v>395.80938230948601</v>
      </c>
      <c r="O3310" t="s">
        <v>12</v>
      </c>
      <c r="P3310" t="b">
        <v>1</v>
      </c>
      <c r="Q3310">
        <v>4948.7681318180003</v>
      </c>
      <c r="R3310">
        <v>21993.915235769546</v>
      </c>
      <c r="S3310">
        <v>-4.065185876324727E-3</v>
      </c>
      <c r="T3310">
        <v>75.827385015542518</v>
      </c>
      <c r="U3310">
        <v>0</v>
      </c>
      <c r="V3310">
        <v>0</v>
      </c>
    </row>
    <row r="3311" spans="1:22" x14ac:dyDescent="0.2">
      <c r="A3311"/>
      <c r="B3311">
        <v>74003</v>
      </c>
      <c r="C3311" t="s">
        <v>1508</v>
      </c>
      <c r="D3311" t="s">
        <v>1045</v>
      </c>
      <c r="E3311" t="s">
        <v>1048</v>
      </c>
      <c r="F3311" t="s">
        <v>122</v>
      </c>
      <c r="G3311">
        <v>71.874596862793339</v>
      </c>
      <c r="H3311" t="s">
        <v>1270</v>
      </c>
      <c r="I3311">
        <v>2.2999999999999998</v>
      </c>
      <c r="J3311">
        <v>0</v>
      </c>
      <c r="K3311">
        <v>0</v>
      </c>
      <c r="L3311">
        <v>0</v>
      </c>
      <c r="M3311" t="s">
        <v>188</v>
      </c>
      <c r="N3311">
        <v>395.80938230948601</v>
      </c>
      <c r="O3311" t="s">
        <v>12</v>
      </c>
      <c r="P3311" t="b">
        <v>0</v>
      </c>
      <c r="Q3311">
        <v>4948.7681318180003</v>
      </c>
      <c r="R3311">
        <v>21993.915235769546</v>
      </c>
      <c r="S3311">
        <v>-4.065185876324727E-3</v>
      </c>
      <c r="T3311">
        <v>-104.17261498445748</v>
      </c>
      <c r="U3311">
        <v>0</v>
      </c>
      <c r="V3311">
        <v>0</v>
      </c>
    </row>
    <row r="3312" spans="1:22" x14ac:dyDescent="0.2">
      <c r="A3312"/>
      <c r="B3312">
        <v>74003</v>
      </c>
      <c r="C3312" t="s">
        <v>1508</v>
      </c>
      <c r="D3312" t="s">
        <v>1045</v>
      </c>
      <c r="E3312" t="s">
        <v>1048</v>
      </c>
      <c r="F3312" t="s">
        <v>84</v>
      </c>
      <c r="G3312">
        <v>71.738209211315748</v>
      </c>
      <c r="H3312" t="s">
        <v>1270</v>
      </c>
      <c r="M3312" t="s">
        <v>188</v>
      </c>
      <c r="N3312">
        <v>395.80938230948601</v>
      </c>
      <c r="O3312" t="s">
        <v>12</v>
      </c>
      <c r="P3312" t="b">
        <v>0</v>
      </c>
      <c r="Q3312">
        <v>4948.7681318180003</v>
      </c>
      <c r="R3312">
        <v>21993.915235769546</v>
      </c>
      <c r="S3312">
        <v>-4.065185876324727E-3</v>
      </c>
      <c r="T3312">
        <v>-104.17261498445748</v>
      </c>
      <c r="U3312">
        <v>0</v>
      </c>
      <c r="V3312">
        <v>0</v>
      </c>
    </row>
    <row r="3313" spans="1:22" x14ac:dyDescent="0.2">
      <c r="A3313"/>
      <c r="B3313">
        <v>74004</v>
      </c>
      <c r="C3313" t="s">
        <v>1509</v>
      </c>
      <c r="D3313" t="s">
        <v>1045</v>
      </c>
      <c r="E3313" t="s">
        <v>1048</v>
      </c>
      <c r="F3313" t="s">
        <v>122</v>
      </c>
      <c r="G3313">
        <v>170.88582297053335</v>
      </c>
      <c r="H3313" t="s">
        <v>12</v>
      </c>
      <c r="I3313">
        <v>-2.5</v>
      </c>
      <c r="J3313">
        <v>0</v>
      </c>
      <c r="K3313">
        <v>0</v>
      </c>
      <c r="L3313">
        <v>0</v>
      </c>
      <c r="M3313" t="s">
        <v>188</v>
      </c>
      <c r="N3313">
        <v>494.82060841722603</v>
      </c>
      <c r="O3313" t="s">
        <v>12</v>
      </c>
      <c r="P3313" t="b">
        <v>1</v>
      </c>
      <c r="Q3313">
        <v>4969.6437130485374</v>
      </c>
      <c r="R3313">
        <v>22090.513633591861</v>
      </c>
      <c r="S3313">
        <v>-2.6508188399768139E-3</v>
      </c>
      <c r="T3313">
        <v>79.520234202170172</v>
      </c>
      <c r="U3313">
        <v>0</v>
      </c>
      <c r="V3313">
        <v>0</v>
      </c>
    </row>
    <row r="3314" spans="1:22" x14ac:dyDescent="0.2">
      <c r="A3314"/>
      <c r="B3314">
        <v>74005</v>
      </c>
      <c r="C3314" t="s">
        <v>1510</v>
      </c>
      <c r="D3314" t="s">
        <v>1045</v>
      </c>
      <c r="E3314" t="s">
        <v>1046</v>
      </c>
      <c r="F3314" t="s">
        <v>122</v>
      </c>
      <c r="G3314">
        <v>170.88582297053335</v>
      </c>
      <c r="H3314" t="s">
        <v>1270</v>
      </c>
      <c r="I3314">
        <v>2.5</v>
      </c>
      <c r="J3314">
        <v>0</v>
      </c>
      <c r="K3314">
        <v>0</v>
      </c>
      <c r="L3314">
        <v>0</v>
      </c>
      <c r="M3314" t="s">
        <v>188</v>
      </c>
      <c r="N3314">
        <v>494.82060841722603</v>
      </c>
      <c r="O3314" t="s">
        <v>12</v>
      </c>
      <c r="P3314" t="b">
        <v>0</v>
      </c>
      <c r="Q3314">
        <v>4969.6437130485374</v>
      </c>
      <c r="R3314">
        <v>22090.513633591861</v>
      </c>
      <c r="S3314">
        <v>-2.6508188399768139E-3</v>
      </c>
      <c r="T3314">
        <v>-100.47976579782986</v>
      </c>
      <c r="U3314">
        <v>0</v>
      </c>
      <c r="V3314">
        <v>0</v>
      </c>
    </row>
    <row r="3315" spans="1:22" x14ac:dyDescent="0.2">
      <c r="A3315"/>
      <c r="B3315">
        <v>74006</v>
      </c>
      <c r="C3315" t="s">
        <v>1511</v>
      </c>
      <c r="D3315" t="s">
        <v>1045</v>
      </c>
      <c r="E3315" t="s">
        <v>1048</v>
      </c>
      <c r="F3315" t="s">
        <v>123</v>
      </c>
      <c r="G3315">
        <v>103.52112299170813</v>
      </c>
      <c r="H3315" t="s">
        <v>12</v>
      </c>
      <c r="I3315">
        <v>-2.2999999999999998</v>
      </c>
      <c r="J3315">
        <v>0</v>
      </c>
      <c r="K3315">
        <v>0</v>
      </c>
      <c r="L3315">
        <v>0</v>
      </c>
      <c r="M3315" t="s">
        <v>188</v>
      </c>
      <c r="N3315">
        <v>804.30204210631405</v>
      </c>
      <c r="O3315" t="s">
        <v>12</v>
      </c>
      <c r="P3315" t="b">
        <v>1</v>
      </c>
      <c r="Q3315">
        <v>5024.5015989343792</v>
      </c>
      <c r="R3315">
        <v>22395.070668381588</v>
      </c>
      <c r="S3315">
        <v>-1.7188070597723824</v>
      </c>
      <c r="T3315">
        <v>79.719731052745331</v>
      </c>
      <c r="U3315">
        <v>0</v>
      </c>
      <c r="V3315">
        <v>0</v>
      </c>
    </row>
    <row r="3316" spans="1:22" x14ac:dyDescent="0.2">
      <c r="A3316"/>
      <c r="B3316">
        <v>74007</v>
      </c>
      <c r="C3316" t="s">
        <v>1512</v>
      </c>
      <c r="D3316" t="s">
        <v>1045</v>
      </c>
      <c r="E3316" t="s">
        <v>1048</v>
      </c>
      <c r="F3316" t="s">
        <v>123</v>
      </c>
      <c r="G3316">
        <v>103.52112299170813</v>
      </c>
      <c r="H3316" t="s">
        <v>1270</v>
      </c>
      <c r="I3316">
        <v>2.2999999999999998</v>
      </c>
      <c r="J3316">
        <v>0</v>
      </c>
      <c r="K3316">
        <v>0</v>
      </c>
      <c r="L3316">
        <v>0</v>
      </c>
      <c r="M3316" t="s">
        <v>188</v>
      </c>
      <c r="N3316">
        <v>804.30204210631405</v>
      </c>
      <c r="O3316" t="s">
        <v>12</v>
      </c>
      <c r="P3316" t="b">
        <v>0</v>
      </c>
      <c r="Q3316">
        <v>5024.5015989343792</v>
      </c>
      <c r="R3316">
        <v>22395.070668381588</v>
      </c>
      <c r="S3316">
        <v>-1.7188070597723824</v>
      </c>
      <c r="T3316">
        <v>-100.28026894725468</v>
      </c>
      <c r="U3316">
        <v>0</v>
      </c>
      <c r="V3316">
        <v>0</v>
      </c>
    </row>
    <row r="3317" spans="1:22" x14ac:dyDescent="0.2">
      <c r="A3317"/>
      <c r="B3317">
        <v>74008</v>
      </c>
      <c r="C3317" t="s">
        <v>1513</v>
      </c>
      <c r="D3317" t="s">
        <v>1045</v>
      </c>
      <c r="E3317" t="s">
        <v>1048</v>
      </c>
      <c r="F3317" t="s">
        <v>123</v>
      </c>
      <c r="G3317">
        <v>216.29855316084013</v>
      </c>
      <c r="H3317" t="s">
        <v>12</v>
      </c>
      <c r="I3317">
        <v>-2.5</v>
      </c>
      <c r="J3317">
        <v>0</v>
      </c>
      <c r="K3317">
        <v>0</v>
      </c>
      <c r="L3317">
        <v>0</v>
      </c>
      <c r="M3317" t="s">
        <v>188</v>
      </c>
      <c r="N3317">
        <v>917.07947227544605</v>
      </c>
      <c r="O3317" t="s">
        <v>12</v>
      </c>
      <c r="P3317" t="b">
        <v>1</v>
      </c>
      <c r="Q3317">
        <v>5047.577279272009</v>
      </c>
      <c r="R3317">
        <v>22505.580779099611</v>
      </c>
      <c r="S3317">
        <v>-1.4792342773802587</v>
      </c>
      <c r="T3317">
        <v>76.399070165142575</v>
      </c>
      <c r="U3317">
        <v>0</v>
      </c>
      <c r="V3317">
        <v>0</v>
      </c>
    </row>
    <row r="3318" spans="1:22" x14ac:dyDescent="0.2">
      <c r="A3318"/>
      <c r="B3318">
        <v>74009</v>
      </c>
      <c r="C3318" t="s">
        <v>1514</v>
      </c>
      <c r="D3318" t="s">
        <v>1045</v>
      </c>
      <c r="E3318" t="s">
        <v>1048</v>
      </c>
      <c r="F3318" t="s">
        <v>123</v>
      </c>
      <c r="G3318">
        <v>216.29855316084013</v>
      </c>
      <c r="H3318" t="s">
        <v>1270</v>
      </c>
      <c r="I3318">
        <v>2.5</v>
      </c>
      <c r="J3318">
        <v>0</v>
      </c>
      <c r="K3318">
        <v>0</v>
      </c>
      <c r="L3318">
        <v>0</v>
      </c>
      <c r="M3318" t="s">
        <v>188</v>
      </c>
      <c r="N3318">
        <v>917.07947227544605</v>
      </c>
      <c r="O3318" t="s">
        <v>12</v>
      </c>
      <c r="P3318" t="b">
        <v>0</v>
      </c>
      <c r="Q3318">
        <v>5047.577279272009</v>
      </c>
      <c r="R3318">
        <v>22505.580779099611</v>
      </c>
      <c r="S3318">
        <v>-1.4792342773802587</v>
      </c>
      <c r="T3318">
        <v>-103.60092983485744</v>
      </c>
      <c r="U3318">
        <v>0</v>
      </c>
      <c r="V3318">
        <v>0</v>
      </c>
    </row>
    <row r="3319" spans="1:22" x14ac:dyDescent="0.2">
      <c r="A3319"/>
      <c r="B3319">
        <v>74010</v>
      </c>
      <c r="C3319" t="s">
        <v>1515</v>
      </c>
      <c r="D3319" t="s">
        <v>1045</v>
      </c>
      <c r="E3319" t="s">
        <v>1049</v>
      </c>
      <c r="F3319" t="s">
        <v>123</v>
      </c>
      <c r="G3319">
        <v>275.32841434225804</v>
      </c>
      <c r="H3319" t="s">
        <v>12</v>
      </c>
      <c r="I3319">
        <v>-2.5</v>
      </c>
      <c r="J3319">
        <v>0</v>
      </c>
      <c r="K3319">
        <v>0</v>
      </c>
      <c r="L3319">
        <v>0</v>
      </c>
      <c r="M3319" t="s">
        <v>188</v>
      </c>
      <c r="N3319">
        <v>976.10933345686396</v>
      </c>
      <c r="O3319" t="s">
        <v>12</v>
      </c>
      <c r="P3319" t="b">
        <v>1</v>
      </c>
      <c r="Q3319">
        <v>5061.440139499442</v>
      </c>
      <c r="R3319">
        <v>22562.953449199002</v>
      </c>
      <c r="S3319">
        <v>-1.2056003723832562</v>
      </c>
      <c r="T3319">
        <v>76.524607964680797</v>
      </c>
      <c r="U3319">
        <v>0</v>
      </c>
      <c r="V3319">
        <v>0</v>
      </c>
    </row>
    <row r="3320" spans="1:22" x14ac:dyDescent="0.2">
      <c r="A3320"/>
      <c r="B3320">
        <v>74011</v>
      </c>
      <c r="C3320" t="s">
        <v>1516</v>
      </c>
      <c r="D3320" t="s">
        <v>1045</v>
      </c>
      <c r="E3320" t="s">
        <v>1048</v>
      </c>
      <c r="F3320" t="s">
        <v>123</v>
      </c>
      <c r="G3320">
        <v>275.32841434225804</v>
      </c>
      <c r="H3320" t="s">
        <v>1270</v>
      </c>
      <c r="I3320">
        <v>2.5</v>
      </c>
      <c r="J3320">
        <v>0</v>
      </c>
      <c r="K3320">
        <v>0</v>
      </c>
      <c r="L3320">
        <v>0</v>
      </c>
      <c r="M3320" t="s">
        <v>188</v>
      </c>
      <c r="N3320">
        <v>976.10933345686396</v>
      </c>
      <c r="O3320" t="s">
        <v>12</v>
      </c>
      <c r="P3320" t="b">
        <v>0</v>
      </c>
      <c r="Q3320">
        <v>5061.440139499442</v>
      </c>
      <c r="R3320">
        <v>22562.953449199002</v>
      </c>
      <c r="S3320">
        <v>-1.2056003723832562</v>
      </c>
      <c r="T3320">
        <v>-103.47539203531922</v>
      </c>
      <c r="U3320">
        <v>0</v>
      </c>
      <c r="V3320">
        <v>0</v>
      </c>
    </row>
    <row r="3321" spans="1:22" x14ac:dyDescent="0.2">
      <c r="A3321"/>
      <c r="B3321">
        <v>74012</v>
      </c>
      <c r="C3321" t="s">
        <v>1517</v>
      </c>
      <c r="D3321" t="s">
        <v>1045</v>
      </c>
      <c r="E3321" t="s">
        <v>1049</v>
      </c>
      <c r="F3321" t="s">
        <v>123</v>
      </c>
      <c r="G3321">
        <v>413.700861807514</v>
      </c>
      <c r="H3321" t="s">
        <v>12</v>
      </c>
      <c r="I3321">
        <v>-2.5</v>
      </c>
      <c r="J3321">
        <v>0</v>
      </c>
      <c r="K3321">
        <v>0</v>
      </c>
      <c r="L3321">
        <v>0</v>
      </c>
      <c r="M3321" t="s">
        <v>188</v>
      </c>
      <c r="N3321">
        <v>1114.4817809221199</v>
      </c>
      <c r="O3321" t="s">
        <v>12</v>
      </c>
      <c r="P3321" t="b">
        <v>1</v>
      </c>
      <c r="Q3321">
        <v>5085.4057149126711</v>
      </c>
      <c r="R3321">
        <v>22698.792182859786</v>
      </c>
      <c r="S3321">
        <v>-0.54378175178183341</v>
      </c>
      <c r="T3321">
        <v>83.301961106411568</v>
      </c>
      <c r="U3321">
        <v>0</v>
      </c>
      <c r="V3321">
        <v>0</v>
      </c>
    </row>
    <row r="3322" spans="1:22" x14ac:dyDescent="0.2">
      <c r="A3322"/>
      <c r="B3322">
        <v>74013</v>
      </c>
      <c r="C3322" t="s">
        <v>1518</v>
      </c>
      <c r="D3322" t="s">
        <v>1045</v>
      </c>
      <c r="E3322" t="s">
        <v>1049</v>
      </c>
      <c r="F3322" t="s">
        <v>123</v>
      </c>
      <c r="G3322">
        <v>413.700861807514</v>
      </c>
      <c r="H3322" t="s">
        <v>1270</v>
      </c>
      <c r="I3322">
        <v>2.5</v>
      </c>
      <c r="J3322">
        <v>0</v>
      </c>
      <c r="K3322">
        <v>0</v>
      </c>
      <c r="L3322">
        <v>0</v>
      </c>
      <c r="M3322" t="s">
        <v>188</v>
      </c>
      <c r="N3322">
        <v>1114.4817809221199</v>
      </c>
      <c r="O3322" t="s">
        <v>12</v>
      </c>
      <c r="P3322" t="b">
        <v>0</v>
      </c>
      <c r="Q3322">
        <v>5085.4057149126711</v>
      </c>
      <c r="R3322">
        <v>22698.792182859786</v>
      </c>
      <c r="S3322">
        <v>-0.54378175178183341</v>
      </c>
      <c r="T3322">
        <v>-96.698038893588432</v>
      </c>
      <c r="U3322">
        <v>0</v>
      </c>
      <c r="V3322">
        <v>0</v>
      </c>
    </row>
    <row r="3323" spans="1:22" x14ac:dyDescent="0.2">
      <c r="A3323"/>
      <c r="B3323">
        <v>74014</v>
      </c>
      <c r="C3323" t="s">
        <v>1519</v>
      </c>
      <c r="D3323" t="s">
        <v>1045</v>
      </c>
      <c r="E3323" t="s">
        <v>1048</v>
      </c>
      <c r="F3323" t="s">
        <v>123</v>
      </c>
      <c r="G3323">
        <v>573.56643486540406</v>
      </c>
      <c r="H3323" t="s">
        <v>12</v>
      </c>
      <c r="I3323">
        <v>-2.5</v>
      </c>
      <c r="J3323">
        <v>0</v>
      </c>
      <c r="K3323">
        <v>0</v>
      </c>
      <c r="L3323">
        <v>0</v>
      </c>
      <c r="M3323" t="s">
        <v>188</v>
      </c>
      <c r="N3323">
        <v>1274.34735398001</v>
      </c>
      <c r="O3323" t="s">
        <v>12</v>
      </c>
      <c r="P3323" t="b">
        <v>1</v>
      </c>
      <c r="Q3323">
        <v>5115.9946848461759</v>
      </c>
      <c r="R3323">
        <v>22855.844962956497</v>
      </c>
      <c r="S3323">
        <v>0.19022004454556329</v>
      </c>
      <c r="T3323">
        <v>74.823880391357378</v>
      </c>
      <c r="U3323">
        <v>0</v>
      </c>
      <c r="V3323">
        <v>0</v>
      </c>
    </row>
    <row r="3324" spans="1:22" x14ac:dyDescent="0.2">
      <c r="A3324"/>
      <c r="B3324">
        <v>74015</v>
      </c>
      <c r="C3324" t="s">
        <v>1520</v>
      </c>
      <c r="D3324" t="s">
        <v>1045</v>
      </c>
      <c r="E3324" t="s">
        <v>1049</v>
      </c>
      <c r="F3324" t="s">
        <v>123</v>
      </c>
      <c r="G3324">
        <v>573.56643486540406</v>
      </c>
      <c r="H3324" t="s">
        <v>1270</v>
      </c>
      <c r="I3324">
        <v>2.5</v>
      </c>
      <c r="J3324">
        <v>0</v>
      </c>
      <c r="K3324">
        <v>0</v>
      </c>
      <c r="L3324">
        <v>0</v>
      </c>
      <c r="M3324" t="s">
        <v>188</v>
      </c>
      <c r="N3324">
        <v>1274.34735398001</v>
      </c>
      <c r="O3324" t="s">
        <v>12</v>
      </c>
      <c r="P3324" t="b">
        <v>0</v>
      </c>
      <c r="Q3324">
        <v>5115.9946848461759</v>
      </c>
      <c r="R3324">
        <v>22855.844962956497</v>
      </c>
      <c r="S3324">
        <v>0.19022004454556329</v>
      </c>
      <c r="T3324">
        <v>-105.17611960864264</v>
      </c>
      <c r="U3324">
        <v>0</v>
      </c>
      <c r="V3324">
        <v>0</v>
      </c>
    </row>
    <row r="3325" spans="1:22" x14ac:dyDescent="0.2">
      <c r="A3325"/>
      <c r="B3325">
        <v>74016</v>
      </c>
      <c r="C3325" t="s">
        <v>1521</v>
      </c>
      <c r="D3325" t="s">
        <v>1045</v>
      </c>
      <c r="E3325" t="s">
        <v>1050</v>
      </c>
      <c r="F3325" t="s">
        <v>123</v>
      </c>
      <c r="G3325">
        <v>736.40268249033409</v>
      </c>
      <c r="H3325" t="s">
        <v>12</v>
      </c>
      <c r="I3325">
        <v>-2.5</v>
      </c>
      <c r="J3325">
        <v>0</v>
      </c>
      <c r="K3325">
        <v>0</v>
      </c>
      <c r="L3325">
        <v>0</v>
      </c>
      <c r="M3325" t="s">
        <v>188</v>
      </c>
      <c r="N3325">
        <v>1437.1836016049399</v>
      </c>
      <c r="O3325" t="s">
        <v>12</v>
      </c>
      <c r="P3325" t="b">
        <v>1</v>
      </c>
      <c r="Q3325">
        <v>5158.8724463630788</v>
      </c>
      <c r="R3325">
        <v>23012.944282730321</v>
      </c>
      <c r="S3325">
        <v>-8.3722228589681494E-2</v>
      </c>
      <c r="T3325">
        <v>74.505850820692487</v>
      </c>
      <c r="U3325">
        <v>0</v>
      </c>
      <c r="V3325">
        <v>0</v>
      </c>
    </row>
    <row r="3326" spans="1:22" x14ac:dyDescent="0.2">
      <c r="A3326"/>
      <c r="B3326">
        <v>74017</v>
      </c>
      <c r="C3326" t="s">
        <v>1522</v>
      </c>
      <c r="D3326" t="s">
        <v>1045</v>
      </c>
      <c r="E3326" t="s">
        <v>1048</v>
      </c>
      <c r="F3326" t="s">
        <v>123</v>
      </c>
      <c r="G3326">
        <v>736.40268249033409</v>
      </c>
      <c r="H3326" t="s">
        <v>1270</v>
      </c>
      <c r="I3326">
        <v>2.5</v>
      </c>
      <c r="J3326">
        <v>0</v>
      </c>
      <c r="K3326">
        <v>0</v>
      </c>
      <c r="L3326">
        <v>0</v>
      </c>
      <c r="M3326" t="s">
        <v>188</v>
      </c>
      <c r="N3326">
        <v>1437.1836016049399</v>
      </c>
      <c r="O3326" t="s">
        <v>12</v>
      </c>
      <c r="P3326" t="b">
        <v>0</v>
      </c>
      <c r="Q3326">
        <v>5158.8724463630788</v>
      </c>
      <c r="R3326">
        <v>23012.944282730321</v>
      </c>
      <c r="S3326">
        <v>-8.3722228589681494E-2</v>
      </c>
      <c r="T3326">
        <v>-105.49414917930753</v>
      </c>
      <c r="U3326">
        <v>0</v>
      </c>
      <c r="V3326">
        <v>0</v>
      </c>
    </row>
    <row r="3327" spans="1:22" x14ac:dyDescent="0.2">
      <c r="A3327"/>
      <c r="B3327">
        <v>74018</v>
      </c>
      <c r="C3327" t="s">
        <v>1523</v>
      </c>
      <c r="D3327" t="s">
        <v>1045</v>
      </c>
      <c r="E3327" t="s">
        <v>1048</v>
      </c>
      <c r="F3327" t="s">
        <v>123</v>
      </c>
      <c r="G3327">
        <v>1020.7808339242241</v>
      </c>
      <c r="H3327" t="s">
        <v>12</v>
      </c>
      <c r="I3327">
        <v>-2.5</v>
      </c>
      <c r="J3327">
        <v>0</v>
      </c>
      <c r="K3327">
        <v>0</v>
      </c>
      <c r="L3327">
        <v>0</v>
      </c>
      <c r="M3327" t="s">
        <v>188</v>
      </c>
      <c r="N3327">
        <v>1721.5617530388299</v>
      </c>
      <c r="O3327" t="s">
        <v>12</v>
      </c>
      <c r="P3327" t="b">
        <v>1</v>
      </c>
      <c r="Q3327">
        <v>5126.09667405652</v>
      </c>
      <c r="R3327">
        <v>23284.286306739377</v>
      </c>
      <c r="S3327">
        <v>3.3412688682256388</v>
      </c>
      <c r="T3327">
        <v>118.76822377427676</v>
      </c>
      <c r="U3327">
        <v>0</v>
      </c>
      <c r="V3327">
        <v>0</v>
      </c>
    </row>
    <row r="3328" spans="1:22" x14ac:dyDescent="0.2">
      <c r="A3328"/>
      <c r="B3328">
        <v>74019</v>
      </c>
      <c r="C3328" t="s">
        <v>1524</v>
      </c>
      <c r="D3328" t="s">
        <v>1045</v>
      </c>
      <c r="E3328" t="s">
        <v>1050</v>
      </c>
      <c r="F3328" t="s">
        <v>123</v>
      </c>
      <c r="G3328">
        <v>1020.7808339242241</v>
      </c>
      <c r="H3328" t="s">
        <v>1270</v>
      </c>
      <c r="I3328">
        <v>2.5</v>
      </c>
      <c r="J3328">
        <v>0</v>
      </c>
      <c r="K3328">
        <v>0</v>
      </c>
      <c r="L3328">
        <v>0</v>
      </c>
      <c r="M3328" t="s">
        <v>188</v>
      </c>
      <c r="N3328">
        <v>1721.5617530388299</v>
      </c>
      <c r="O3328" t="s">
        <v>12</v>
      </c>
      <c r="P3328" t="b">
        <v>0</v>
      </c>
      <c r="Q3328">
        <v>5126.09667405652</v>
      </c>
      <c r="R3328">
        <v>23284.286306739377</v>
      </c>
      <c r="S3328">
        <v>3.3412688682256388</v>
      </c>
      <c r="T3328">
        <v>-61.231776225723245</v>
      </c>
      <c r="U3328">
        <v>0</v>
      </c>
      <c r="V3328">
        <v>0</v>
      </c>
    </row>
    <row r="3329" spans="1:22" x14ac:dyDescent="0.2">
      <c r="A3329"/>
      <c r="B3329">
        <v>74020</v>
      </c>
      <c r="C3329" t="s">
        <v>1525</v>
      </c>
      <c r="D3329" t="s">
        <v>1045</v>
      </c>
      <c r="E3329" t="s">
        <v>1050</v>
      </c>
      <c r="F3329" t="s">
        <v>123</v>
      </c>
      <c r="G3329">
        <v>1043.6412567513644</v>
      </c>
      <c r="H3329" t="s">
        <v>12</v>
      </c>
      <c r="I3329">
        <v>-2.5</v>
      </c>
      <c r="J3329">
        <v>0</v>
      </c>
      <c r="K3329">
        <v>0</v>
      </c>
      <c r="L3329">
        <v>0</v>
      </c>
      <c r="M3329" t="s">
        <v>188</v>
      </c>
      <c r="N3329">
        <v>1744.4221758659701</v>
      </c>
      <c r="O3329" t="s">
        <v>12</v>
      </c>
      <c r="P3329" t="b">
        <v>1</v>
      </c>
      <c r="Q3329">
        <v>5115.0364954398819</v>
      </c>
      <c r="R3329">
        <v>23304.270831996546</v>
      </c>
      <c r="S3329">
        <v>3.8895098088508329</v>
      </c>
      <c r="T3329">
        <v>119.06319579527525</v>
      </c>
      <c r="U3329">
        <v>0</v>
      </c>
      <c r="V3329">
        <v>0</v>
      </c>
    </row>
    <row r="3330" spans="1:22" x14ac:dyDescent="0.2">
      <c r="A3330"/>
      <c r="B3330">
        <v>74021</v>
      </c>
      <c r="C3330" t="s">
        <v>1526</v>
      </c>
      <c r="D3330" t="s">
        <v>1045</v>
      </c>
      <c r="E3330" t="s">
        <v>1048</v>
      </c>
      <c r="F3330" t="s">
        <v>123</v>
      </c>
      <c r="G3330">
        <v>1043.6412567513644</v>
      </c>
      <c r="H3330" t="s">
        <v>1270</v>
      </c>
      <c r="I3330">
        <v>2.5</v>
      </c>
      <c r="J3330">
        <v>0</v>
      </c>
      <c r="K3330">
        <v>0</v>
      </c>
      <c r="L3330">
        <v>0</v>
      </c>
      <c r="M3330" t="s">
        <v>188</v>
      </c>
      <c r="N3330">
        <v>1744.4221758659701</v>
      </c>
      <c r="O3330" t="s">
        <v>12</v>
      </c>
      <c r="P3330" t="b">
        <v>0</v>
      </c>
      <c r="Q3330">
        <v>5115.0364954398819</v>
      </c>
      <c r="R3330">
        <v>23304.270831996546</v>
      </c>
      <c r="S3330">
        <v>3.8895098088508329</v>
      </c>
      <c r="T3330">
        <v>-60.936804204724758</v>
      </c>
      <c r="U3330">
        <v>0</v>
      </c>
      <c r="V3330">
        <v>0</v>
      </c>
    </row>
    <row r="3331" spans="1:22" x14ac:dyDescent="0.2">
      <c r="A3331"/>
      <c r="B3331">
        <v>74022</v>
      </c>
      <c r="C3331" t="s">
        <v>1527</v>
      </c>
      <c r="D3331" t="s">
        <v>1045</v>
      </c>
      <c r="E3331" t="s">
        <v>1048</v>
      </c>
      <c r="F3331" t="s">
        <v>123</v>
      </c>
      <c r="G3331">
        <v>1259.231569618074</v>
      </c>
      <c r="H3331" t="s">
        <v>12</v>
      </c>
      <c r="I3331">
        <v>-2.5</v>
      </c>
      <c r="J3331">
        <v>0</v>
      </c>
      <c r="K3331">
        <v>0</v>
      </c>
      <c r="L3331">
        <v>0</v>
      </c>
      <c r="M3331" t="s">
        <v>188</v>
      </c>
      <c r="N3331">
        <v>1960.0124887326799</v>
      </c>
      <c r="O3331" t="s">
        <v>12</v>
      </c>
      <c r="P3331" t="b">
        <v>1</v>
      </c>
      <c r="Q3331">
        <v>5064.8011583625403</v>
      </c>
      <c r="R3331">
        <v>23511.441571284078</v>
      </c>
      <c r="S3331">
        <v>7.3993434587558049</v>
      </c>
      <c r="T3331">
        <v>88.219576844382942</v>
      </c>
      <c r="U3331">
        <v>0</v>
      </c>
      <c r="V3331">
        <v>0</v>
      </c>
    </row>
    <row r="3332" spans="1:22" x14ac:dyDescent="0.2">
      <c r="A3332"/>
      <c r="B3332">
        <v>74023</v>
      </c>
      <c r="C3332" t="s">
        <v>1528</v>
      </c>
      <c r="D3332" t="s">
        <v>1045</v>
      </c>
      <c r="E3332" t="s">
        <v>1050</v>
      </c>
      <c r="F3332" t="s">
        <v>123</v>
      </c>
      <c r="G3332">
        <v>1259.231569618074</v>
      </c>
      <c r="H3332" t="s">
        <v>1270</v>
      </c>
      <c r="I3332">
        <v>2.5</v>
      </c>
      <c r="J3332">
        <v>0</v>
      </c>
      <c r="K3332">
        <v>0</v>
      </c>
      <c r="L3332">
        <v>0</v>
      </c>
      <c r="M3332" t="s">
        <v>188</v>
      </c>
      <c r="N3332">
        <v>1960.0124887326799</v>
      </c>
      <c r="O3332" t="s">
        <v>12</v>
      </c>
      <c r="P3332" t="b">
        <v>0</v>
      </c>
      <c r="Q3332">
        <v>5064.8011583625403</v>
      </c>
      <c r="R3332">
        <v>23511.441571284078</v>
      </c>
      <c r="S3332">
        <v>7.3993434587558049</v>
      </c>
      <c r="T3332">
        <v>-91.780423155617086</v>
      </c>
      <c r="U3332">
        <v>0</v>
      </c>
      <c r="V3332">
        <v>0</v>
      </c>
    </row>
    <row r="3333" spans="1:22" x14ac:dyDescent="0.2">
      <c r="A3333"/>
      <c r="B3333">
        <v>74024</v>
      </c>
      <c r="C3333" t="s">
        <v>1529</v>
      </c>
      <c r="D3333" t="s">
        <v>1045</v>
      </c>
      <c r="E3333" t="s">
        <v>1048</v>
      </c>
      <c r="F3333" t="s">
        <v>123</v>
      </c>
      <c r="G3333">
        <v>1458.1880722435344</v>
      </c>
      <c r="H3333" t="s">
        <v>12</v>
      </c>
      <c r="I3333">
        <v>-2.5</v>
      </c>
      <c r="J3333">
        <v>0</v>
      </c>
      <c r="K3333">
        <v>0</v>
      </c>
      <c r="L3333">
        <v>0</v>
      </c>
      <c r="M3333" t="s">
        <v>188</v>
      </c>
      <c r="N3333">
        <v>2158.9689913581401</v>
      </c>
      <c r="O3333" t="s">
        <v>12</v>
      </c>
      <c r="P3333" t="b">
        <v>1</v>
      </c>
      <c r="Q3333">
        <v>5070.8835215889321</v>
      </c>
      <c r="R3333">
        <v>23710.295119470928</v>
      </c>
      <c r="S3333">
        <v>7.4220472770611821</v>
      </c>
      <c r="T3333">
        <v>88.439834674921343</v>
      </c>
      <c r="U3333">
        <v>0</v>
      </c>
      <c r="V3333">
        <v>0</v>
      </c>
    </row>
    <row r="3334" spans="1:22" x14ac:dyDescent="0.2">
      <c r="A3334"/>
      <c r="B3334">
        <v>74025</v>
      </c>
      <c r="C3334" t="s">
        <v>1530</v>
      </c>
      <c r="D3334" t="s">
        <v>1045</v>
      </c>
      <c r="E3334" t="s">
        <v>1048</v>
      </c>
      <c r="F3334" t="s">
        <v>123</v>
      </c>
      <c r="G3334">
        <v>1458.1880722435344</v>
      </c>
      <c r="H3334" t="s">
        <v>1270</v>
      </c>
      <c r="I3334">
        <v>2.5</v>
      </c>
      <c r="J3334">
        <v>0</v>
      </c>
      <c r="K3334">
        <v>0</v>
      </c>
      <c r="L3334">
        <v>0</v>
      </c>
      <c r="M3334" t="s">
        <v>188</v>
      </c>
      <c r="N3334">
        <v>2158.9689913581401</v>
      </c>
      <c r="O3334" t="s">
        <v>12</v>
      </c>
      <c r="P3334" t="b">
        <v>0</v>
      </c>
      <c r="Q3334">
        <v>5070.8835215889321</v>
      </c>
      <c r="R3334">
        <v>23710.295119470928</v>
      </c>
      <c r="S3334">
        <v>7.4220472770611821</v>
      </c>
      <c r="T3334">
        <v>-91.560165325078685</v>
      </c>
      <c r="U3334">
        <v>0</v>
      </c>
      <c r="V3334">
        <v>0</v>
      </c>
    </row>
    <row r="3335" spans="1:22" x14ac:dyDescent="0.2">
      <c r="A3335"/>
      <c r="B3335">
        <v>74026</v>
      </c>
      <c r="C3335" t="s">
        <v>1531</v>
      </c>
      <c r="D3335" t="s">
        <v>1045</v>
      </c>
      <c r="E3335" t="s">
        <v>1048</v>
      </c>
      <c r="F3335" t="s">
        <v>123</v>
      </c>
      <c r="G3335">
        <v>1533.9697837152244</v>
      </c>
      <c r="H3335" t="s">
        <v>12</v>
      </c>
      <c r="I3335">
        <v>-2.5</v>
      </c>
      <c r="J3335">
        <v>0</v>
      </c>
      <c r="K3335">
        <v>0</v>
      </c>
      <c r="L3335">
        <v>0</v>
      </c>
      <c r="M3335" t="s">
        <v>188</v>
      </c>
      <c r="N3335">
        <v>2234.7507028298301</v>
      </c>
      <c r="O3335" t="s">
        <v>12</v>
      </c>
      <c r="P3335" t="b">
        <v>1</v>
      </c>
      <c r="Q3335">
        <v>5072.8460697002729</v>
      </c>
      <c r="R3335">
        <v>23786.043775459319</v>
      </c>
      <c r="S3335">
        <v>7.091738666617001</v>
      </c>
      <c r="T3335">
        <v>88.590962664099962</v>
      </c>
      <c r="U3335">
        <v>0</v>
      </c>
      <c r="V3335">
        <v>0</v>
      </c>
    </row>
    <row r="3336" spans="1:22" x14ac:dyDescent="0.2">
      <c r="A3336"/>
      <c r="B3336">
        <v>74027</v>
      </c>
      <c r="C3336" t="s">
        <v>1532</v>
      </c>
      <c r="D3336" t="s">
        <v>1045</v>
      </c>
      <c r="E3336" t="s">
        <v>1048</v>
      </c>
      <c r="F3336" t="s">
        <v>123</v>
      </c>
      <c r="G3336">
        <v>1533.9697837152244</v>
      </c>
      <c r="H3336" t="s">
        <v>1270</v>
      </c>
      <c r="I3336">
        <v>2.5</v>
      </c>
      <c r="J3336">
        <v>0</v>
      </c>
      <c r="K3336">
        <v>0</v>
      </c>
      <c r="L3336">
        <v>0</v>
      </c>
      <c r="M3336" t="s">
        <v>188</v>
      </c>
      <c r="N3336">
        <v>2234.7507028298301</v>
      </c>
      <c r="O3336" t="s">
        <v>12</v>
      </c>
      <c r="P3336" t="b">
        <v>0</v>
      </c>
      <c r="Q3336">
        <v>5072.8460697002729</v>
      </c>
      <c r="R3336">
        <v>23786.043775459319</v>
      </c>
      <c r="S3336">
        <v>7.091738666617001</v>
      </c>
      <c r="T3336">
        <v>-91.409037335900038</v>
      </c>
      <c r="U3336">
        <v>0</v>
      </c>
      <c r="V3336">
        <v>0</v>
      </c>
    </row>
    <row r="3337" spans="1:22" x14ac:dyDescent="0.2">
      <c r="A3337"/>
      <c r="B3337">
        <v>74028</v>
      </c>
      <c r="C3337" t="s">
        <v>1533</v>
      </c>
      <c r="D3337" t="s">
        <v>1045</v>
      </c>
      <c r="E3337" t="s">
        <v>1048</v>
      </c>
      <c r="F3337" t="s">
        <v>123</v>
      </c>
      <c r="G3337">
        <v>1778.2339918233738</v>
      </c>
      <c r="H3337" t="s">
        <v>12</v>
      </c>
      <c r="I3337">
        <v>-2.5</v>
      </c>
      <c r="J3337">
        <v>0</v>
      </c>
      <c r="K3337">
        <v>0</v>
      </c>
      <c r="L3337">
        <v>0</v>
      </c>
      <c r="M3337" t="s">
        <v>188</v>
      </c>
      <c r="N3337">
        <v>2479.0149109379799</v>
      </c>
      <c r="O3337" t="s">
        <v>12</v>
      </c>
      <c r="P3337" t="b">
        <v>1</v>
      </c>
      <c r="Q3337">
        <v>5078.1271403932442</v>
      </c>
      <c r="R3337">
        <v>24030.241824334065</v>
      </c>
      <c r="S3337">
        <v>5.4995201346917977</v>
      </c>
      <c r="T3337">
        <v>88.646521936802031</v>
      </c>
      <c r="U3337">
        <v>0</v>
      </c>
      <c r="V3337">
        <v>0</v>
      </c>
    </row>
    <row r="3338" spans="1:22" x14ac:dyDescent="0.2">
      <c r="A3338"/>
      <c r="B3338">
        <v>74029</v>
      </c>
      <c r="C3338" t="s">
        <v>1534</v>
      </c>
      <c r="D3338" t="s">
        <v>1045</v>
      </c>
      <c r="E3338" t="s">
        <v>1048</v>
      </c>
      <c r="F3338" t="s">
        <v>123</v>
      </c>
      <c r="G3338">
        <v>1778.2339918233738</v>
      </c>
      <c r="H3338" t="s">
        <v>1270</v>
      </c>
      <c r="I3338">
        <v>2.5</v>
      </c>
      <c r="J3338">
        <v>0</v>
      </c>
      <c r="K3338">
        <v>0</v>
      </c>
      <c r="L3338">
        <v>0</v>
      </c>
      <c r="M3338" t="s">
        <v>188</v>
      </c>
      <c r="N3338">
        <v>2479.0149109379799</v>
      </c>
      <c r="O3338" t="s">
        <v>12</v>
      </c>
      <c r="P3338" t="b">
        <v>0</v>
      </c>
      <c r="Q3338">
        <v>5078.1271403932442</v>
      </c>
      <c r="R3338">
        <v>24030.241824334065</v>
      </c>
      <c r="S3338">
        <v>5.4995201346917977</v>
      </c>
      <c r="T3338">
        <v>-91.353478063197983</v>
      </c>
      <c r="U3338">
        <v>0</v>
      </c>
      <c r="V3338">
        <v>0</v>
      </c>
    </row>
    <row r="3339" spans="1:22" x14ac:dyDescent="0.2">
      <c r="A3339"/>
      <c r="B3339">
        <v>74030</v>
      </c>
      <c r="C3339" t="s">
        <v>1535</v>
      </c>
      <c r="D3339" t="s">
        <v>1045</v>
      </c>
      <c r="E3339" t="s">
        <v>1048</v>
      </c>
      <c r="F3339" t="s">
        <v>123</v>
      </c>
      <c r="G3339">
        <v>1854.478026820404</v>
      </c>
      <c r="H3339" t="s">
        <v>12</v>
      </c>
      <c r="I3339">
        <v>-2.5</v>
      </c>
      <c r="J3339">
        <v>0</v>
      </c>
      <c r="K3339">
        <v>0</v>
      </c>
      <c r="L3339">
        <v>0</v>
      </c>
      <c r="M3339" t="s">
        <v>188</v>
      </c>
      <c r="N3339">
        <v>2555.2589459350102</v>
      </c>
      <c r="O3339" t="s">
        <v>12</v>
      </c>
      <c r="P3339" t="b">
        <v>1</v>
      </c>
      <c r="Q3339">
        <v>5078.9765664423012</v>
      </c>
      <c r="R3339">
        <v>24106.434759598327</v>
      </c>
      <c r="S3339">
        <v>5.43383593770419</v>
      </c>
      <c r="T3339">
        <v>89.678606252222238</v>
      </c>
      <c r="U3339">
        <v>0</v>
      </c>
      <c r="V3339">
        <v>0</v>
      </c>
    </row>
    <row r="3340" spans="1:22" x14ac:dyDescent="0.2">
      <c r="A3340"/>
      <c r="B3340">
        <v>74031</v>
      </c>
      <c r="C3340" t="s">
        <v>1536</v>
      </c>
      <c r="D3340" t="s">
        <v>1045</v>
      </c>
      <c r="E3340" t="s">
        <v>1048</v>
      </c>
      <c r="F3340" t="s">
        <v>123</v>
      </c>
      <c r="G3340">
        <v>1854.478026820404</v>
      </c>
      <c r="H3340" t="s">
        <v>1270</v>
      </c>
      <c r="I3340">
        <v>2.5</v>
      </c>
      <c r="J3340">
        <v>0</v>
      </c>
      <c r="K3340">
        <v>0</v>
      </c>
      <c r="L3340">
        <v>0</v>
      </c>
      <c r="M3340" t="s">
        <v>188</v>
      </c>
      <c r="N3340">
        <v>2555.2589459350102</v>
      </c>
      <c r="O3340" t="s">
        <v>12</v>
      </c>
      <c r="P3340" t="b">
        <v>0</v>
      </c>
      <c r="Q3340">
        <v>5078.9765664423012</v>
      </c>
      <c r="R3340">
        <v>24106.434759598327</v>
      </c>
      <c r="S3340">
        <v>5.43383593770419</v>
      </c>
      <c r="T3340">
        <v>-90.321393747777776</v>
      </c>
      <c r="U3340">
        <v>0</v>
      </c>
      <c r="V3340">
        <v>0</v>
      </c>
    </row>
    <row r="3341" spans="1:22" x14ac:dyDescent="0.2">
      <c r="A3341"/>
      <c r="B3341">
        <v>74032</v>
      </c>
      <c r="C3341" t="s">
        <v>1537</v>
      </c>
      <c r="D3341" t="s">
        <v>1045</v>
      </c>
      <c r="E3341" t="s">
        <v>1049</v>
      </c>
      <c r="F3341" t="s">
        <v>123</v>
      </c>
      <c r="G3341">
        <v>2219.7824685291739</v>
      </c>
      <c r="H3341" t="s">
        <v>12</v>
      </c>
      <c r="I3341">
        <v>-2.5</v>
      </c>
      <c r="J3341">
        <v>0</v>
      </c>
      <c r="K3341">
        <v>0</v>
      </c>
      <c r="L3341">
        <v>0</v>
      </c>
      <c r="M3341" t="s">
        <v>188</v>
      </c>
      <c r="N3341">
        <v>2920.5633876437801</v>
      </c>
      <c r="O3341" t="s">
        <v>12</v>
      </c>
      <c r="P3341" t="b">
        <v>1</v>
      </c>
      <c r="Q3341">
        <v>5080.2589459272522</v>
      </c>
      <c r="R3341">
        <v>24471.721425336207</v>
      </c>
      <c r="S3341">
        <v>3.3361857874890264</v>
      </c>
      <c r="T3341">
        <v>89.790407649592822</v>
      </c>
      <c r="U3341">
        <v>0</v>
      </c>
      <c r="V3341">
        <v>0</v>
      </c>
    </row>
    <row r="3342" spans="1:22" x14ac:dyDescent="0.2">
      <c r="A3342"/>
      <c r="B3342">
        <v>74033</v>
      </c>
      <c r="C3342" t="s">
        <v>1538</v>
      </c>
      <c r="D3342" t="s">
        <v>1045</v>
      </c>
      <c r="E3342" t="s">
        <v>1048</v>
      </c>
      <c r="F3342" t="s">
        <v>123</v>
      </c>
      <c r="G3342">
        <v>2219.7824685291739</v>
      </c>
      <c r="H3342" t="s">
        <v>1270</v>
      </c>
      <c r="I3342">
        <v>2.5</v>
      </c>
      <c r="J3342">
        <v>0</v>
      </c>
      <c r="K3342">
        <v>0</v>
      </c>
      <c r="L3342">
        <v>0</v>
      </c>
      <c r="M3342" t="s">
        <v>188</v>
      </c>
      <c r="N3342">
        <v>2920.5633876437801</v>
      </c>
      <c r="O3342" t="s">
        <v>12</v>
      </c>
      <c r="P3342" t="b">
        <v>0</v>
      </c>
      <c r="Q3342">
        <v>5080.2589459272522</v>
      </c>
      <c r="R3342">
        <v>24471.721425336207</v>
      </c>
      <c r="S3342">
        <v>3.3361857874890264</v>
      </c>
      <c r="T3342">
        <v>-90.209592350407192</v>
      </c>
      <c r="U3342">
        <v>0</v>
      </c>
      <c r="V3342">
        <v>0</v>
      </c>
    </row>
    <row r="3343" spans="1:22" x14ac:dyDescent="0.2">
      <c r="A3343"/>
      <c r="B3343">
        <v>74034</v>
      </c>
      <c r="C3343" t="s">
        <v>1539</v>
      </c>
      <c r="D3343" t="s">
        <v>1045</v>
      </c>
      <c r="E3343" t="s">
        <v>1048</v>
      </c>
      <c r="F3343" t="s">
        <v>123</v>
      </c>
      <c r="G3343">
        <v>2360.584573670114</v>
      </c>
      <c r="H3343" t="s">
        <v>12</v>
      </c>
      <c r="I3343">
        <v>-2.5</v>
      </c>
      <c r="J3343">
        <v>0</v>
      </c>
      <c r="K3343">
        <v>0</v>
      </c>
      <c r="L3343">
        <v>0</v>
      </c>
      <c r="M3343" t="s">
        <v>188</v>
      </c>
      <c r="N3343">
        <v>3061.3654927847201</v>
      </c>
      <c r="O3343" t="s">
        <v>12</v>
      </c>
      <c r="P3343" t="b">
        <v>1</v>
      </c>
      <c r="Q3343">
        <v>5068.9450911594313</v>
      </c>
      <c r="R3343">
        <v>24611.386374737172</v>
      </c>
      <c r="S3343">
        <v>1.7155150650116051</v>
      </c>
      <c r="T3343">
        <v>99.406801310169854</v>
      </c>
      <c r="U3343">
        <v>0</v>
      </c>
      <c r="V3343">
        <v>0</v>
      </c>
    </row>
    <row r="3344" spans="1:22" x14ac:dyDescent="0.2">
      <c r="A3344"/>
      <c r="B3344">
        <v>74035</v>
      </c>
      <c r="C3344" t="s">
        <v>1540</v>
      </c>
      <c r="D3344" t="s">
        <v>1045</v>
      </c>
      <c r="E3344" t="s">
        <v>1049</v>
      </c>
      <c r="F3344" t="s">
        <v>123</v>
      </c>
      <c r="G3344">
        <v>2360.584573670114</v>
      </c>
      <c r="H3344" t="s">
        <v>1270</v>
      </c>
      <c r="I3344">
        <v>2.5</v>
      </c>
      <c r="J3344">
        <v>0</v>
      </c>
      <c r="K3344">
        <v>0</v>
      </c>
      <c r="L3344">
        <v>0</v>
      </c>
      <c r="M3344" t="s">
        <v>188</v>
      </c>
      <c r="N3344">
        <v>3061.3654927847201</v>
      </c>
      <c r="O3344" t="s">
        <v>12</v>
      </c>
      <c r="P3344" t="b">
        <v>0</v>
      </c>
      <c r="Q3344">
        <v>5068.9450911594313</v>
      </c>
      <c r="R3344">
        <v>24611.386374737172</v>
      </c>
      <c r="S3344">
        <v>1.7155150650116051</v>
      </c>
      <c r="T3344">
        <v>-80.593198689830174</v>
      </c>
      <c r="U3344">
        <v>0</v>
      </c>
      <c r="V3344">
        <v>0</v>
      </c>
    </row>
    <row r="3345" spans="1:22" x14ac:dyDescent="0.2">
      <c r="A3345"/>
      <c r="B3345">
        <v>74036</v>
      </c>
      <c r="C3345" t="s">
        <v>1541</v>
      </c>
      <c r="D3345" t="s">
        <v>1045</v>
      </c>
      <c r="E3345" t="s">
        <v>1048</v>
      </c>
      <c r="F3345" t="s">
        <v>123</v>
      </c>
      <c r="G3345">
        <v>2505.7738339663538</v>
      </c>
      <c r="H3345" t="s">
        <v>12</v>
      </c>
      <c r="I3345">
        <v>-2.5</v>
      </c>
      <c r="J3345">
        <v>0</v>
      </c>
      <c r="K3345">
        <v>0</v>
      </c>
      <c r="L3345">
        <v>0</v>
      </c>
      <c r="M3345" t="s">
        <v>188</v>
      </c>
      <c r="N3345">
        <v>3206.5547530809599</v>
      </c>
      <c r="O3345" t="s">
        <v>12</v>
      </c>
      <c r="P3345" t="b">
        <v>1</v>
      </c>
      <c r="Q3345">
        <v>5057.7283183168856</v>
      </c>
      <c r="R3345">
        <v>24756.277831375086</v>
      </c>
      <c r="S3345">
        <v>5.7157526563147099E-2</v>
      </c>
      <c r="T3345">
        <v>89.648902550377429</v>
      </c>
      <c r="U3345">
        <v>0</v>
      </c>
      <c r="V3345">
        <v>0</v>
      </c>
    </row>
    <row r="3346" spans="1:22" x14ac:dyDescent="0.2">
      <c r="A3346"/>
      <c r="B3346">
        <v>74037</v>
      </c>
      <c r="C3346" t="s">
        <v>1542</v>
      </c>
      <c r="D3346" t="s">
        <v>1045</v>
      </c>
      <c r="E3346" t="s">
        <v>1048</v>
      </c>
      <c r="F3346" t="s">
        <v>123</v>
      </c>
      <c r="G3346">
        <v>2505.7738339663538</v>
      </c>
      <c r="H3346" t="s">
        <v>1270</v>
      </c>
      <c r="I3346">
        <v>2.5</v>
      </c>
      <c r="J3346">
        <v>0</v>
      </c>
      <c r="K3346">
        <v>0</v>
      </c>
      <c r="L3346">
        <v>0</v>
      </c>
      <c r="M3346" t="s">
        <v>188</v>
      </c>
      <c r="N3346">
        <v>3206.5547530809599</v>
      </c>
      <c r="O3346" t="s">
        <v>12</v>
      </c>
      <c r="P3346" t="b">
        <v>0</v>
      </c>
      <c r="Q3346">
        <v>5057.7283183168856</v>
      </c>
      <c r="R3346">
        <v>24756.277831375086</v>
      </c>
      <c r="S3346">
        <v>5.7157526563147099E-2</v>
      </c>
      <c r="T3346">
        <v>-90.351097449622586</v>
      </c>
      <c r="U3346">
        <v>0</v>
      </c>
      <c r="V3346">
        <v>0</v>
      </c>
    </row>
    <row r="3347" spans="1:22" x14ac:dyDescent="0.2">
      <c r="A3347"/>
      <c r="B3347">
        <v>74038</v>
      </c>
      <c r="C3347" t="s">
        <v>1543</v>
      </c>
      <c r="D3347" t="s">
        <v>1045</v>
      </c>
      <c r="E3347" t="s">
        <v>1048</v>
      </c>
      <c r="F3347" t="s">
        <v>123</v>
      </c>
      <c r="G3347">
        <v>2538.0381140321838</v>
      </c>
      <c r="H3347" t="s">
        <v>12</v>
      </c>
      <c r="I3347">
        <v>-2.5</v>
      </c>
      <c r="J3347">
        <v>0</v>
      </c>
      <c r="K3347">
        <v>0</v>
      </c>
      <c r="L3347">
        <v>0</v>
      </c>
      <c r="M3347" t="s">
        <v>188</v>
      </c>
      <c r="N3347">
        <v>3238.8190331467899</v>
      </c>
      <c r="O3347" t="s">
        <v>12</v>
      </c>
      <c r="P3347" t="b">
        <v>1</v>
      </c>
      <c r="Q3347">
        <v>5057.9111989422172</v>
      </c>
      <c r="R3347">
        <v>24788.536757519025</v>
      </c>
      <c r="S3347">
        <v>-0.314245198213852</v>
      </c>
      <c r="T3347">
        <v>89.710693421205349</v>
      </c>
      <c r="U3347">
        <v>0</v>
      </c>
      <c r="V3347">
        <v>0</v>
      </c>
    </row>
    <row r="3348" spans="1:22" x14ac:dyDescent="0.2">
      <c r="A3348"/>
      <c r="B3348">
        <v>74039</v>
      </c>
      <c r="C3348" t="s">
        <v>1544</v>
      </c>
      <c r="D3348" t="s">
        <v>1045</v>
      </c>
      <c r="E3348" t="s">
        <v>1048</v>
      </c>
      <c r="F3348" t="s">
        <v>123</v>
      </c>
      <c r="G3348">
        <v>2538.0381140321838</v>
      </c>
      <c r="H3348" t="s">
        <v>1270</v>
      </c>
      <c r="I3348">
        <v>2.5</v>
      </c>
      <c r="J3348">
        <v>0</v>
      </c>
      <c r="K3348">
        <v>0</v>
      </c>
      <c r="L3348">
        <v>0</v>
      </c>
      <c r="M3348" t="s">
        <v>188</v>
      </c>
      <c r="N3348">
        <v>3238.8190331467899</v>
      </c>
      <c r="O3348" t="s">
        <v>12</v>
      </c>
      <c r="P3348" t="b">
        <v>0</v>
      </c>
      <c r="Q3348">
        <v>5057.9111989422172</v>
      </c>
      <c r="R3348">
        <v>24788.536757519025</v>
      </c>
      <c r="S3348">
        <v>-0.314245198213852</v>
      </c>
      <c r="T3348">
        <v>-90.28930657879468</v>
      </c>
      <c r="U3348">
        <v>0</v>
      </c>
      <c r="V3348">
        <v>0</v>
      </c>
    </row>
    <row r="3349" spans="1:22" x14ac:dyDescent="0.2">
      <c r="A3349"/>
      <c r="B3349">
        <v>74040</v>
      </c>
      <c r="C3349" t="s">
        <v>1545</v>
      </c>
      <c r="D3349" t="s">
        <v>1045</v>
      </c>
      <c r="E3349" t="s">
        <v>1048</v>
      </c>
      <c r="F3349" t="s">
        <v>123</v>
      </c>
      <c r="G3349">
        <v>2617.9217172073741</v>
      </c>
      <c r="H3349" t="s">
        <v>12</v>
      </c>
      <c r="I3349">
        <v>-2.5</v>
      </c>
      <c r="J3349">
        <v>0</v>
      </c>
      <c r="K3349">
        <v>0</v>
      </c>
      <c r="L3349">
        <v>0</v>
      </c>
      <c r="M3349" t="s">
        <v>188</v>
      </c>
      <c r="N3349">
        <v>3318.7026363219802</v>
      </c>
      <c r="O3349" t="s">
        <v>12</v>
      </c>
      <c r="P3349" t="b">
        <v>1</v>
      </c>
      <c r="Q3349">
        <v>5058.0658722237595</v>
      </c>
      <c r="R3349">
        <v>24868.395557804059</v>
      </c>
      <c r="S3349">
        <v>-1.2417573121169245</v>
      </c>
      <c r="T3349">
        <v>90.147811745381858</v>
      </c>
      <c r="U3349">
        <v>0</v>
      </c>
      <c r="V3349">
        <v>0</v>
      </c>
    </row>
    <row r="3350" spans="1:22" x14ac:dyDescent="0.2">
      <c r="A3350"/>
      <c r="B3350">
        <v>74041</v>
      </c>
      <c r="C3350" t="s">
        <v>1546</v>
      </c>
      <c r="D3350" t="s">
        <v>1045</v>
      </c>
      <c r="E3350" t="s">
        <v>1048</v>
      </c>
      <c r="F3350" t="s">
        <v>123</v>
      </c>
      <c r="G3350">
        <v>2617.9217172073741</v>
      </c>
      <c r="H3350" t="s">
        <v>1270</v>
      </c>
      <c r="I3350">
        <v>2.5</v>
      </c>
      <c r="J3350">
        <v>0</v>
      </c>
      <c r="K3350">
        <v>0</v>
      </c>
      <c r="L3350">
        <v>0</v>
      </c>
      <c r="M3350" t="s">
        <v>188</v>
      </c>
      <c r="N3350">
        <v>3318.7026363219802</v>
      </c>
      <c r="O3350" t="s">
        <v>12</v>
      </c>
      <c r="P3350" t="b">
        <v>0</v>
      </c>
      <c r="Q3350">
        <v>5058.0658722237595</v>
      </c>
      <c r="R3350">
        <v>24868.395557804059</v>
      </c>
      <c r="S3350">
        <v>-1.2417573121169245</v>
      </c>
      <c r="T3350">
        <v>-89.852188254618142</v>
      </c>
      <c r="U3350">
        <v>0</v>
      </c>
      <c r="V3350">
        <v>0</v>
      </c>
    </row>
    <row r="3351" spans="1:22" x14ac:dyDescent="0.2">
      <c r="A3351"/>
      <c r="B3351">
        <v>74042</v>
      </c>
      <c r="C3351" t="s">
        <v>1547</v>
      </c>
      <c r="D3351" t="s">
        <v>1045</v>
      </c>
      <c r="E3351" t="s">
        <v>1050</v>
      </c>
      <c r="F3351" t="s">
        <v>123</v>
      </c>
      <c r="G3351">
        <v>2661.1342118199336</v>
      </c>
      <c r="H3351" t="s">
        <v>12</v>
      </c>
      <c r="I3351">
        <v>-2.5</v>
      </c>
      <c r="J3351">
        <v>0</v>
      </c>
      <c r="K3351">
        <v>0</v>
      </c>
      <c r="L3351">
        <v>0</v>
      </c>
      <c r="M3351" t="s">
        <v>188</v>
      </c>
      <c r="N3351">
        <v>3361.9151309345398</v>
      </c>
      <c r="O3351" t="s">
        <v>12</v>
      </c>
      <c r="P3351" t="b">
        <v>1</v>
      </c>
      <c r="Q3351">
        <v>5057.7994795068626</v>
      </c>
      <c r="R3351">
        <v>24911.586108001855</v>
      </c>
      <c r="S3351">
        <v>-1.725671144806959</v>
      </c>
      <c r="T3351">
        <v>90.567553569417086</v>
      </c>
      <c r="U3351">
        <v>0</v>
      </c>
      <c r="V3351">
        <v>0</v>
      </c>
    </row>
    <row r="3352" spans="1:22" x14ac:dyDescent="0.2">
      <c r="A3352"/>
      <c r="B3352">
        <v>74043</v>
      </c>
      <c r="C3352" t="s">
        <v>1548</v>
      </c>
      <c r="D3352" t="s">
        <v>1045</v>
      </c>
      <c r="E3352" t="s">
        <v>1048</v>
      </c>
      <c r="F3352" t="s">
        <v>123</v>
      </c>
      <c r="G3352">
        <v>2661.1342118199336</v>
      </c>
      <c r="H3352" t="s">
        <v>1270</v>
      </c>
      <c r="I3352">
        <v>2.5</v>
      </c>
      <c r="J3352">
        <v>0</v>
      </c>
      <c r="K3352">
        <v>0</v>
      </c>
      <c r="L3352">
        <v>0</v>
      </c>
      <c r="M3352" t="s">
        <v>188</v>
      </c>
      <c r="N3352">
        <v>3361.9151309345398</v>
      </c>
      <c r="O3352" t="s">
        <v>12</v>
      </c>
      <c r="P3352" t="b">
        <v>0</v>
      </c>
      <c r="Q3352">
        <v>5057.7994795068626</v>
      </c>
      <c r="R3352">
        <v>24911.586108001855</v>
      </c>
      <c r="S3352">
        <v>-1.725671144806959</v>
      </c>
      <c r="T3352">
        <v>-89.432446430582942</v>
      </c>
      <c r="U3352">
        <v>0</v>
      </c>
      <c r="V3352">
        <v>0</v>
      </c>
    </row>
    <row r="3353" spans="1:22" x14ac:dyDescent="0.2">
      <c r="A3353"/>
      <c r="B3353">
        <v>74044</v>
      </c>
      <c r="C3353" t="s">
        <v>1549</v>
      </c>
      <c r="D3353" t="s">
        <v>1045</v>
      </c>
      <c r="E3353" t="s">
        <v>1048</v>
      </c>
      <c r="F3353" t="s">
        <v>123</v>
      </c>
      <c r="G3353">
        <v>2826.3017504130339</v>
      </c>
      <c r="H3353" t="s">
        <v>12</v>
      </c>
      <c r="I3353">
        <v>-2.5</v>
      </c>
      <c r="J3353">
        <v>0</v>
      </c>
      <c r="K3353">
        <v>0</v>
      </c>
      <c r="L3353">
        <v>0</v>
      </c>
      <c r="M3353" t="s">
        <v>188</v>
      </c>
      <c r="N3353">
        <v>3527.0826695276401</v>
      </c>
      <c r="O3353" t="s">
        <v>12</v>
      </c>
      <c r="P3353" t="b">
        <v>1</v>
      </c>
      <c r="Q3353">
        <v>5085.5914636039342</v>
      </c>
      <c r="R3353">
        <v>25073.935985942262</v>
      </c>
      <c r="S3353">
        <v>-2.620018555564962</v>
      </c>
      <c r="T3353">
        <v>70.155519966108258</v>
      </c>
      <c r="U3353">
        <v>0</v>
      </c>
      <c r="V3353">
        <v>0</v>
      </c>
    </row>
    <row r="3354" spans="1:22" x14ac:dyDescent="0.2">
      <c r="A3354"/>
      <c r="B3354">
        <v>74045</v>
      </c>
      <c r="C3354" t="s">
        <v>1550</v>
      </c>
      <c r="D3354" t="s">
        <v>1045</v>
      </c>
      <c r="E3354" t="s">
        <v>1050</v>
      </c>
      <c r="F3354" t="s">
        <v>123</v>
      </c>
      <c r="G3354">
        <v>2826.3017504130339</v>
      </c>
      <c r="H3354" t="s">
        <v>1270</v>
      </c>
      <c r="I3354">
        <v>2.5</v>
      </c>
      <c r="J3354">
        <v>0</v>
      </c>
      <c r="K3354">
        <v>0</v>
      </c>
      <c r="L3354">
        <v>0</v>
      </c>
      <c r="M3354" t="s">
        <v>188</v>
      </c>
      <c r="N3354">
        <v>3527.0826695276401</v>
      </c>
      <c r="O3354" t="s">
        <v>12</v>
      </c>
      <c r="P3354" t="b">
        <v>0</v>
      </c>
      <c r="Q3354">
        <v>5085.5914636039342</v>
      </c>
      <c r="R3354">
        <v>25073.935985942262</v>
      </c>
      <c r="S3354">
        <v>-2.620018555564962</v>
      </c>
      <c r="T3354">
        <v>-109.84448003389174</v>
      </c>
      <c r="U3354">
        <v>0</v>
      </c>
      <c r="V3354">
        <v>0</v>
      </c>
    </row>
    <row r="3355" spans="1:22" x14ac:dyDescent="0.2">
      <c r="A3355"/>
      <c r="B3355">
        <v>74046</v>
      </c>
      <c r="C3355" t="s">
        <v>1551</v>
      </c>
      <c r="D3355" t="s">
        <v>1045</v>
      </c>
      <c r="E3355" t="s">
        <v>1049</v>
      </c>
      <c r="F3355" t="s">
        <v>123</v>
      </c>
      <c r="G3355">
        <v>3085.9996949307238</v>
      </c>
      <c r="H3355" t="s">
        <v>12</v>
      </c>
      <c r="I3355">
        <v>-2.5</v>
      </c>
      <c r="J3355">
        <v>0</v>
      </c>
      <c r="K3355">
        <v>0</v>
      </c>
      <c r="L3355">
        <v>0</v>
      </c>
      <c r="M3355" t="s">
        <v>188</v>
      </c>
      <c r="N3355">
        <v>3786.7806140453299</v>
      </c>
      <c r="O3355" t="s">
        <v>12</v>
      </c>
      <c r="P3355" t="b">
        <v>1</v>
      </c>
      <c r="Q3355">
        <v>5174.2852084264023</v>
      </c>
      <c r="R3355">
        <v>25318.009493483074</v>
      </c>
      <c r="S3355">
        <v>-3.4926472282919199</v>
      </c>
      <c r="T3355">
        <v>70.208505567061337</v>
      </c>
      <c r="U3355">
        <v>0</v>
      </c>
      <c r="V3355">
        <v>0</v>
      </c>
    </row>
    <row r="3356" spans="1:22" x14ac:dyDescent="0.2">
      <c r="A3356"/>
      <c r="B3356">
        <v>74047</v>
      </c>
      <c r="C3356" t="s">
        <v>1552</v>
      </c>
      <c r="D3356" t="s">
        <v>1045</v>
      </c>
      <c r="E3356" t="s">
        <v>1048</v>
      </c>
      <c r="F3356" t="s">
        <v>123</v>
      </c>
      <c r="G3356">
        <v>3085.9996949307238</v>
      </c>
      <c r="H3356" t="s">
        <v>1270</v>
      </c>
      <c r="I3356">
        <v>2.5</v>
      </c>
      <c r="J3356">
        <v>0</v>
      </c>
      <c r="K3356">
        <v>0</v>
      </c>
      <c r="L3356">
        <v>0</v>
      </c>
      <c r="M3356" t="s">
        <v>188</v>
      </c>
      <c r="N3356">
        <v>3786.7806140453299</v>
      </c>
      <c r="O3356" t="s">
        <v>12</v>
      </c>
      <c r="P3356" t="b">
        <v>0</v>
      </c>
      <c r="Q3356">
        <v>5174.2852084264023</v>
      </c>
      <c r="R3356">
        <v>25318.009493483074</v>
      </c>
      <c r="S3356">
        <v>-3.4926472282919199</v>
      </c>
      <c r="T3356">
        <v>-109.79149443293866</v>
      </c>
      <c r="U3356">
        <v>0</v>
      </c>
      <c r="V3356">
        <v>0</v>
      </c>
    </row>
    <row r="3357" spans="1:22" x14ac:dyDescent="0.2">
      <c r="A3357"/>
      <c r="B3357">
        <v>74048</v>
      </c>
      <c r="C3357" t="s">
        <v>1553</v>
      </c>
      <c r="D3357" t="s">
        <v>1045</v>
      </c>
      <c r="E3357" t="s">
        <v>1048</v>
      </c>
      <c r="F3357" t="s">
        <v>123</v>
      </c>
      <c r="G3357">
        <v>3263.7876820983538</v>
      </c>
      <c r="H3357" t="s">
        <v>12</v>
      </c>
      <c r="I3357">
        <v>-2.5</v>
      </c>
      <c r="J3357">
        <v>0</v>
      </c>
      <c r="K3357">
        <v>0</v>
      </c>
      <c r="L3357">
        <v>0</v>
      </c>
      <c r="M3357" t="s">
        <v>188</v>
      </c>
      <c r="N3357">
        <v>3964.5686012129599</v>
      </c>
      <c r="O3357" t="s">
        <v>12</v>
      </c>
      <c r="P3357" t="b">
        <v>1</v>
      </c>
      <c r="Q3357">
        <v>5217.1185618583231</v>
      </c>
      <c r="R3357">
        <v>25489.563316583721</v>
      </c>
      <c r="S3357">
        <v>-6.6078063371254769</v>
      </c>
      <c r="T3357">
        <v>81.948072700092837</v>
      </c>
      <c r="U3357">
        <v>0</v>
      </c>
      <c r="V3357">
        <v>0</v>
      </c>
    </row>
    <row r="3358" spans="1:22" x14ac:dyDescent="0.2">
      <c r="A3358"/>
      <c r="B3358">
        <v>74049</v>
      </c>
      <c r="C3358" t="s">
        <v>1554</v>
      </c>
      <c r="D3358" t="s">
        <v>1045</v>
      </c>
      <c r="E3358" t="s">
        <v>1049</v>
      </c>
      <c r="F3358" t="s">
        <v>123</v>
      </c>
      <c r="G3358">
        <v>3263.7876820983538</v>
      </c>
      <c r="H3358" t="s">
        <v>1270</v>
      </c>
      <c r="I3358">
        <v>2.5</v>
      </c>
      <c r="J3358">
        <v>0</v>
      </c>
      <c r="K3358">
        <v>0</v>
      </c>
      <c r="L3358">
        <v>0</v>
      </c>
      <c r="M3358" t="s">
        <v>188</v>
      </c>
      <c r="N3358">
        <v>3964.5686012129599</v>
      </c>
      <c r="O3358" t="s">
        <v>12</v>
      </c>
      <c r="P3358" t="b">
        <v>0</v>
      </c>
      <c r="Q3358">
        <v>5217.1185618583231</v>
      </c>
      <c r="R3358">
        <v>25489.563316583721</v>
      </c>
      <c r="S3358">
        <v>-6.6078063371254769</v>
      </c>
      <c r="T3358">
        <v>-98.051927299907163</v>
      </c>
      <c r="U3358">
        <v>0</v>
      </c>
      <c r="V3358">
        <v>0</v>
      </c>
    </row>
    <row r="3359" spans="1:22" x14ac:dyDescent="0.2">
      <c r="A3359"/>
      <c r="B3359">
        <v>74050</v>
      </c>
      <c r="C3359" t="s">
        <v>1555</v>
      </c>
      <c r="D3359" t="s">
        <v>1045</v>
      </c>
      <c r="E3359" t="s">
        <v>1048</v>
      </c>
      <c r="F3359" t="s">
        <v>123</v>
      </c>
      <c r="G3359">
        <v>3520.9871122450841</v>
      </c>
      <c r="H3359" t="s">
        <v>12</v>
      </c>
      <c r="I3359">
        <v>-2.5</v>
      </c>
      <c r="J3359">
        <v>0</v>
      </c>
      <c r="K3359">
        <v>0</v>
      </c>
      <c r="L3359">
        <v>0</v>
      </c>
      <c r="M3359" t="s">
        <v>188</v>
      </c>
      <c r="N3359">
        <v>4221.7680313596902</v>
      </c>
      <c r="O3359" t="s">
        <v>12</v>
      </c>
      <c r="P3359" t="b">
        <v>1</v>
      </c>
      <c r="Q3359">
        <v>5252.9992432066365</v>
      </c>
      <c r="R3359">
        <v>25744.221051849705</v>
      </c>
      <c r="S3359">
        <v>-9.1672248168346115</v>
      </c>
      <c r="T3359">
        <v>81.894304729149809</v>
      </c>
      <c r="U3359">
        <v>0</v>
      </c>
      <c r="V3359">
        <v>0</v>
      </c>
    </row>
    <row r="3360" spans="1:22" x14ac:dyDescent="0.2">
      <c r="A3360"/>
      <c r="B3360">
        <v>74051</v>
      </c>
      <c r="C3360" t="s">
        <v>1556</v>
      </c>
      <c r="D3360" t="s">
        <v>1045</v>
      </c>
      <c r="E3360" t="s">
        <v>1048</v>
      </c>
      <c r="F3360" t="s">
        <v>123</v>
      </c>
      <c r="G3360">
        <v>3520.9871122450841</v>
      </c>
      <c r="H3360" t="s">
        <v>1270</v>
      </c>
      <c r="I3360">
        <v>2.5</v>
      </c>
      <c r="J3360">
        <v>0</v>
      </c>
      <c r="K3360">
        <v>0</v>
      </c>
      <c r="L3360">
        <v>0</v>
      </c>
      <c r="M3360" t="s">
        <v>188</v>
      </c>
      <c r="N3360">
        <v>4221.7680313596902</v>
      </c>
      <c r="O3360" t="s">
        <v>12</v>
      </c>
      <c r="P3360" t="b">
        <v>0</v>
      </c>
      <c r="Q3360">
        <v>5252.9992432066365</v>
      </c>
      <c r="R3360">
        <v>25744.221051849705</v>
      </c>
      <c r="S3360">
        <v>-9.1672248168346115</v>
      </c>
      <c r="T3360">
        <v>-98.105695270850219</v>
      </c>
      <c r="U3360">
        <v>0</v>
      </c>
      <c r="V3360">
        <v>0</v>
      </c>
    </row>
    <row r="3361" spans="1:22" x14ac:dyDescent="0.2">
      <c r="A3361"/>
      <c r="B3361">
        <v>74052</v>
      </c>
      <c r="C3361" t="s">
        <v>1557</v>
      </c>
      <c r="D3361" t="s">
        <v>1045</v>
      </c>
      <c r="E3361" t="s">
        <v>1048</v>
      </c>
      <c r="F3361" t="s">
        <v>123</v>
      </c>
      <c r="G3361">
        <v>3605.779214125414</v>
      </c>
      <c r="H3361" t="s">
        <v>12</v>
      </c>
      <c r="I3361">
        <v>-2.5</v>
      </c>
      <c r="J3361">
        <v>0</v>
      </c>
      <c r="K3361">
        <v>0</v>
      </c>
      <c r="L3361">
        <v>0</v>
      </c>
      <c r="M3361" t="s">
        <v>188</v>
      </c>
      <c r="N3361">
        <v>4306.5601332400201</v>
      </c>
      <c r="O3361" t="s">
        <v>12</v>
      </c>
      <c r="P3361" t="b">
        <v>1</v>
      </c>
      <c r="Q3361">
        <v>5265.1329724458719</v>
      </c>
      <c r="R3361">
        <v>25828.132150389061</v>
      </c>
      <c r="S3361">
        <v>-7.3479908299729786</v>
      </c>
      <c r="T3361">
        <v>81.634313152372016</v>
      </c>
      <c r="U3361">
        <v>0</v>
      </c>
      <c r="V3361">
        <v>0</v>
      </c>
    </row>
    <row r="3362" spans="1:22" x14ac:dyDescent="0.2">
      <c r="A3362"/>
      <c r="B3362">
        <v>74053</v>
      </c>
      <c r="C3362" t="s">
        <v>1558</v>
      </c>
      <c r="D3362" t="s">
        <v>1045</v>
      </c>
      <c r="E3362" t="s">
        <v>1048</v>
      </c>
      <c r="F3362" t="s">
        <v>123</v>
      </c>
      <c r="G3362">
        <v>3605.779214125414</v>
      </c>
      <c r="H3362" t="s">
        <v>1270</v>
      </c>
      <c r="I3362">
        <v>2.5</v>
      </c>
      <c r="J3362">
        <v>0</v>
      </c>
      <c r="K3362">
        <v>0</v>
      </c>
      <c r="L3362">
        <v>0</v>
      </c>
      <c r="M3362" t="s">
        <v>188</v>
      </c>
      <c r="N3362">
        <v>4306.5601332400201</v>
      </c>
      <c r="O3362" t="s">
        <v>12</v>
      </c>
      <c r="P3362" t="b">
        <v>0</v>
      </c>
      <c r="Q3362">
        <v>5265.1329724458719</v>
      </c>
      <c r="R3362">
        <v>25828.132150389061</v>
      </c>
      <c r="S3362">
        <v>-7.3479908299729786</v>
      </c>
      <c r="T3362">
        <v>-98.365686847627984</v>
      </c>
      <c r="U3362">
        <v>0</v>
      </c>
      <c r="V3362">
        <v>0</v>
      </c>
    </row>
    <row r="3363" spans="1:22" x14ac:dyDescent="0.2">
      <c r="A3363"/>
      <c r="B3363">
        <v>74054</v>
      </c>
      <c r="C3363" t="s">
        <v>1559</v>
      </c>
      <c r="D3363" t="s">
        <v>1045</v>
      </c>
      <c r="E3363" t="s">
        <v>1048</v>
      </c>
      <c r="F3363" t="s">
        <v>123</v>
      </c>
      <c r="G3363">
        <v>3710.441390924324</v>
      </c>
      <c r="H3363" t="s">
        <v>12</v>
      </c>
      <c r="I3363">
        <v>-2.5</v>
      </c>
      <c r="J3363">
        <v>0</v>
      </c>
      <c r="K3363">
        <v>0</v>
      </c>
      <c r="L3363">
        <v>0</v>
      </c>
      <c r="M3363" t="s">
        <v>188</v>
      </c>
      <c r="N3363">
        <v>4411.2223100389301</v>
      </c>
      <c r="O3363" t="s">
        <v>12</v>
      </c>
      <c r="P3363" t="b">
        <v>1</v>
      </c>
      <c r="Q3363">
        <v>5280.5462917741397</v>
      </c>
      <c r="R3363">
        <v>25931.630579726185</v>
      </c>
      <c r="S3363">
        <v>-5.0730527051753098</v>
      </c>
      <c r="T3363">
        <v>81.578927859714327</v>
      </c>
      <c r="U3363">
        <v>0</v>
      </c>
      <c r="V3363">
        <v>0</v>
      </c>
    </row>
    <row r="3364" spans="1:22" x14ac:dyDescent="0.2">
      <c r="A3364"/>
      <c r="B3364">
        <v>74055</v>
      </c>
      <c r="C3364" t="s">
        <v>1560</v>
      </c>
      <c r="D3364" t="s">
        <v>1045</v>
      </c>
      <c r="E3364" t="s">
        <v>1048</v>
      </c>
      <c r="F3364" t="s">
        <v>123</v>
      </c>
      <c r="G3364">
        <v>3710.441390924324</v>
      </c>
      <c r="H3364" t="s">
        <v>1270</v>
      </c>
      <c r="I3364">
        <v>2.5</v>
      </c>
      <c r="J3364">
        <v>0</v>
      </c>
      <c r="K3364">
        <v>0</v>
      </c>
      <c r="L3364">
        <v>0</v>
      </c>
      <c r="M3364" t="s">
        <v>188</v>
      </c>
      <c r="N3364">
        <v>4411.2223100389301</v>
      </c>
      <c r="O3364" t="s">
        <v>12</v>
      </c>
      <c r="P3364" t="b">
        <v>0</v>
      </c>
      <c r="Q3364">
        <v>5280.5462917741397</v>
      </c>
      <c r="R3364">
        <v>25931.630579726185</v>
      </c>
      <c r="S3364">
        <v>-5.0730527051753098</v>
      </c>
      <c r="T3364">
        <v>-98.421072140285673</v>
      </c>
      <c r="U3364">
        <v>0</v>
      </c>
      <c r="V3364">
        <v>0</v>
      </c>
    </row>
    <row r="3365" spans="1:22" x14ac:dyDescent="0.2">
      <c r="A3365"/>
      <c r="B3365">
        <v>74056</v>
      </c>
      <c r="C3365" t="s">
        <v>1561</v>
      </c>
      <c r="D3365" t="s">
        <v>1045</v>
      </c>
      <c r="E3365" t="s">
        <v>1048</v>
      </c>
      <c r="F3365" t="s">
        <v>123</v>
      </c>
      <c r="G3365">
        <v>3797.4860904068032</v>
      </c>
      <c r="H3365" t="s">
        <v>12</v>
      </c>
      <c r="I3365">
        <v>-2.5</v>
      </c>
      <c r="J3365">
        <v>0</v>
      </c>
      <c r="K3365">
        <v>0</v>
      </c>
      <c r="L3365">
        <v>0</v>
      </c>
      <c r="M3365" t="s">
        <v>188</v>
      </c>
      <c r="N3365">
        <v>4498.2670095214098</v>
      </c>
      <c r="O3365" t="s">
        <v>12</v>
      </c>
      <c r="P3365" t="b">
        <v>1</v>
      </c>
      <c r="Q3365">
        <v>5292.7578886407164</v>
      </c>
      <c r="R3365">
        <v>26017.761014618056</v>
      </c>
      <c r="S3365">
        <v>-3.1922072974175943</v>
      </c>
      <c r="T3365">
        <v>82.309786096222695</v>
      </c>
      <c r="U3365">
        <v>0</v>
      </c>
      <c r="V3365">
        <v>0</v>
      </c>
    </row>
    <row r="3366" spans="1:22" x14ac:dyDescent="0.2">
      <c r="A3366"/>
      <c r="B3366">
        <v>74057</v>
      </c>
      <c r="C3366" t="s">
        <v>1562</v>
      </c>
      <c r="D3366" t="s">
        <v>1045</v>
      </c>
      <c r="E3366" t="s">
        <v>1048</v>
      </c>
      <c r="F3366" t="s">
        <v>123</v>
      </c>
      <c r="G3366">
        <v>3797.4860904068032</v>
      </c>
      <c r="H3366" t="s">
        <v>1270</v>
      </c>
      <c r="I3366">
        <v>2.5</v>
      </c>
      <c r="J3366">
        <v>0</v>
      </c>
      <c r="K3366">
        <v>0</v>
      </c>
      <c r="L3366">
        <v>0</v>
      </c>
      <c r="M3366" t="s">
        <v>188</v>
      </c>
      <c r="N3366">
        <v>4498.2670095214098</v>
      </c>
      <c r="O3366" t="s">
        <v>12</v>
      </c>
      <c r="P3366" t="b">
        <v>0</v>
      </c>
      <c r="Q3366">
        <v>5292.7578886407164</v>
      </c>
      <c r="R3366">
        <v>26017.761014618056</v>
      </c>
      <c r="S3366">
        <v>-3.1922072974175943</v>
      </c>
      <c r="T3366">
        <v>-97.690213903777305</v>
      </c>
      <c r="U3366">
        <v>0</v>
      </c>
      <c r="V3366">
        <v>0</v>
      </c>
    </row>
    <row r="3367" spans="1:22" x14ac:dyDescent="0.2">
      <c r="A3367"/>
      <c r="B3367">
        <v>74058</v>
      </c>
      <c r="C3367" t="s">
        <v>1563</v>
      </c>
      <c r="D3367" t="s">
        <v>1045</v>
      </c>
      <c r="E3367" t="s">
        <v>1048</v>
      </c>
      <c r="F3367" t="s">
        <v>123</v>
      </c>
      <c r="G3367">
        <v>4072.7751580660538</v>
      </c>
      <c r="H3367" t="s">
        <v>12</v>
      </c>
      <c r="I3367">
        <v>-2.5</v>
      </c>
      <c r="J3367">
        <v>0</v>
      </c>
      <c r="K3367">
        <v>0</v>
      </c>
      <c r="L3367">
        <v>0</v>
      </c>
      <c r="M3367" t="s">
        <v>188</v>
      </c>
      <c r="N3367">
        <v>4773.5560771806604</v>
      </c>
      <c r="O3367" t="s">
        <v>12</v>
      </c>
      <c r="P3367" t="b">
        <v>1</v>
      </c>
      <c r="Q3367">
        <v>5329.3159184836832</v>
      </c>
      <c r="R3367">
        <v>26290.604936757067</v>
      </c>
      <c r="S3367">
        <v>-2.3497385547446288</v>
      </c>
      <c r="T3367">
        <v>82.320976478098046</v>
      </c>
      <c r="U3367">
        <v>0</v>
      </c>
      <c r="V3367">
        <v>0</v>
      </c>
    </row>
    <row r="3368" spans="1:22" x14ac:dyDescent="0.2">
      <c r="A3368"/>
      <c r="B3368">
        <v>74059</v>
      </c>
      <c r="C3368" t="s">
        <v>1564</v>
      </c>
      <c r="D3368" t="s">
        <v>1045</v>
      </c>
      <c r="E3368" t="s">
        <v>1048</v>
      </c>
      <c r="F3368" t="s">
        <v>123</v>
      </c>
      <c r="G3368">
        <v>4072.7751580660538</v>
      </c>
      <c r="H3368" t="s">
        <v>1270</v>
      </c>
      <c r="I3368">
        <v>2.5</v>
      </c>
      <c r="J3368">
        <v>0</v>
      </c>
      <c r="K3368">
        <v>0</v>
      </c>
      <c r="L3368">
        <v>0</v>
      </c>
      <c r="M3368" t="s">
        <v>188</v>
      </c>
      <c r="N3368">
        <v>4773.5560771806604</v>
      </c>
      <c r="O3368" t="s">
        <v>12</v>
      </c>
      <c r="P3368" t="b">
        <v>0</v>
      </c>
      <c r="Q3368">
        <v>5329.3159184836832</v>
      </c>
      <c r="R3368">
        <v>26290.604936757067</v>
      </c>
      <c r="S3368">
        <v>-2.3497385547446288</v>
      </c>
      <c r="T3368">
        <v>-97.679023521901939</v>
      </c>
      <c r="U3368">
        <v>0</v>
      </c>
      <c r="V3368">
        <v>0</v>
      </c>
    </row>
    <row r="3369" spans="1:22" x14ac:dyDescent="0.2">
      <c r="A3369"/>
      <c r="B3369">
        <v>74060</v>
      </c>
      <c r="C3369" t="s">
        <v>1565</v>
      </c>
      <c r="D3369" t="s">
        <v>1045</v>
      </c>
      <c r="E3369" t="s">
        <v>1048</v>
      </c>
      <c r="F3369" t="s">
        <v>123</v>
      </c>
      <c r="G3369">
        <v>4240.6969644696537</v>
      </c>
      <c r="H3369" t="s">
        <v>12</v>
      </c>
      <c r="I3369">
        <v>-2.5</v>
      </c>
      <c r="J3369">
        <v>0</v>
      </c>
      <c r="K3369">
        <v>0</v>
      </c>
      <c r="L3369">
        <v>0</v>
      </c>
      <c r="M3369" t="s">
        <v>188</v>
      </c>
      <c r="N3369">
        <v>4941.4778835842599</v>
      </c>
      <c r="O3369" t="s">
        <v>12</v>
      </c>
      <c r="P3369" t="b">
        <v>1</v>
      </c>
      <c r="Q3369">
        <v>5358.1205422420844</v>
      </c>
      <c r="R3369">
        <v>26456.179735285885</v>
      </c>
      <c r="S3369">
        <v>-4.9667741820454978</v>
      </c>
      <c r="T3369">
        <v>77.751931729862036</v>
      </c>
      <c r="U3369">
        <v>0</v>
      </c>
      <c r="V3369">
        <v>0</v>
      </c>
    </row>
    <row r="3370" spans="1:22" x14ac:dyDescent="0.2">
      <c r="A3370"/>
      <c r="B3370">
        <v>74061</v>
      </c>
      <c r="C3370" t="s">
        <v>1566</v>
      </c>
      <c r="D3370" t="s">
        <v>1045</v>
      </c>
      <c r="E3370" t="s">
        <v>1048</v>
      </c>
      <c r="F3370" t="s">
        <v>123</v>
      </c>
      <c r="G3370">
        <v>4240.6969644696537</v>
      </c>
      <c r="H3370" t="s">
        <v>1270</v>
      </c>
      <c r="I3370">
        <v>2.5</v>
      </c>
      <c r="J3370">
        <v>0</v>
      </c>
      <c r="K3370">
        <v>0</v>
      </c>
      <c r="L3370">
        <v>0</v>
      </c>
      <c r="M3370" t="s">
        <v>188</v>
      </c>
      <c r="N3370">
        <v>4941.4778835842599</v>
      </c>
      <c r="O3370" t="s">
        <v>12</v>
      </c>
      <c r="P3370" t="b">
        <v>0</v>
      </c>
      <c r="Q3370">
        <v>5358.1205422420844</v>
      </c>
      <c r="R3370">
        <v>26456.179735285885</v>
      </c>
      <c r="S3370">
        <v>-4.9667741820454978</v>
      </c>
      <c r="T3370">
        <v>-102.24806827013798</v>
      </c>
      <c r="U3370">
        <v>0</v>
      </c>
      <c r="V3370">
        <v>0</v>
      </c>
    </row>
    <row r="3371" spans="1:22" x14ac:dyDescent="0.2">
      <c r="A3371"/>
      <c r="B3371">
        <v>74062</v>
      </c>
      <c r="C3371" t="s">
        <v>1567</v>
      </c>
      <c r="D3371" t="s">
        <v>1045</v>
      </c>
      <c r="E3371" t="s">
        <v>1048</v>
      </c>
      <c r="F3371" t="s">
        <v>123</v>
      </c>
      <c r="G3371">
        <v>4287.4211505406038</v>
      </c>
      <c r="H3371" t="s">
        <v>12</v>
      </c>
      <c r="I3371">
        <v>-2.5</v>
      </c>
      <c r="J3371">
        <v>0</v>
      </c>
      <c r="K3371">
        <v>0</v>
      </c>
      <c r="L3371">
        <v>0</v>
      </c>
      <c r="M3371" t="s">
        <v>188</v>
      </c>
      <c r="N3371">
        <v>4988.2020696552099</v>
      </c>
      <c r="O3371" t="s">
        <v>12</v>
      </c>
      <c r="P3371" t="b">
        <v>1</v>
      </c>
      <c r="Q3371">
        <v>5367.9652301148017</v>
      </c>
      <c r="R3371">
        <v>26501.838528798449</v>
      </c>
      <c r="S3371">
        <v>-5.8987012092552957</v>
      </c>
      <c r="T3371">
        <v>77.907908149929284</v>
      </c>
      <c r="U3371">
        <v>0</v>
      </c>
      <c r="V3371">
        <v>0</v>
      </c>
    </row>
    <row r="3372" spans="1:22" x14ac:dyDescent="0.2">
      <c r="A3372"/>
      <c r="B3372">
        <v>74063</v>
      </c>
      <c r="C3372" t="s">
        <v>1568</v>
      </c>
      <c r="D3372" t="s">
        <v>1045</v>
      </c>
      <c r="E3372" t="s">
        <v>1048</v>
      </c>
      <c r="F3372" t="s">
        <v>123</v>
      </c>
      <c r="G3372">
        <v>4287.4211505406038</v>
      </c>
      <c r="H3372" t="s">
        <v>1270</v>
      </c>
      <c r="I3372">
        <v>2.5</v>
      </c>
      <c r="J3372">
        <v>0</v>
      </c>
      <c r="K3372">
        <v>0</v>
      </c>
      <c r="L3372">
        <v>0</v>
      </c>
      <c r="M3372" t="s">
        <v>188</v>
      </c>
      <c r="N3372">
        <v>4988.2020696552099</v>
      </c>
      <c r="O3372" t="s">
        <v>12</v>
      </c>
      <c r="P3372" t="b">
        <v>0</v>
      </c>
      <c r="Q3372">
        <v>5367.9652301148017</v>
      </c>
      <c r="R3372">
        <v>26501.838528798449</v>
      </c>
      <c r="S3372">
        <v>-5.8987012092552957</v>
      </c>
      <c r="T3372">
        <v>-102.09209185007072</v>
      </c>
      <c r="U3372">
        <v>0</v>
      </c>
      <c r="V3372">
        <v>0</v>
      </c>
    </row>
    <row r="3373" spans="1:22" x14ac:dyDescent="0.2">
      <c r="A3373"/>
      <c r="B3373">
        <v>74064</v>
      </c>
      <c r="C3373" t="s">
        <v>1569</v>
      </c>
      <c r="D3373" t="s">
        <v>1045</v>
      </c>
      <c r="E3373" t="s">
        <v>1048</v>
      </c>
      <c r="F3373" t="s">
        <v>123</v>
      </c>
      <c r="G3373">
        <v>4377.8595014324437</v>
      </c>
      <c r="H3373" t="s">
        <v>12</v>
      </c>
      <c r="I3373">
        <v>-2.5</v>
      </c>
      <c r="J3373">
        <v>0</v>
      </c>
      <c r="K3373">
        <v>0</v>
      </c>
      <c r="L3373">
        <v>0</v>
      </c>
      <c r="M3373" t="s">
        <v>188</v>
      </c>
      <c r="N3373">
        <v>5078.6404205470499</v>
      </c>
      <c r="O3373" t="s">
        <v>12</v>
      </c>
      <c r="P3373" t="b">
        <v>1</v>
      </c>
      <c r="Q3373">
        <v>5385.9841010542132</v>
      </c>
      <c r="R3373">
        <v>26590.394716436705</v>
      </c>
      <c r="S3373">
        <v>-7.6988993000180344</v>
      </c>
      <c r="T3373">
        <v>79.001529817581755</v>
      </c>
      <c r="U3373">
        <v>0</v>
      </c>
      <c r="V3373">
        <v>0</v>
      </c>
    </row>
    <row r="3374" spans="1:22" x14ac:dyDescent="0.2">
      <c r="A3374"/>
      <c r="B3374">
        <v>74065</v>
      </c>
      <c r="C3374" t="s">
        <v>1570</v>
      </c>
      <c r="D3374" t="s">
        <v>1045</v>
      </c>
      <c r="E3374" t="s">
        <v>1048</v>
      </c>
      <c r="F3374" t="s">
        <v>123</v>
      </c>
      <c r="G3374">
        <v>4377.8595014324437</v>
      </c>
      <c r="H3374" t="s">
        <v>1270</v>
      </c>
      <c r="I3374">
        <v>2.5</v>
      </c>
      <c r="J3374">
        <v>0</v>
      </c>
      <c r="K3374">
        <v>0</v>
      </c>
      <c r="L3374">
        <v>0</v>
      </c>
      <c r="M3374" t="s">
        <v>188</v>
      </c>
      <c r="N3374">
        <v>5078.6404205470499</v>
      </c>
      <c r="O3374" t="s">
        <v>12</v>
      </c>
      <c r="P3374" t="b">
        <v>0</v>
      </c>
      <c r="Q3374">
        <v>5385.9841010542132</v>
      </c>
      <c r="R3374">
        <v>26590.394716436705</v>
      </c>
      <c r="S3374">
        <v>-7.6988993000180344</v>
      </c>
      <c r="T3374">
        <v>-100.99847018241826</v>
      </c>
      <c r="U3374">
        <v>0</v>
      </c>
      <c r="V3374">
        <v>0</v>
      </c>
    </row>
    <row r="3375" spans="1:22" x14ac:dyDescent="0.2">
      <c r="A3375"/>
      <c r="B3375">
        <v>74066</v>
      </c>
      <c r="C3375" t="s">
        <v>1571</v>
      </c>
      <c r="D3375" t="s">
        <v>1045</v>
      </c>
      <c r="E3375" t="s">
        <v>1048</v>
      </c>
      <c r="F3375" t="s">
        <v>123</v>
      </c>
      <c r="G3375">
        <v>4797.4131823372736</v>
      </c>
      <c r="H3375" t="s">
        <v>12</v>
      </c>
      <c r="I3375">
        <v>-2.5</v>
      </c>
      <c r="J3375">
        <v>0</v>
      </c>
      <c r="K3375">
        <v>0</v>
      </c>
      <c r="L3375">
        <v>0</v>
      </c>
      <c r="M3375" t="s">
        <v>188</v>
      </c>
      <c r="N3375">
        <v>5498.1941014518798</v>
      </c>
      <c r="O3375" t="s">
        <v>12</v>
      </c>
      <c r="P3375" t="b">
        <v>1</v>
      </c>
      <c r="Q3375">
        <v>5465.4008014417432</v>
      </c>
      <c r="R3375">
        <v>27002.317788361837</v>
      </c>
      <c r="S3375">
        <v>-6.8577542846131134</v>
      </c>
      <c r="T3375">
        <v>79.135390997013857</v>
      </c>
      <c r="U3375">
        <v>0</v>
      </c>
      <c r="V3375">
        <v>0</v>
      </c>
    </row>
    <row r="3376" spans="1:22" x14ac:dyDescent="0.2">
      <c r="A3376"/>
      <c r="B3376">
        <v>74067</v>
      </c>
      <c r="C3376" t="s">
        <v>1572</v>
      </c>
      <c r="D3376" t="s">
        <v>1045</v>
      </c>
      <c r="E3376" t="s">
        <v>1048</v>
      </c>
      <c r="F3376" t="s">
        <v>123</v>
      </c>
      <c r="G3376">
        <v>4797.4131823372736</v>
      </c>
      <c r="H3376" t="s">
        <v>1270</v>
      </c>
      <c r="I3376">
        <v>2.5</v>
      </c>
      <c r="J3376">
        <v>0</v>
      </c>
      <c r="K3376">
        <v>0</v>
      </c>
      <c r="L3376">
        <v>0</v>
      </c>
      <c r="M3376" t="s">
        <v>188</v>
      </c>
      <c r="N3376">
        <v>5498.1941014518798</v>
      </c>
      <c r="O3376" t="s">
        <v>12</v>
      </c>
      <c r="P3376" t="b">
        <v>0</v>
      </c>
      <c r="Q3376">
        <v>5465.4008014417432</v>
      </c>
      <c r="R3376">
        <v>27002.317788361837</v>
      </c>
      <c r="S3376">
        <v>-6.8577542846131134</v>
      </c>
      <c r="T3376">
        <v>-100.86460900298616</v>
      </c>
      <c r="U3376">
        <v>0</v>
      </c>
      <c r="V3376">
        <v>0</v>
      </c>
    </row>
    <row r="3377" spans="1:22" x14ac:dyDescent="0.2">
      <c r="A3377"/>
      <c r="B3377">
        <v>74068</v>
      </c>
      <c r="C3377" t="s">
        <v>1573</v>
      </c>
      <c r="D3377" t="s">
        <v>1045</v>
      </c>
      <c r="E3377" t="s">
        <v>1048</v>
      </c>
      <c r="F3377" t="s">
        <v>123</v>
      </c>
      <c r="G3377">
        <v>4884.0545783189336</v>
      </c>
      <c r="H3377" t="s">
        <v>12</v>
      </c>
      <c r="I3377">
        <v>-2.5</v>
      </c>
      <c r="J3377">
        <v>0</v>
      </c>
      <c r="K3377">
        <v>0</v>
      </c>
      <c r="L3377">
        <v>0</v>
      </c>
      <c r="M3377" t="s">
        <v>188</v>
      </c>
      <c r="N3377">
        <v>5584.8354974335398</v>
      </c>
      <c r="O3377" t="s">
        <v>12</v>
      </c>
      <c r="P3377" t="b">
        <v>1</v>
      </c>
      <c r="Q3377">
        <v>5481.0036979656707</v>
      </c>
      <c r="R3377">
        <v>27087.47596693673</v>
      </c>
      <c r="S3377">
        <v>-6.0642132081012941</v>
      </c>
      <c r="T3377">
        <v>80.481546568739304</v>
      </c>
      <c r="U3377">
        <v>0</v>
      </c>
      <c r="V3377">
        <v>0</v>
      </c>
    </row>
    <row r="3378" spans="1:22" x14ac:dyDescent="0.2">
      <c r="A3378"/>
      <c r="B3378">
        <v>74069</v>
      </c>
      <c r="C3378" t="s">
        <v>1574</v>
      </c>
      <c r="D3378" t="s">
        <v>1045</v>
      </c>
      <c r="E3378" t="s">
        <v>1048</v>
      </c>
      <c r="F3378" t="s">
        <v>123</v>
      </c>
      <c r="G3378">
        <v>4884.0545783189336</v>
      </c>
      <c r="H3378" t="s">
        <v>1270</v>
      </c>
      <c r="I3378">
        <v>2.5</v>
      </c>
      <c r="J3378">
        <v>0</v>
      </c>
      <c r="K3378">
        <v>0</v>
      </c>
      <c r="L3378">
        <v>0</v>
      </c>
      <c r="M3378" t="s">
        <v>188</v>
      </c>
      <c r="N3378">
        <v>5584.8354974335398</v>
      </c>
      <c r="O3378" t="s">
        <v>12</v>
      </c>
      <c r="P3378" t="b">
        <v>0</v>
      </c>
      <c r="Q3378">
        <v>5481.0036979656707</v>
      </c>
      <c r="R3378">
        <v>27087.47596693673</v>
      </c>
      <c r="S3378">
        <v>-6.0642132081012941</v>
      </c>
      <c r="T3378">
        <v>-99.518453431260696</v>
      </c>
      <c r="U3378">
        <v>0</v>
      </c>
      <c r="V3378">
        <v>0</v>
      </c>
    </row>
    <row r="3379" spans="1:22" x14ac:dyDescent="0.2">
      <c r="A3379"/>
      <c r="B3379">
        <v>74070</v>
      </c>
      <c r="C3379" t="s">
        <v>1575</v>
      </c>
      <c r="D3379" t="s">
        <v>1045</v>
      </c>
      <c r="E3379" t="s">
        <v>1048</v>
      </c>
      <c r="F3379" t="s">
        <v>123</v>
      </c>
      <c r="G3379">
        <v>5272.160422830324</v>
      </c>
      <c r="H3379" t="s">
        <v>12</v>
      </c>
      <c r="I3379">
        <v>-2.5</v>
      </c>
      <c r="J3379">
        <v>0</v>
      </c>
      <c r="K3379">
        <v>0</v>
      </c>
      <c r="L3379">
        <v>0</v>
      </c>
      <c r="M3379" t="s">
        <v>188</v>
      </c>
      <c r="N3379">
        <v>5972.9413419449302</v>
      </c>
      <c r="O3379" t="s">
        <v>12</v>
      </c>
      <c r="P3379" t="b">
        <v>1</v>
      </c>
      <c r="Q3379">
        <v>5545.6431378839679</v>
      </c>
      <c r="R3379">
        <v>27470.055606283775</v>
      </c>
      <c r="S3379">
        <v>2.5007803363111885</v>
      </c>
      <c r="T3379">
        <v>80.262453846445723</v>
      </c>
      <c r="U3379">
        <v>0</v>
      </c>
      <c r="V3379">
        <v>0</v>
      </c>
    </row>
    <row r="3380" spans="1:22" x14ac:dyDescent="0.2">
      <c r="A3380"/>
      <c r="B3380">
        <v>74071</v>
      </c>
      <c r="C3380" t="s">
        <v>1576</v>
      </c>
      <c r="D3380" t="s">
        <v>1045</v>
      </c>
      <c r="E3380" t="s">
        <v>1048</v>
      </c>
      <c r="F3380" t="s">
        <v>123</v>
      </c>
      <c r="G3380">
        <v>5272.160422830324</v>
      </c>
      <c r="H3380" t="s">
        <v>1270</v>
      </c>
      <c r="I3380">
        <v>2.5</v>
      </c>
      <c r="J3380">
        <v>0</v>
      </c>
      <c r="K3380">
        <v>0</v>
      </c>
      <c r="L3380">
        <v>0</v>
      </c>
      <c r="M3380" t="s">
        <v>188</v>
      </c>
      <c r="N3380">
        <v>5972.9413419449302</v>
      </c>
      <c r="O3380" t="s">
        <v>12</v>
      </c>
      <c r="P3380" t="b">
        <v>0</v>
      </c>
      <c r="Q3380">
        <v>5545.6431378839679</v>
      </c>
      <c r="R3380">
        <v>27470.055606283775</v>
      </c>
      <c r="S3380">
        <v>2.5007803363111885</v>
      </c>
      <c r="T3380">
        <v>-99.737546153554277</v>
      </c>
      <c r="U3380">
        <v>0</v>
      </c>
      <c r="V3380">
        <v>0</v>
      </c>
    </row>
    <row r="3381" spans="1:22" x14ac:dyDescent="0.2">
      <c r="A3381"/>
      <c r="B3381">
        <v>74072</v>
      </c>
      <c r="C3381" t="s">
        <v>1577</v>
      </c>
      <c r="D3381" t="s">
        <v>1045</v>
      </c>
      <c r="E3381" t="s">
        <v>1048</v>
      </c>
      <c r="F3381" t="s">
        <v>123</v>
      </c>
      <c r="G3381">
        <v>5346.5059803722543</v>
      </c>
      <c r="H3381" t="s">
        <v>12</v>
      </c>
      <c r="I3381">
        <v>-2.5</v>
      </c>
      <c r="J3381">
        <v>0</v>
      </c>
      <c r="K3381">
        <v>0</v>
      </c>
      <c r="L3381">
        <v>0</v>
      </c>
      <c r="M3381" t="s">
        <v>188</v>
      </c>
      <c r="N3381">
        <v>6047.2868994868604</v>
      </c>
      <c r="O3381" t="s">
        <v>12</v>
      </c>
      <c r="P3381" t="b">
        <v>1</v>
      </c>
      <c r="Q3381">
        <v>5558.2489136061358</v>
      </c>
      <c r="R3381">
        <v>27543.296750670426</v>
      </c>
      <c r="S3381">
        <v>4.5992220478128854</v>
      </c>
      <c r="T3381">
        <v>80.206511325612638</v>
      </c>
      <c r="U3381">
        <v>0</v>
      </c>
      <c r="V3381">
        <v>0</v>
      </c>
    </row>
    <row r="3382" spans="1:22" x14ac:dyDescent="0.2">
      <c r="A3382"/>
      <c r="B3382">
        <v>74073</v>
      </c>
      <c r="C3382" t="s">
        <v>1578</v>
      </c>
      <c r="D3382" t="s">
        <v>1045</v>
      </c>
      <c r="E3382" t="s">
        <v>1048</v>
      </c>
      <c r="F3382" t="s">
        <v>123</v>
      </c>
      <c r="G3382">
        <v>5346.5059803722543</v>
      </c>
      <c r="H3382" t="s">
        <v>1270</v>
      </c>
      <c r="I3382">
        <v>2.5</v>
      </c>
      <c r="J3382">
        <v>0</v>
      </c>
      <c r="K3382">
        <v>0</v>
      </c>
      <c r="L3382">
        <v>0</v>
      </c>
      <c r="M3382" t="s">
        <v>188</v>
      </c>
      <c r="N3382">
        <v>6047.2868994868604</v>
      </c>
      <c r="O3382" t="s">
        <v>12</v>
      </c>
      <c r="P3382" t="b">
        <v>0</v>
      </c>
      <c r="Q3382">
        <v>5558.2489136061358</v>
      </c>
      <c r="R3382">
        <v>27543.296750670426</v>
      </c>
      <c r="S3382">
        <v>4.5992220478128854</v>
      </c>
      <c r="T3382">
        <v>-99.793488674387376</v>
      </c>
      <c r="U3382">
        <v>0</v>
      </c>
      <c r="V3382">
        <v>0</v>
      </c>
    </row>
    <row r="3383" spans="1:22" x14ac:dyDescent="0.2">
      <c r="A3383"/>
      <c r="B3383">
        <v>74074</v>
      </c>
      <c r="C3383" t="s">
        <v>1579</v>
      </c>
      <c r="D3383" t="s">
        <v>1045</v>
      </c>
      <c r="E3383" t="s">
        <v>1048</v>
      </c>
      <c r="F3383" t="s">
        <v>123</v>
      </c>
      <c r="G3383">
        <v>5532.4977509468736</v>
      </c>
      <c r="H3383" t="s">
        <v>12</v>
      </c>
      <c r="I3383">
        <v>-2.5</v>
      </c>
      <c r="J3383">
        <v>0</v>
      </c>
      <c r="K3383">
        <v>0</v>
      </c>
      <c r="L3383">
        <v>0</v>
      </c>
      <c r="M3383" t="s">
        <v>188</v>
      </c>
      <c r="N3383">
        <v>6233.2786700614797</v>
      </c>
      <c r="O3383" t="s">
        <v>12</v>
      </c>
      <c r="P3383" t="b">
        <v>1</v>
      </c>
      <c r="Q3383">
        <v>5590.0816523951653</v>
      </c>
      <c r="R3383">
        <v>27726.545563106112</v>
      </c>
      <c r="S3383">
        <v>5.2392669807368328</v>
      </c>
      <c r="T3383">
        <v>80.072404938002464</v>
      </c>
      <c r="U3383">
        <v>0</v>
      </c>
      <c r="V3383">
        <v>0</v>
      </c>
    </row>
    <row r="3384" spans="1:22" x14ac:dyDescent="0.2">
      <c r="A3384"/>
      <c r="B3384">
        <v>74075</v>
      </c>
      <c r="C3384" t="s">
        <v>1580</v>
      </c>
      <c r="D3384" t="s">
        <v>1045</v>
      </c>
      <c r="E3384" t="s">
        <v>1048</v>
      </c>
      <c r="F3384" t="s">
        <v>123</v>
      </c>
      <c r="G3384">
        <v>5532.4977509468736</v>
      </c>
      <c r="H3384" t="s">
        <v>1270</v>
      </c>
      <c r="I3384">
        <v>2.5</v>
      </c>
      <c r="J3384">
        <v>0</v>
      </c>
      <c r="K3384">
        <v>0</v>
      </c>
      <c r="L3384">
        <v>0</v>
      </c>
      <c r="M3384" t="s">
        <v>188</v>
      </c>
      <c r="N3384">
        <v>6233.2786700614797</v>
      </c>
      <c r="O3384" t="s">
        <v>12</v>
      </c>
      <c r="P3384" t="b">
        <v>0</v>
      </c>
      <c r="Q3384">
        <v>5590.0816523951653</v>
      </c>
      <c r="R3384">
        <v>27726.545563106112</v>
      </c>
      <c r="S3384">
        <v>5.2392669807368328</v>
      </c>
      <c r="T3384">
        <v>-99.92759506199755</v>
      </c>
      <c r="U3384">
        <v>0</v>
      </c>
      <c r="V3384">
        <v>0</v>
      </c>
    </row>
    <row r="3385" spans="1:22" x14ac:dyDescent="0.2">
      <c r="A3385"/>
      <c r="B3385">
        <v>74076</v>
      </c>
      <c r="C3385" t="s">
        <v>1581</v>
      </c>
      <c r="D3385" t="s">
        <v>1045</v>
      </c>
      <c r="E3385" t="s">
        <v>1048</v>
      </c>
      <c r="F3385" t="s">
        <v>123</v>
      </c>
      <c r="G3385">
        <v>5606.6859217567835</v>
      </c>
      <c r="H3385" t="s">
        <v>12</v>
      </c>
      <c r="I3385">
        <v>-2.5</v>
      </c>
      <c r="J3385">
        <v>0</v>
      </c>
      <c r="K3385">
        <v>0</v>
      </c>
      <c r="L3385">
        <v>0</v>
      </c>
      <c r="M3385" t="s">
        <v>188</v>
      </c>
      <c r="N3385">
        <v>6307.4668408713896</v>
      </c>
      <c r="O3385" t="s">
        <v>12</v>
      </c>
      <c r="P3385" t="b">
        <v>1</v>
      </c>
      <c r="Q3385">
        <v>5602.7591734930129</v>
      </c>
      <c r="R3385">
        <v>27799.623445524394</v>
      </c>
      <c r="S3385">
        <v>5.2244869640898086</v>
      </c>
      <c r="T3385">
        <v>80.496362324023437</v>
      </c>
      <c r="U3385">
        <v>0</v>
      </c>
      <c r="V3385">
        <v>0</v>
      </c>
    </row>
    <row r="3386" spans="1:22" x14ac:dyDescent="0.2">
      <c r="A3386"/>
      <c r="B3386">
        <v>74077</v>
      </c>
      <c r="C3386" t="s">
        <v>1582</v>
      </c>
      <c r="D3386" t="s">
        <v>1045</v>
      </c>
      <c r="E3386" t="s">
        <v>1048</v>
      </c>
      <c r="F3386" t="s">
        <v>123</v>
      </c>
      <c r="G3386">
        <v>5606.6859217567835</v>
      </c>
      <c r="H3386" t="s">
        <v>1270</v>
      </c>
      <c r="I3386">
        <v>2.5</v>
      </c>
      <c r="J3386">
        <v>0</v>
      </c>
      <c r="K3386">
        <v>0</v>
      </c>
      <c r="L3386">
        <v>0</v>
      </c>
      <c r="M3386" t="s">
        <v>188</v>
      </c>
      <c r="N3386">
        <v>6307.4668408713896</v>
      </c>
      <c r="O3386" t="s">
        <v>12</v>
      </c>
      <c r="P3386" t="b">
        <v>0</v>
      </c>
      <c r="Q3386">
        <v>5602.7591734930129</v>
      </c>
      <c r="R3386">
        <v>27799.623445524394</v>
      </c>
      <c r="S3386">
        <v>5.2244869640898086</v>
      </c>
      <c r="T3386">
        <v>-99.503637675976577</v>
      </c>
      <c r="U3386">
        <v>0</v>
      </c>
      <c r="V3386">
        <v>0</v>
      </c>
    </row>
    <row r="3387" spans="1:22" x14ac:dyDescent="0.2">
      <c r="A3387"/>
      <c r="B3387">
        <v>74078</v>
      </c>
      <c r="C3387" t="s">
        <v>1583</v>
      </c>
      <c r="D3387" t="s">
        <v>1045</v>
      </c>
      <c r="E3387" t="s">
        <v>1048</v>
      </c>
      <c r="F3387" t="s">
        <v>125</v>
      </c>
      <c r="G3387">
        <v>98.596459772788961</v>
      </c>
      <c r="H3387" t="s">
        <v>12</v>
      </c>
      <c r="I3387">
        <v>-2.5</v>
      </c>
      <c r="J3387">
        <v>0</v>
      </c>
      <c r="K3387">
        <v>0</v>
      </c>
      <c r="L3387">
        <v>0</v>
      </c>
      <c r="M3387" t="s">
        <v>188</v>
      </c>
      <c r="N3387">
        <v>6759.2639450244997</v>
      </c>
      <c r="O3387" t="s">
        <v>12</v>
      </c>
      <c r="P3387" t="b">
        <v>1</v>
      </c>
      <c r="Q3387">
        <v>5675.4986642645017</v>
      </c>
      <c r="R3387">
        <v>28245.502845300685</v>
      </c>
      <c r="S3387">
        <v>5.2226630603308122</v>
      </c>
      <c r="T3387">
        <v>81.020100019166676</v>
      </c>
      <c r="U3387">
        <v>0</v>
      </c>
      <c r="V3387">
        <v>0</v>
      </c>
    </row>
    <row r="3388" spans="1:22" x14ac:dyDescent="0.2">
      <c r="A3388"/>
      <c r="B3388">
        <v>74079</v>
      </c>
      <c r="C3388" t="s">
        <v>1584</v>
      </c>
      <c r="D3388" t="s">
        <v>1045</v>
      </c>
      <c r="E3388" t="s">
        <v>1048</v>
      </c>
      <c r="F3388" t="s">
        <v>125</v>
      </c>
      <c r="G3388">
        <v>98.596459772788961</v>
      </c>
      <c r="H3388" t="s">
        <v>1270</v>
      </c>
      <c r="I3388">
        <v>2.5</v>
      </c>
      <c r="J3388">
        <v>0</v>
      </c>
      <c r="K3388">
        <v>0</v>
      </c>
      <c r="L3388">
        <v>0</v>
      </c>
      <c r="M3388" t="s">
        <v>188</v>
      </c>
      <c r="N3388">
        <v>6759.2639450244997</v>
      </c>
      <c r="O3388" t="s">
        <v>12</v>
      </c>
      <c r="P3388" t="b">
        <v>0</v>
      </c>
      <c r="Q3388">
        <v>5675.4986642645017</v>
      </c>
      <c r="R3388">
        <v>28245.502845300685</v>
      </c>
      <c r="S3388">
        <v>5.2226630603308122</v>
      </c>
      <c r="T3388">
        <v>-98.979899980833338</v>
      </c>
      <c r="U3388">
        <v>0</v>
      </c>
      <c r="V3388">
        <v>0</v>
      </c>
    </row>
    <row r="3389" spans="1:22" x14ac:dyDescent="0.2">
      <c r="A3389"/>
      <c r="B3389">
        <v>74080</v>
      </c>
      <c r="C3389" t="s">
        <v>1585</v>
      </c>
      <c r="D3389" t="s">
        <v>1045</v>
      </c>
      <c r="E3389" t="s">
        <v>1048</v>
      </c>
      <c r="F3389" t="s">
        <v>125</v>
      </c>
      <c r="G3389">
        <v>174.3914894745395</v>
      </c>
      <c r="H3389" t="s">
        <v>12</v>
      </c>
      <c r="I3389">
        <v>-2.5</v>
      </c>
      <c r="J3389">
        <v>0</v>
      </c>
      <c r="K3389">
        <v>0</v>
      </c>
      <c r="L3389">
        <v>0</v>
      </c>
      <c r="M3389" t="s">
        <v>188</v>
      </c>
      <c r="N3389">
        <v>6835.0589747262502</v>
      </c>
      <c r="O3389" t="s">
        <v>12</v>
      </c>
      <c r="P3389" t="b">
        <v>1</v>
      </c>
      <c r="Q3389">
        <v>5687.0362798926117</v>
      </c>
      <c r="R3389">
        <v>28320.394112920498</v>
      </c>
      <c r="S3389">
        <v>4.9686126806178592</v>
      </c>
      <c r="T3389">
        <v>81.467542642998339</v>
      </c>
      <c r="U3389">
        <v>0</v>
      </c>
      <c r="V3389">
        <v>0</v>
      </c>
    </row>
    <row r="3390" spans="1:22" x14ac:dyDescent="0.2">
      <c r="A3390"/>
      <c r="B3390">
        <v>74081</v>
      </c>
      <c r="C3390" t="s">
        <v>1586</v>
      </c>
      <c r="D3390" t="s">
        <v>1045</v>
      </c>
      <c r="E3390" t="s">
        <v>1048</v>
      </c>
      <c r="F3390" t="s">
        <v>125</v>
      </c>
      <c r="G3390">
        <v>174.3914894745395</v>
      </c>
      <c r="H3390" t="s">
        <v>1270</v>
      </c>
      <c r="I3390">
        <v>2.5</v>
      </c>
      <c r="J3390">
        <v>0</v>
      </c>
      <c r="K3390">
        <v>0</v>
      </c>
      <c r="L3390">
        <v>0</v>
      </c>
      <c r="M3390" t="s">
        <v>188</v>
      </c>
      <c r="N3390">
        <v>6835.0589747262502</v>
      </c>
      <c r="O3390" t="s">
        <v>12</v>
      </c>
      <c r="P3390" t="b">
        <v>0</v>
      </c>
      <c r="Q3390">
        <v>5687.0362798926117</v>
      </c>
      <c r="R3390">
        <v>28320.394112920498</v>
      </c>
      <c r="S3390">
        <v>4.9686126806178592</v>
      </c>
      <c r="T3390">
        <v>-98.53245735700169</v>
      </c>
      <c r="U3390">
        <v>0</v>
      </c>
      <c r="V3390">
        <v>0</v>
      </c>
    </row>
    <row r="3391" spans="1:22" x14ac:dyDescent="0.2">
      <c r="A3391"/>
      <c r="B3391">
        <v>74082</v>
      </c>
      <c r="C3391" t="s">
        <v>1587</v>
      </c>
      <c r="D3391" t="s">
        <v>1045</v>
      </c>
      <c r="E3391" t="s">
        <v>1050</v>
      </c>
      <c r="F3391" t="s">
        <v>125</v>
      </c>
      <c r="G3391">
        <v>345.20745903430918</v>
      </c>
      <c r="H3391" t="s">
        <v>12</v>
      </c>
      <c r="I3391">
        <v>-2.5</v>
      </c>
      <c r="J3391">
        <v>0</v>
      </c>
      <c r="K3391">
        <v>0</v>
      </c>
      <c r="L3391">
        <v>0</v>
      </c>
      <c r="M3391" t="s">
        <v>188</v>
      </c>
      <c r="N3391">
        <v>7005.8749442860199</v>
      </c>
      <c r="O3391" t="s">
        <v>12</v>
      </c>
      <c r="P3391" t="b">
        <v>1</v>
      </c>
      <c r="Q3391">
        <v>5711.4208918539343</v>
      </c>
      <c r="R3391">
        <v>28489.427849263291</v>
      </c>
      <c r="S3391">
        <v>5.3117827110911202</v>
      </c>
      <c r="T3391">
        <v>82.006498347679923</v>
      </c>
      <c r="U3391">
        <v>0</v>
      </c>
      <c r="V3391">
        <v>0</v>
      </c>
    </row>
    <row r="3392" spans="1:22" x14ac:dyDescent="0.2">
      <c r="A3392"/>
      <c r="B3392">
        <v>74083</v>
      </c>
      <c r="C3392" t="s">
        <v>1588</v>
      </c>
      <c r="D3392" t="s">
        <v>1045</v>
      </c>
      <c r="E3392" t="s">
        <v>1048</v>
      </c>
      <c r="F3392" t="s">
        <v>125</v>
      </c>
      <c r="G3392">
        <v>345.20745903430918</v>
      </c>
      <c r="H3392" t="s">
        <v>1270</v>
      </c>
      <c r="I3392">
        <v>2.5</v>
      </c>
      <c r="J3392">
        <v>0</v>
      </c>
      <c r="K3392">
        <v>0</v>
      </c>
      <c r="L3392">
        <v>0</v>
      </c>
      <c r="M3392" t="s">
        <v>188</v>
      </c>
      <c r="N3392">
        <v>7005.8749442860199</v>
      </c>
      <c r="O3392" t="s">
        <v>12</v>
      </c>
      <c r="P3392" t="b">
        <v>0</v>
      </c>
      <c r="Q3392">
        <v>5711.4208918539343</v>
      </c>
      <c r="R3392">
        <v>28489.427849263291</v>
      </c>
      <c r="S3392">
        <v>5.3117827110911202</v>
      </c>
      <c r="T3392">
        <v>-97.993501652320077</v>
      </c>
      <c r="U3392">
        <v>0</v>
      </c>
      <c r="V3392">
        <v>0</v>
      </c>
    </row>
    <row r="3393" spans="1:22" x14ac:dyDescent="0.2">
      <c r="A3393"/>
      <c r="B3393">
        <v>74084</v>
      </c>
      <c r="C3393" t="s">
        <v>1589</v>
      </c>
      <c r="D3393" t="s">
        <v>1045</v>
      </c>
      <c r="E3393" t="s">
        <v>1048</v>
      </c>
      <c r="F3393" t="s">
        <v>125</v>
      </c>
      <c r="G3393">
        <v>622.51000214528915</v>
      </c>
      <c r="H3393" t="s">
        <v>12</v>
      </c>
      <c r="I3393">
        <v>-2.5</v>
      </c>
      <c r="J3393">
        <v>0</v>
      </c>
      <c r="K3393">
        <v>0</v>
      </c>
      <c r="L3393">
        <v>0</v>
      </c>
      <c r="M3393" t="s">
        <v>188</v>
      </c>
      <c r="N3393">
        <v>7283.1774873969998</v>
      </c>
      <c r="O3393" t="s">
        <v>12</v>
      </c>
      <c r="P3393" t="b">
        <v>1</v>
      </c>
      <c r="Q3393">
        <v>5691.9807012414558</v>
      </c>
      <c r="R3393">
        <v>28762.282282733442</v>
      </c>
      <c r="S3393">
        <v>12.232626164441781</v>
      </c>
      <c r="T3393">
        <v>104.97022773149715</v>
      </c>
      <c r="U3393">
        <v>0</v>
      </c>
      <c r="V3393">
        <v>0</v>
      </c>
    </row>
    <row r="3394" spans="1:22" x14ac:dyDescent="0.2">
      <c r="A3394"/>
      <c r="B3394">
        <v>74085</v>
      </c>
      <c r="C3394" t="s">
        <v>1590</v>
      </c>
      <c r="D3394" t="s">
        <v>1045</v>
      </c>
      <c r="E3394" t="s">
        <v>1050</v>
      </c>
      <c r="F3394" t="s">
        <v>125</v>
      </c>
      <c r="G3394">
        <v>622.51000214528915</v>
      </c>
      <c r="H3394" t="s">
        <v>1270</v>
      </c>
      <c r="I3394">
        <v>2.5</v>
      </c>
      <c r="J3394">
        <v>0</v>
      </c>
      <c r="K3394">
        <v>0</v>
      </c>
      <c r="L3394">
        <v>0</v>
      </c>
      <c r="M3394" t="s">
        <v>188</v>
      </c>
      <c r="N3394">
        <v>7283.1774873969998</v>
      </c>
      <c r="O3394" t="s">
        <v>12</v>
      </c>
      <c r="P3394" t="b">
        <v>0</v>
      </c>
      <c r="Q3394">
        <v>5691.9807012414558</v>
      </c>
      <c r="R3394">
        <v>28762.282282733442</v>
      </c>
      <c r="S3394">
        <v>12.232626164441781</v>
      </c>
      <c r="T3394">
        <v>-75.029772268502882</v>
      </c>
      <c r="U3394">
        <v>0</v>
      </c>
      <c r="V3394">
        <v>0</v>
      </c>
    </row>
    <row r="3395" spans="1:22" x14ac:dyDescent="0.2">
      <c r="A3395"/>
      <c r="B3395">
        <v>74086</v>
      </c>
      <c r="C3395" t="s">
        <v>1591</v>
      </c>
      <c r="D3395" t="s">
        <v>1045</v>
      </c>
      <c r="E3395" t="s">
        <v>1050</v>
      </c>
      <c r="F3395" t="s">
        <v>125</v>
      </c>
      <c r="G3395">
        <v>752.98651657718904</v>
      </c>
      <c r="H3395" t="s">
        <v>12</v>
      </c>
      <c r="I3395">
        <v>-2.5</v>
      </c>
      <c r="J3395">
        <v>0</v>
      </c>
      <c r="K3395">
        <v>0</v>
      </c>
      <c r="L3395">
        <v>0</v>
      </c>
      <c r="M3395" t="s">
        <v>188</v>
      </c>
      <c r="N3395">
        <v>7413.6540018288997</v>
      </c>
      <c r="O3395" t="s">
        <v>12</v>
      </c>
      <c r="P3395" t="b">
        <v>1</v>
      </c>
      <c r="Q3395">
        <v>5658.0159364775045</v>
      </c>
      <c r="R3395">
        <v>28888.226241359323</v>
      </c>
      <c r="S3395">
        <v>15.461636704673452</v>
      </c>
      <c r="T3395">
        <v>104.80802074304805</v>
      </c>
      <c r="U3395">
        <v>0</v>
      </c>
      <c r="V3395">
        <v>0</v>
      </c>
    </row>
    <row r="3396" spans="1:22" x14ac:dyDescent="0.2">
      <c r="A3396"/>
      <c r="B3396">
        <v>74087</v>
      </c>
      <c r="C3396" t="s">
        <v>1592</v>
      </c>
      <c r="D3396" t="s">
        <v>1045</v>
      </c>
      <c r="E3396" t="s">
        <v>1048</v>
      </c>
      <c r="F3396" t="s">
        <v>125</v>
      </c>
      <c r="G3396">
        <v>752.98651657718904</v>
      </c>
      <c r="H3396" t="s">
        <v>1270</v>
      </c>
      <c r="I3396">
        <v>2.5</v>
      </c>
      <c r="J3396">
        <v>0</v>
      </c>
      <c r="K3396">
        <v>0</v>
      </c>
      <c r="L3396">
        <v>0</v>
      </c>
      <c r="M3396" t="s">
        <v>188</v>
      </c>
      <c r="N3396">
        <v>7413.6540018288997</v>
      </c>
      <c r="O3396" t="s">
        <v>12</v>
      </c>
      <c r="P3396" t="b">
        <v>0</v>
      </c>
      <c r="Q3396">
        <v>5658.0159364775045</v>
      </c>
      <c r="R3396">
        <v>28888.226241359323</v>
      </c>
      <c r="S3396">
        <v>15.461636704673452</v>
      </c>
      <c r="T3396">
        <v>-75.191979256951939</v>
      </c>
      <c r="U3396">
        <v>0</v>
      </c>
      <c r="V3396">
        <v>0</v>
      </c>
    </row>
    <row r="3397" spans="1:22" x14ac:dyDescent="0.2">
      <c r="A3397"/>
      <c r="B3397">
        <v>74088</v>
      </c>
      <c r="C3397" t="s">
        <v>1593</v>
      </c>
      <c r="D3397" t="s">
        <v>1045</v>
      </c>
      <c r="E3397" t="s">
        <v>1048</v>
      </c>
      <c r="F3397" t="s">
        <v>125</v>
      </c>
      <c r="G3397">
        <v>931.48286271367954</v>
      </c>
      <c r="H3397" t="s">
        <v>12</v>
      </c>
      <c r="I3397">
        <v>-2.5</v>
      </c>
      <c r="J3397">
        <v>0</v>
      </c>
      <c r="K3397">
        <v>0</v>
      </c>
      <c r="L3397">
        <v>0</v>
      </c>
      <c r="M3397" t="s">
        <v>188</v>
      </c>
      <c r="N3397">
        <v>7592.1503479653902</v>
      </c>
      <c r="O3397" t="s">
        <v>12</v>
      </c>
      <c r="P3397" t="b">
        <v>1</v>
      </c>
      <c r="Q3397">
        <v>5641.8022566090021</v>
      </c>
      <c r="R3397">
        <v>29065.706418859889</v>
      </c>
      <c r="S3397">
        <v>17.273798904647606</v>
      </c>
      <c r="T3397">
        <v>88.00989774110603</v>
      </c>
      <c r="U3397">
        <v>0</v>
      </c>
      <c r="V3397">
        <v>0</v>
      </c>
    </row>
    <row r="3398" spans="1:22" x14ac:dyDescent="0.2">
      <c r="A3398"/>
      <c r="B3398">
        <v>74089</v>
      </c>
      <c r="C3398" t="s">
        <v>1594</v>
      </c>
      <c r="D3398" t="s">
        <v>1045</v>
      </c>
      <c r="E3398" t="s">
        <v>1050</v>
      </c>
      <c r="F3398" t="s">
        <v>125</v>
      </c>
      <c r="G3398">
        <v>931.48286271367954</v>
      </c>
      <c r="H3398" t="s">
        <v>1270</v>
      </c>
      <c r="I3398">
        <v>2.5</v>
      </c>
      <c r="J3398">
        <v>0</v>
      </c>
      <c r="K3398">
        <v>0</v>
      </c>
      <c r="L3398">
        <v>0</v>
      </c>
      <c r="M3398" t="s">
        <v>188</v>
      </c>
      <c r="N3398">
        <v>7592.1503479653902</v>
      </c>
      <c r="O3398" t="s">
        <v>12</v>
      </c>
      <c r="P3398" t="b">
        <v>0</v>
      </c>
      <c r="Q3398">
        <v>5641.8022566090021</v>
      </c>
      <c r="R3398">
        <v>29065.706418859889</v>
      </c>
      <c r="S3398">
        <v>17.273798904647606</v>
      </c>
      <c r="T3398">
        <v>-91.990102258893984</v>
      </c>
      <c r="U3398">
        <v>0</v>
      </c>
      <c r="V3398">
        <v>0</v>
      </c>
    </row>
    <row r="3399" spans="1:22" x14ac:dyDescent="0.2">
      <c r="A3399"/>
      <c r="B3399">
        <v>74090</v>
      </c>
      <c r="C3399" t="s">
        <v>1595</v>
      </c>
      <c r="D3399" t="s">
        <v>1045</v>
      </c>
      <c r="E3399" t="s">
        <v>1049</v>
      </c>
      <c r="F3399" t="s">
        <v>125</v>
      </c>
      <c r="G3399">
        <v>1120.9754307109588</v>
      </c>
      <c r="H3399" t="s">
        <v>12</v>
      </c>
      <c r="I3399">
        <v>-2.5</v>
      </c>
      <c r="J3399">
        <v>0</v>
      </c>
      <c r="K3399">
        <v>0</v>
      </c>
      <c r="L3399">
        <v>0</v>
      </c>
      <c r="M3399" t="s">
        <v>188</v>
      </c>
      <c r="N3399">
        <v>7781.6429159626696</v>
      </c>
      <c r="O3399" t="s">
        <v>12</v>
      </c>
      <c r="P3399" t="b">
        <v>1</v>
      </c>
      <c r="Q3399">
        <v>5648.9273693595242</v>
      </c>
      <c r="R3399">
        <v>29255.077152671849</v>
      </c>
      <c r="S3399">
        <v>17.268694560794177</v>
      </c>
      <c r="T3399">
        <v>87.729015094196015</v>
      </c>
      <c r="U3399">
        <v>0</v>
      </c>
      <c r="V3399">
        <v>0</v>
      </c>
    </row>
    <row r="3400" spans="1:22" x14ac:dyDescent="0.2">
      <c r="A3400"/>
      <c r="B3400">
        <v>74091</v>
      </c>
      <c r="C3400" t="s">
        <v>1596</v>
      </c>
      <c r="D3400" t="s">
        <v>1045</v>
      </c>
      <c r="E3400" t="s">
        <v>1048</v>
      </c>
      <c r="F3400" t="s">
        <v>125</v>
      </c>
      <c r="G3400">
        <v>1120.9754307109588</v>
      </c>
      <c r="H3400" t="s">
        <v>1270</v>
      </c>
      <c r="I3400">
        <v>2.5</v>
      </c>
      <c r="J3400">
        <v>0</v>
      </c>
      <c r="K3400">
        <v>0</v>
      </c>
      <c r="L3400">
        <v>0</v>
      </c>
      <c r="M3400" t="s">
        <v>188</v>
      </c>
      <c r="N3400">
        <v>7781.6429159626696</v>
      </c>
      <c r="O3400" t="s">
        <v>12</v>
      </c>
      <c r="P3400" t="b">
        <v>0</v>
      </c>
      <c r="Q3400">
        <v>5648.9273693595242</v>
      </c>
      <c r="R3400">
        <v>29255.077152671849</v>
      </c>
      <c r="S3400">
        <v>17.268694560794177</v>
      </c>
      <c r="T3400">
        <v>-92.270984905803985</v>
      </c>
      <c r="U3400">
        <v>0</v>
      </c>
      <c r="V3400">
        <v>0</v>
      </c>
    </row>
    <row r="3401" spans="1:22" x14ac:dyDescent="0.2">
      <c r="A3401"/>
      <c r="B3401">
        <v>74092</v>
      </c>
      <c r="C3401" t="s">
        <v>1597</v>
      </c>
      <c r="D3401" t="s">
        <v>1045</v>
      </c>
      <c r="E3401" t="s">
        <v>1048</v>
      </c>
      <c r="F3401" t="s">
        <v>125</v>
      </c>
      <c r="G3401">
        <v>1219.4620281399993</v>
      </c>
      <c r="H3401" t="s">
        <v>12</v>
      </c>
      <c r="I3401">
        <v>-2.5</v>
      </c>
      <c r="J3401">
        <v>0</v>
      </c>
      <c r="K3401">
        <v>0</v>
      </c>
      <c r="L3401">
        <v>0</v>
      </c>
      <c r="M3401" t="s">
        <v>188</v>
      </c>
      <c r="N3401">
        <v>7880.1295133917101</v>
      </c>
      <c r="O3401" t="s">
        <v>12</v>
      </c>
      <c r="P3401" t="b">
        <v>1</v>
      </c>
      <c r="Q3401">
        <v>5658.6649576582086</v>
      </c>
      <c r="R3401">
        <v>29353.262343136779</v>
      </c>
      <c r="S3401">
        <v>17.269631460763588</v>
      </c>
      <c r="T3401">
        <v>82.697950962923116</v>
      </c>
      <c r="U3401">
        <v>0</v>
      </c>
      <c r="V3401">
        <v>0</v>
      </c>
    </row>
    <row r="3402" spans="1:22" x14ac:dyDescent="0.2">
      <c r="A3402"/>
      <c r="B3402">
        <v>74093</v>
      </c>
      <c r="C3402" t="s">
        <v>1598</v>
      </c>
      <c r="D3402" t="s">
        <v>1045</v>
      </c>
      <c r="E3402" t="s">
        <v>1049</v>
      </c>
      <c r="F3402" t="s">
        <v>125</v>
      </c>
      <c r="G3402">
        <v>1219.4620281399993</v>
      </c>
      <c r="H3402" t="s">
        <v>1270</v>
      </c>
      <c r="I3402">
        <v>2.5</v>
      </c>
      <c r="J3402">
        <v>0</v>
      </c>
      <c r="K3402">
        <v>0</v>
      </c>
      <c r="L3402">
        <v>0</v>
      </c>
      <c r="M3402" t="s">
        <v>188</v>
      </c>
      <c r="N3402">
        <v>7880.1295133917101</v>
      </c>
      <c r="O3402" t="s">
        <v>12</v>
      </c>
      <c r="P3402" t="b">
        <v>0</v>
      </c>
      <c r="Q3402">
        <v>5658.6649576582086</v>
      </c>
      <c r="R3402">
        <v>29353.262343136779</v>
      </c>
      <c r="S3402">
        <v>17.269631460763588</v>
      </c>
      <c r="T3402">
        <v>-97.302049037076912</v>
      </c>
      <c r="U3402">
        <v>0</v>
      </c>
      <c r="V3402">
        <v>0</v>
      </c>
    </row>
    <row r="3403" spans="1:22" x14ac:dyDescent="0.2">
      <c r="A3403"/>
      <c r="B3403">
        <v>74094</v>
      </c>
      <c r="C3403" t="s">
        <v>1599</v>
      </c>
      <c r="D3403" t="s">
        <v>1045</v>
      </c>
      <c r="E3403" t="s">
        <v>1049</v>
      </c>
      <c r="F3403" t="s">
        <v>125</v>
      </c>
      <c r="G3403">
        <v>1245.0000293189996</v>
      </c>
      <c r="H3403" t="s">
        <v>12</v>
      </c>
      <c r="I3403">
        <v>-2.5</v>
      </c>
      <c r="J3403">
        <v>0</v>
      </c>
      <c r="K3403">
        <v>0</v>
      </c>
      <c r="L3403">
        <v>0</v>
      </c>
      <c r="M3403" t="s">
        <v>188</v>
      </c>
      <c r="N3403">
        <v>7905.6675145707104</v>
      </c>
      <c r="O3403" t="s">
        <v>12</v>
      </c>
      <c r="P3403" t="b">
        <v>1</v>
      </c>
      <c r="Q3403">
        <v>5661.811052436823</v>
      </c>
      <c r="R3403">
        <v>29378.580861927494</v>
      </c>
      <c r="S3403">
        <v>17.23702445058818</v>
      </c>
      <c r="T3403">
        <v>83.262004072164885</v>
      </c>
      <c r="U3403">
        <v>0</v>
      </c>
      <c r="V3403">
        <v>0</v>
      </c>
    </row>
    <row r="3404" spans="1:22" x14ac:dyDescent="0.2">
      <c r="A3404"/>
      <c r="B3404">
        <v>74095</v>
      </c>
      <c r="C3404" t="s">
        <v>1600</v>
      </c>
      <c r="D3404" t="s">
        <v>1045</v>
      </c>
      <c r="E3404" t="s">
        <v>1048</v>
      </c>
      <c r="F3404" t="s">
        <v>125</v>
      </c>
      <c r="G3404">
        <v>1245.0000293189996</v>
      </c>
      <c r="H3404" t="s">
        <v>1270</v>
      </c>
      <c r="I3404">
        <v>2.5</v>
      </c>
      <c r="J3404">
        <v>0</v>
      </c>
      <c r="K3404">
        <v>0</v>
      </c>
      <c r="L3404">
        <v>0</v>
      </c>
      <c r="M3404" t="s">
        <v>188</v>
      </c>
      <c r="N3404">
        <v>7905.6675145707104</v>
      </c>
      <c r="O3404" t="s">
        <v>12</v>
      </c>
      <c r="P3404" t="b">
        <v>0</v>
      </c>
      <c r="Q3404">
        <v>5661.811052436823</v>
      </c>
      <c r="R3404">
        <v>29378.580861927494</v>
      </c>
      <c r="S3404">
        <v>17.23702445058818</v>
      </c>
      <c r="T3404">
        <v>-96.737995927835115</v>
      </c>
      <c r="U3404">
        <v>0</v>
      </c>
      <c r="V3404">
        <v>0</v>
      </c>
    </row>
    <row r="3405" spans="1:22" x14ac:dyDescent="0.2">
      <c r="A3405"/>
      <c r="B3405">
        <v>74096</v>
      </c>
      <c r="C3405" t="s">
        <v>1601</v>
      </c>
      <c r="D3405" t="s">
        <v>1045</v>
      </c>
      <c r="E3405" t="s">
        <v>1048</v>
      </c>
      <c r="F3405" t="s">
        <v>125</v>
      </c>
      <c r="G3405">
        <v>1337.0247234383696</v>
      </c>
      <c r="H3405" t="s">
        <v>12</v>
      </c>
      <c r="I3405">
        <v>-2.5</v>
      </c>
      <c r="J3405">
        <v>0</v>
      </c>
      <c r="K3405">
        <v>0</v>
      </c>
      <c r="L3405">
        <v>0</v>
      </c>
      <c r="M3405" t="s">
        <v>188</v>
      </c>
      <c r="N3405">
        <v>7997.6922086900804</v>
      </c>
      <c r="O3405" t="s">
        <v>12</v>
      </c>
      <c r="P3405" t="b">
        <v>1</v>
      </c>
      <c r="Q3405">
        <v>5668.4893420188091</v>
      </c>
      <c r="R3405">
        <v>29470.14805333663</v>
      </c>
      <c r="S3405">
        <v>15.785113735084728</v>
      </c>
      <c r="T3405">
        <v>87.273509991766133</v>
      </c>
      <c r="U3405">
        <v>0</v>
      </c>
      <c r="V3405">
        <v>0</v>
      </c>
    </row>
    <row r="3406" spans="1:22" x14ac:dyDescent="0.2">
      <c r="A3406"/>
      <c r="B3406">
        <v>74097</v>
      </c>
      <c r="C3406" t="s">
        <v>1602</v>
      </c>
      <c r="D3406" t="s">
        <v>1045</v>
      </c>
      <c r="E3406" t="s">
        <v>1049</v>
      </c>
      <c r="F3406" t="s">
        <v>125</v>
      </c>
      <c r="G3406">
        <v>1337.0247234383696</v>
      </c>
      <c r="H3406" t="s">
        <v>1270</v>
      </c>
      <c r="I3406">
        <v>2.5</v>
      </c>
      <c r="J3406">
        <v>0</v>
      </c>
      <c r="K3406">
        <v>0</v>
      </c>
      <c r="L3406">
        <v>0</v>
      </c>
      <c r="M3406" t="s">
        <v>188</v>
      </c>
      <c r="N3406">
        <v>7997.6922086900804</v>
      </c>
      <c r="O3406" t="s">
        <v>12</v>
      </c>
      <c r="P3406" t="b">
        <v>0</v>
      </c>
      <c r="Q3406">
        <v>5668.4893420188091</v>
      </c>
      <c r="R3406">
        <v>29470.14805333663</v>
      </c>
      <c r="S3406">
        <v>15.785113735084728</v>
      </c>
      <c r="T3406">
        <v>-92.726490008233867</v>
      </c>
      <c r="U3406">
        <v>0</v>
      </c>
      <c r="V3406">
        <v>0</v>
      </c>
    </row>
    <row r="3407" spans="1:22" x14ac:dyDescent="0.2">
      <c r="A3407"/>
      <c r="B3407">
        <v>74098</v>
      </c>
      <c r="C3407" t="s">
        <v>1603</v>
      </c>
      <c r="D3407" t="s">
        <v>1045</v>
      </c>
      <c r="E3407" t="s">
        <v>1050</v>
      </c>
      <c r="F3407" t="s">
        <v>126</v>
      </c>
      <c r="G3407">
        <v>113.47184006121779</v>
      </c>
      <c r="H3407" t="s">
        <v>12</v>
      </c>
      <c r="I3407">
        <v>-2.5</v>
      </c>
      <c r="J3407">
        <v>0</v>
      </c>
      <c r="K3407">
        <v>0</v>
      </c>
      <c r="L3407">
        <v>0</v>
      </c>
      <c r="M3407" t="s">
        <v>188</v>
      </c>
      <c r="N3407">
        <v>8128.7220487797304</v>
      </c>
      <c r="O3407" t="s">
        <v>12</v>
      </c>
      <c r="P3407" t="b">
        <v>1</v>
      </c>
      <c r="Q3407">
        <v>5675.3131383558739</v>
      </c>
      <c r="R3407">
        <v>29601.006152179492</v>
      </c>
      <c r="S3407">
        <v>13.286312680475779</v>
      </c>
      <c r="T3407">
        <v>86.558531499773181</v>
      </c>
      <c r="U3407">
        <v>0</v>
      </c>
      <c r="V3407">
        <v>0</v>
      </c>
    </row>
    <row r="3408" spans="1:22" x14ac:dyDescent="0.2">
      <c r="A3408"/>
      <c r="B3408">
        <v>74099</v>
      </c>
      <c r="C3408" t="s">
        <v>1604</v>
      </c>
      <c r="D3408" t="s">
        <v>1045</v>
      </c>
      <c r="E3408" t="s">
        <v>1048</v>
      </c>
      <c r="F3408" t="s">
        <v>126</v>
      </c>
      <c r="G3408">
        <v>113.47184006121779</v>
      </c>
      <c r="H3408" t="s">
        <v>1270</v>
      </c>
      <c r="I3408">
        <v>2.5</v>
      </c>
      <c r="J3408">
        <v>0</v>
      </c>
      <c r="K3408">
        <v>0</v>
      </c>
      <c r="L3408">
        <v>0</v>
      </c>
      <c r="M3408" t="s">
        <v>188</v>
      </c>
      <c r="N3408">
        <v>8128.7220487797304</v>
      </c>
      <c r="O3408" t="s">
        <v>12</v>
      </c>
      <c r="P3408" t="b">
        <v>0</v>
      </c>
      <c r="Q3408">
        <v>5675.3131383558739</v>
      </c>
      <c r="R3408">
        <v>29601.006152179492</v>
      </c>
      <c r="S3408">
        <v>13.286312680475779</v>
      </c>
      <c r="T3408">
        <v>-93.441468500226819</v>
      </c>
      <c r="U3408">
        <v>0</v>
      </c>
      <c r="V3408">
        <v>0</v>
      </c>
    </row>
    <row r="3409" spans="1:22" x14ac:dyDescent="0.2">
      <c r="A3409"/>
      <c r="B3409">
        <v>74100</v>
      </c>
      <c r="C3409" t="s">
        <v>1605</v>
      </c>
      <c r="D3409" t="s">
        <v>1045</v>
      </c>
      <c r="E3409" t="s">
        <v>1049</v>
      </c>
      <c r="F3409" t="s">
        <v>126</v>
      </c>
      <c r="G3409">
        <v>224.58928904309732</v>
      </c>
      <c r="H3409" t="s">
        <v>12</v>
      </c>
      <c r="I3409">
        <v>-2.5</v>
      </c>
      <c r="J3409">
        <v>0</v>
      </c>
      <c r="K3409">
        <v>0</v>
      </c>
      <c r="L3409">
        <v>0</v>
      </c>
      <c r="M3409" t="s">
        <v>188</v>
      </c>
      <c r="N3409">
        <v>8239.8394977616099</v>
      </c>
      <c r="O3409" t="s">
        <v>12</v>
      </c>
      <c r="P3409" t="b">
        <v>1</v>
      </c>
      <c r="Q3409">
        <v>5690.6738349347215</v>
      </c>
      <c r="R3409">
        <v>29711.20433444739</v>
      </c>
      <c r="S3409">
        <v>11.184519217103675</v>
      </c>
      <c r="T3409">
        <v>80.096187296206239</v>
      </c>
      <c r="U3409">
        <v>0</v>
      </c>
      <c r="V3409">
        <v>0</v>
      </c>
    </row>
    <row r="3410" spans="1:22" x14ac:dyDescent="0.2">
      <c r="A3410"/>
      <c r="B3410">
        <v>74101</v>
      </c>
      <c r="C3410" t="s">
        <v>1606</v>
      </c>
      <c r="D3410" t="s">
        <v>1045</v>
      </c>
      <c r="E3410" t="s">
        <v>1050</v>
      </c>
      <c r="F3410" t="s">
        <v>126</v>
      </c>
      <c r="G3410">
        <v>224.58928904309732</v>
      </c>
      <c r="H3410" t="s">
        <v>1270</v>
      </c>
      <c r="I3410">
        <v>2.5</v>
      </c>
      <c r="J3410">
        <v>0</v>
      </c>
      <c r="K3410">
        <v>0</v>
      </c>
      <c r="L3410">
        <v>0</v>
      </c>
      <c r="M3410" t="s">
        <v>188</v>
      </c>
      <c r="N3410">
        <v>8239.8394977616099</v>
      </c>
      <c r="O3410" t="s">
        <v>12</v>
      </c>
      <c r="P3410" t="b">
        <v>0</v>
      </c>
      <c r="Q3410">
        <v>5690.6738349347215</v>
      </c>
      <c r="R3410">
        <v>29711.20433444739</v>
      </c>
      <c r="S3410">
        <v>11.184519217103675</v>
      </c>
      <c r="T3410">
        <v>-99.90381270379379</v>
      </c>
      <c r="U3410">
        <v>0</v>
      </c>
      <c r="V3410">
        <v>0</v>
      </c>
    </row>
    <row r="3411" spans="1:22" x14ac:dyDescent="0.2">
      <c r="A3411"/>
      <c r="B3411">
        <v>74102</v>
      </c>
      <c r="C3411" t="s">
        <v>1607</v>
      </c>
      <c r="D3411" t="s">
        <v>1045</v>
      </c>
      <c r="E3411" t="s">
        <v>1048</v>
      </c>
      <c r="F3411" t="s">
        <v>126</v>
      </c>
      <c r="G3411">
        <v>360.44746428367807</v>
      </c>
      <c r="H3411" t="s">
        <v>12</v>
      </c>
      <c r="I3411">
        <v>-2.5</v>
      </c>
      <c r="J3411">
        <v>0</v>
      </c>
      <c r="K3411">
        <v>0</v>
      </c>
      <c r="L3411">
        <v>0</v>
      </c>
      <c r="M3411" t="s">
        <v>188</v>
      </c>
      <c r="N3411">
        <v>8375.6976730021906</v>
      </c>
      <c r="O3411" t="s">
        <v>12</v>
      </c>
      <c r="P3411" t="b">
        <v>1</v>
      </c>
      <c r="Q3411">
        <v>5702.5901614987079</v>
      </c>
      <c r="R3411">
        <v>29846.010032879105</v>
      </c>
      <c r="S3411">
        <v>8.8341886407439141</v>
      </c>
      <c r="T3411">
        <v>87.844078755744462</v>
      </c>
      <c r="U3411">
        <v>0</v>
      </c>
      <c r="V3411">
        <v>0</v>
      </c>
    </row>
    <row r="3412" spans="1:22" x14ac:dyDescent="0.2">
      <c r="A3412"/>
      <c r="B3412">
        <v>74103</v>
      </c>
      <c r="C3412" t="s">
        <v>1608</v>
      </c>
      <c r="D3412" t="s">
        <v>1045</v>
      </c>
      <c r="E3412" t="s">
        <v>1049</v>
      </c>
      <c r="F3412" t="s">
        <v>126</v>
      </c>
      <c r="G3412">
        <v>360.44746428367807</v>
      </c>
      <c r="H3412" t="s">
        <v>1270</v>
      </c>
      <c r="I3412">
        <v>2.5</v>
      </c>
      <c r="J3412">
        <v>0</v>
      </c>
      <c r="K3412">
        <v>0</v>
      </c>
      <c r="L3412">
        <v>0</v>
      </c>
      <c r="M3412" t="s">
        <v>188</v>
      </c>
      <c r="N3412">
        <v>8375.6976730021906</v>
      </c>
      <c r="O3412" t="s">
        <v>12</v>
      </c>
      <c r="P3412" t="b">
        <v>0</v>
      </c>
      <c r="Q3412">
        <v>5702.5901614987079</v>
      </c>
      <c r="R3412">
        <v>29846.010032879105</v>
      </c>
      <c r="S3412">
        <v>8.8341886407439141</v>
      </c>
      <c r="T3412">
        <v>-92.155921244255552</v>
      </c>
      <c r="U3412">
        <v>0</v>
      </c>
      <c r="V3412">
        <v>0</v>
      </c>
    </row>
    <row r="3413" spans="1:22" x14ac:dyDescent="0.2">
      <c r="A3413"/>
      <c r="B3413">
        <v>74104</v>
      </c>
      <c r="C3413" t="s">
        <v>1609</v>
      </c>
      <c r="D3413" t="s">
        <v>1045</v>
      </c>
      <c r="E3413" t="s">
        <v>1050</v>
      </c>
      <c r="F3413" t="s">
        <v>126</v>
      </c>
      <c r="G3413">
        <v>632.92899186563909</v>
      </c>
      <c r="H3413" t="s">
        <v>12</v>
      </c>
      <c r="I3413">
        <v>-2.5</v>
      </c>
      <c r="J3413">
        <v>0</v>
      </c>
      <c r="K3413">
        <v>0</v>
      </c>
      <c r="L3413">
        <v>0</v>
      </c>
      <c r="M3413" t="s">
        <v>188</v>
      </c>
      <c r="N3413">
        <v>8648.1792005841507</v>
      </c>
      <c r="O3413" t="s">
        <v>12</v>
      </c>
      <c r="P3413" t="b">
        <v>1</v>
      </c>
      <c r="Q3413">
        <v>5711.8887230829951</v>
      </c>
      <c r="R3413">
        <v>30118.303662134971</v>
      </c>
      <c r="S3413">
        <v>7.5946608452671978</v>
      </c>
      <c r="T3413">
        <v>88.239490336856491</v>
      </c>
      <c r="U3413">
        <v>0</v>
      </c>
      <c r="V3413">
        <v>0</v>
      </c>
    </row>
    <row r="3414" spans="1:22" x14ac:dyDescent="0.2">
      <c r="A3414"/>
      <c r="B3414">
        <v>74105</v>
      </c>
      <c r="C3414" t="s">
        <v>1610</v>
      </c>
      <c r="D3414" t="s">
        <v>1045</v>
      </c>
      <c r="E3414" t="s">
        <v>1048</v>
      </c>
      <c r="F3414" t="s">
        <v>126</v>
      </c>
      <c r="G3414">
        <v>632.92899186563909</v>
      </c>
      <c r="H3414" t="s">
        <v>1270</v>
      </c>
      <c r="I3414">
        <v>2.5</v>
      </c>
      <c r="J3414">
        <v>0</v>
      </c>
      <c r="K3414">
        <v>0</v>
      </c>
      <c r="L3414">
        <v>0</v>
      </c>
      <c r="M3414" t="s">
        <v>188</v>
      </c>
      <c r="N3414">
        <v>8648.1792005841507</v>
      </c>
      <c r="O3414" t="s">
        <v>12</v>
      </c>
      <c r="P3414" t="b">
        <v>0</v>
      </c>
      <c r="Q3414">
        <v>5711.8887230829951</v>
      </c>
      <c r="R3414">
        <v>30118.303662134971</v>
      </c>
      <c r="S3414">
        <v>7.5946608452671978</v>
      </c>
      <c r="T3414">
        <v>-91.760509663143523</v>
      </c>
      <c r="U3414">
        <v>0</v>
      </c>
      <c r="V3414">
        <v>0</v>
      </c>
    </row>
    <row r="3415" spans="1:22" x14ac:dyDescent="0.2">
      <c r="A3415"/>
      <c r="B3415">
        <v>74106</v>
      </c>
      <c r="C3415" t="s">
        <v>1611</v>
      </c>
      <c r="D3415" t="s">
        <v>1045</v>
      </c>
      <c r="E3415" t="s">
        <v>1050</v>
      </c>
      <c r="F3415" t="s">
        <v>126</v>
      </c>
      <c r="G3415">
        <v>745.39040575530771</v>
      </c>
      <c r="H3415" t="s">
        <v>12</v>
      </c>
      <c r="I3415">
        <v>-2.5</v>
      </c>
      <c r="J3415">
        <v>0</v>
      </c>
      <c r="K3415">
        <v>0</v>
      </c>
      <c r="L3415">
        <v>0</v>
      </c>
      <c r="M3415" t="s">
        <v>188</v>
      </c>
      <c r="N3415">
        <v>8760.6406144738194</v>
      </c>
      <c r="O3415" t="s">
        <v>12</v>
      </c>
      <c r="P3415" t="b">
        <v>1</v>
      </c>
      <c r="Q3415">
        <v>5704.336483749018</v>
      </c>
      <c r="R3415">
        <v>30229.98334488758</v>
      </c>
      <c r="S3415">
        <v>5.0427951990143391</v>
      </c>
      <c r="T3415">
        <v>96.224862904361203</v>
      </c>
      <c r="U3415">
        <v>0</v>
      </c>
      <c r="V3415">
        <v>0</v>
      </c>
    </row>
    <row r="3416" spans="1:22" x14ac:dyDescent="0.2">
      <c r="A3416"/>
      <c r="B3416">
        <v>74107</v>
      </c>
      <c r="C3416" t="s">
        <v>1612</v>
      </c>
      <c r="D3416" t="s">
        <v>1045</v>
      </c>
      <c r="E3416" t="s">
        <v>1050</v>
      </c>
      <c r="F3416" t="s">
        <v>126</v>
      </c>
      <c r="G3416">
        <v>745.39040575530771</v>
      </c>
      <c r="H3416" t="s">
        <v>1270</v>
      </c>
      <c r="I3416">
        <v>2.5</v>
      </c>
      <c r="J3416">
        <v>0</v>
      </c>
      <c r="K3416">
        <v>0</v>
      </c>
      <c r="L3416">
        <v>0</v>
      </c>
      <c r="M3416" t="s">
        <v>188</v>
      </c>
      <c r="N3416">
        <v>8760.6406144738194</v>
      </c>
      <c r="O3416" t="s">
        <v>12</v>
      </c>
      <c r="P3416" t="b">
        <v>0</v>
      </c>
      <c r="Q3416">
        <v>5704.336483749018</v>
      </c>
      <c r="R3416">
        <v>30229.98334488758</v>
      </c>
      <c r="S3416">
        <v>5.0427951990143391</v>
      </c>
      <c r="T3416">
        <v>-83.775137095638797</v>
      </c>
      <c r="U3416">
        <v>0</v>
      </c>
      <c r="V3416">
        <v>0</v>
      </c>
    </row>
    <row r="3417" spans="1:22" x14ac:dyDescent="0.2">
      <c r="A3417"/>
      <c r="B3417">
        <v>74108</v>
      </c>
      <c r="C3417" t="s">
        <v>1613</v>
      </c>
      <c r="D3417" t="s">
        <v>1045</v>
      </c>
      <c r="E3417" t="s">
        <v>1048</v>
      </c>
      <c r="F3417" t="s">
        <v>126</v>
      </c>
      <c r="G3417">
        <v>863.60045786369801</v>
      </c>
      <c r="H3417" t="s">
        <v>12</v>
      </c>
      <c r="I3417">
        <v>-2.5</v>
      </c>
      <c r="J3417">
        <v>0</v>
      </c>
      <c r="K3417">
        <v>0</v>
      </c>
      <c r="L3417">
        <v>0</v>
      </c>
      <c r="M3417" t="s">
        <v>188</v>
      </c>
      <c r="N3417">
        <v>8878.8506665822097</v>
      </c>
      <c r="O3417" t="s">
        <v>12</v>
      </c>
      <c r="P3417" t="b">
        <v>1</v>
      </c>
      <c r="Q3417">
        <v>5702.8363903603349</v>
      </c>
      <c r="R3417">
        <v>30348.412708147389</v>
      </c>
      <c r="S3417">
        <v>4.8377462460775265</v>
      </c>
      <c r="T3417">
        <v>87.119560299393143</v>
      </c>
      <c r="U3417">
        <v>0</v>
      </c>
      <c r="V3417">
        <v>0</v>
      </c>
    </row>
    <row r="3418" spans="1:22" x14ac:dyDescent="0.2">
      <c r="A3418"/>
      <c r="B3418">
        <v>74109</v>
      </c>
      <c r="C3418" t="s">
        <v>1614</v>
      </c>
      <c r="D3418" t="s">
        <v>1045</v>
      </c>
      <c r="E3418" t="s">
        <v>1050</v>
      </c>
      <c r="F3418" t="s">
        <v>126</v>
      </c>
      <c r="G3418">
        <v>863.60045786369801</v>
      </c>
      <c r="H3418" t="s">
        <v>1270</v>
      </c>
      <c r="I3418">
        <v>2.5</v>
      </c>
      <c r="J3418">
        <v>0</v>
      </c>
      <c r="K3418">
        <v>0</v>
      </c>
      <c r="L3418">
        <v>0</v>
      </c>
      <c r="M3418" t="s">
        <v>188</v>
      </c>
      <c r="N3418">
        <v>8878.8506665822097</v>
      </c>
      <c r="O3418" t="s">
        <v>12</v>
      </c>
      <c r="P3418" t="b">
        <v>0</v>
      </c>
      <c r="Q3418">
        <v>5702.8363903603349</v>
      </c>
      <c r="R3418">
        <v>30348.412708147389</v>
      </c>
      <c r="S3418">
        <v>4.8377462460775265</v>
      </c>
      <c r="T3418">
        <v>-92.880439700606871</v>
      </c>
      <c r="U3418">
        <v>0</v>
      </c>
      <c r="V3418">
        <v>0</v>
      </c>
    </row>
    <row r="3419" spans="1:22" x14ac:dyDescent="0.2">
      <c r="A3419"/>
      <c r="B3419">
        <v>74110</v>
      </c>
      <c r="C3419" t="s">
        <v>1615</v>
      </c>
      <c r="D3419" t="s">
        <v>1045</v>
      </c>
      <c r="E3419" t="s">
        <v>1046</v>
      </c>
      <c r="F3419" t="s">
        <v>126</v>
      </c>
      <c r="G3419">
        <v>887.86049594369661</v>
      </c>
      <c r="H3419" t="s">
        <v>12</v>
      </c>
      <c r="I3419">
        <v>-2.5</v>
      </c>
      <c r="J3419">
        <v>0</v>
      </c>
      <c r="K3419">
        <v>0</v>
      </c>
      <c r="L3419">
        <v>0</v>
      </c>
      <c r="M3419" t="s">
        <v>188</v>
      </c>
      <c r="N3419">
        <v>8903.1107046622092</v>
      </c>
      <c r="O3419" t="s">
        <v>12</v>
      </c>
      <c r="P3419" t="b">
        <v>1</v>
      </c>
      <c r="Q3419">
        <v>5704.0673352298372</v>
      </c>
      <c r="R3419">
        <v>30372.635864114232</v>
      </c>
      <c r="S3419">
        <v>4.9607947967575647</v>
      </c>
      <c r="T3419">
        <v>87.241141224327762</v>
      </c>
      <c r="U3419">
        <v>0</v>
      </c>
      <c r="V3419">
        <v>0</v>
      </c>
    </row>
    <row r="3420" spans="1:22" x14ac:dyDescent="0.2">
      <c r="A3420"/>
      <c r="B3420">
        <v>74111</v>
      </c>
      <c r="C3420" t="s">
        <v>1616</v>
      </c>
      <c r="D3420" t="s">
        <v>1045</v>
      </c>
      <c r="E3420" t="s">
        <v>1048</v>
      </c>
      <c r="F3420" t="s">
        <v>126</v>
      </c>
      <c r="G3420">
        <v>887.86049594369661</v>
      </c>
      <c r="H3420" t="s">
        <v>1270</v>
      </c>
      <c r="I3420">
        <v>2.5</v>
      </c>
      <c r="J3420">
        <v>0</v>
      </c>
      <c r="K3420">
        <v>0</v>
      </c>
      <c r="L3420">
        <v>0</v>
      </c>
      <c r="M3420" t="s">
        <v>188</v>
      </c>
      <c r="N3420">
        <v>8903.1107046622092</v>
      </c>
      <c r="O3420" t="s">
        <v>12</v>
      </c>
      <c r="P3420" t="b">
        <v>0</v>
      </c>
      <c r="Q3420">
        <v>5704.0673352298372</v>
      </c>
      <c r="R3420">
        <v>30372.635864114232</v>
      </c>
      <c r="S3420">
        <v>4.9607947967575647</v>
      </c>
      <c r="T3420">
        <v>-92.758858775672238</v>
      </c>
      <c r="U3420">
        <v>0</v>
      </c>
      <c r="V3420">
        <v>0</v>
      </c>
    </row>
    <row r="3421" spans="1:22" x14ac:dyDescent="0.2">
      <c r="A3421"/>
      <c r="B3421">
        <v>74112</v>
      </c>
      <c r="C3421" t="s">
        <v>1617</v>
      </c>
      <c r="D3421" t="s">
        <v>1045</v>
      </c>
      <c r="E3421" t="s">
        <v>1048</v>
      </c>
      <c r="F3421" t="s">
        <v>126</v>
      </c>
      <c r="G3421">
        <v>1057.0921647338878</v>
      </c>
      <c r="H3421" t="s">
        <v>12</v>
      </c>
      <c r="I3421">
        <v>-2.5</v>
      </c>
      <c r="J3421">
        <v>0</v>
      </c>
      <c r="K3421">
        <v>0</v>
      </c>
      <c r="L3421">
        <v>0</v>
      </c>
      <c r="M3421" t="s">
        <v>188</v>
      </c>
      <c r="N3421">
        <v>9072.3423734524004</v>
      </c>
      <c r="O3421" t="s">
        <v>12</v>
      </c>
      <c r="P3421" t="b">
        <v>1</v>
      </c>
      <c r="Q3421">
        <v>5765.753710559813</v>
      </c>
      <c r="R3421">
        <v>30528.541992639599</v>
      </c>
      <c r="S3421">
        <v>7.5091816957116313</v>
      </c>
      <c r="T3421">
        <v>56.030029289332532</v>
      </c>
      <c r="U3421">
        <v>0</v>
      </c>
      <c r="V3421">
        <v>0</v>
      </c>
    </row>
    <row r="3422" spans="1:22" x14ac:dyDescent="0.2">
      <c r="A3422"/>
      <c r="B3422">
        <v>74113</v>
      </c>
      <c r="C3422" t="s">
        <v>1618</v>
      </c>
      <c r="D3422" t="s">
        <v>1045</v>
      </c>
      <c r="E3422" t="s">
        <v>1046</v>
      </c>
      <c r="F3422" t="s">
        <v>126</v>
      </c>
      <c r="G3422">
        <v>1057.0921647338878</v>
      </c>
      <c r="H3422" t="s">
        <v>1270</v>
      </c>
      <c r="I3422">
        <v>2.5</v>
      </c>
      <c r="J3422">
        <v>0</v>
      </c>
      <c r="K3422">
        <v>0</v>
      </c>
      <c r="L3422">
        <v>0</v>
      </c>
      <c r="M3422" t="s">
        <v>188</v>
      </c>
      <c r="N3422">
        <v>9072.3423734524004</v>
      </c>
      <c r="O3422" t="s">
        <v>12</v>
      </c>
      <c r="P3422" t="b">
        <v>0</v>
      </c>
      <c r="Q3422">
        <v>5765.753710559813</v>
      </c>
      <c r="R3422">
        <v>30528.541992639599</v>
      </c>
      <c r="S3422">
        <v>7.5091816957116313</v>
      </c>
      <c r="T3422">
        <v>-123.96997071066747</v>
      </c>
      <c r="U3422">
        <v>0</v>
      </c>
      <c r="V3422">
        <v>0</v>
      </c>
    </row>
    <row r="3423" spans="1:22" x14ac:dyDescent="0.2">
      <c r="A3423"/>
      <c r="B3423">
        <v>74114</v>
      </c>
      <c r="C3423" t="s">
        <v>1619</v>
      </c>
      <c r="D3423" t="s">
        <v>1045</v>
      </c>
      <c r="E3423" t="s">
        <v>1049</v>
      </c>
      <c r="F3423" t="s">
        <v>126</v>
      </c>
      <c r="G3423">
        <v>1149.6982138544777</v>
      </c>
      <c r="H3423" t="s">
        <v>12</v>
      </c>
      <c r="I3423">
        <v>-2.5</v>
      </c>
      <c r="J3423">
        <v>0</v>
      </c>
      <c r="K3423">
        <v>0</v>
      </c>
      <c r="L3423">
        <v>0</v>
      </c>
      <c r="M3423" t="s">
        <v>188</v>
      </c>
      <c r="N3423">
        <v>9164.9484225729902</v>
      </c>
      <c r="O3423" t="s">
        <v>12</v>
      </c>
      <c r="P3423" t="b">
        <v>1</v>
      </c>
      <c r="Q3423">
        <v>5817.7089242333004</v>
      </c>
      <c r="R3423">
        <v>30605.165251742703</v>
      </c>
      <c r="S3423">
        <v>9.3437243572350059</v>
      </c>
      <c r="T3423">
        <v>56.276501877177679</v>
      </c>
      <c r="U3423">
        <v>0</v>
      </c>
      <c r="V3423">
        <v>0</v>
      </c>
    </row>
    <row r="3424" spans="1:22" x14ac:dyDescent="0.2">
      <c r="A3424"/>
      <c r="B3424">
        <v>74115</v>
      </c>
      <c r="C3424" t="s">
        <v>1620</v>
      </c>
      <c r="D3424" t="s">
        <v>1045</v>
      </c>
      <c r="E3424" t="s">
        <v>1048</v>
      </c>
      <c r="F3424" t="s">
        <v>126</v>
      </c>
      <c r="G3424">
        <v>1149.6982138544777</v>
      </c>
      <c r="H3424" t="s">
        <v>1270</v>
      </c>
      <c r="I3424">
        <v>2.5</v>
      </c>
      <c r="J3424">
        <v>0</v>
      </c>
      <c r="K3424">
        <v>0</v>
      </c>
      <c r="L3424">
        <v>0</v>
      </c>
      <c r="M3424" t="s">
        <v>188</v>
      </c>
      <c r="N3424">
        <v>9164.9484225729902</v>
      </c>
      <c r="O3424" t="s">
        <v>12</v>
      </c>
      <c r="P3424" t="b">
        <v>0</v>
      </c>
      <c r="Q3424">
        <v>5817.7089242333004</v>
      </c>
      <c r="R3424">
        <v>30605.165251742703</v>
      </c>
      <c r="S3424">
        <v>9.3437243572350059</v>
      </c>
      <c r="T3424">
        <v>-123.72349812282235</v>
      </c>
      <c r="U3424">
        <v>0</v>
      </c>
      <c r="V3424">
        <v>0</v>
      </c>
    </row>
    <row r="3425" spans="1:22" x14ac:dyDescent="0.2">
      <c r="A3425"/>
      <c r="B3425">
        <v>74116</v>
      </c>
      <c r="C3425" t="s">
        <v>1621</v>
      </c>
      <c r="D3425" t="s">
        <v>1045</v>
      </c>
      <c r="E3425" t="s">
        <v>1048</v>
      </c>
      <c r="F3425" t="s">
        <v>126</v>
      </c>
      <c r="G3425">
        <v>1391.3175983714577</v>
      </c>
      <c r="H3425" t="s">
        <v>12</v>
      </c>
      <c r="I3425">
        <v>-2.5</v>
      </c>
      <c r="J3425">
        <v>0</v>
      </c>
      <c r="K3425">
        <v>0</v>
      </c>
      <c r="L3425">
        <v>0</v>
      </c>
      <c r="M3425" t="s">
        <v>188</v>
      </c>
      <c r="N3425">
        <v>9406.5678070899703</v>
      </c>
      <c r="O3425" t="s">
        <v>12</v>
      </c>
      <c r="P3425" t="b">
        <v>1</v>
      </c>
      <c r="Q3425">
        <v>5911.4368513693435</v>
      </c>
      <c r="R3425">
        <v>30825.255834059335</v>
      </c>
      <c r="S3425">
        <v>9.7135483295555858</v>
      </c>
      <c r="T3425">
        <v>74.960031928865718</v>
      </c>
      <c r="U3425">
        <v>0</v>
      </c>
      <c r="V3425">
        <v>0</v>
      </c>
    </row>
    <row r="3426" spans="1:22" x14ac:dyDescent="0.2">
      <c r="A3426"/>
      <c r="B3426">
        <v>74117</v>
      </c>
      <c r="C3426" t="s">
        <v>1622</v>
      </c>
      <c r="D3426" t="s">
        <v>1045</v>
      </c>
      <c r="E3426" t="s">
        <v>1049</v>
      </c>
      <c r="F3426" t="s">
        <v>126</v>
      </c>
      <c r="G3426">
        <v>1391.3175983714577</v>
      </c>
      <c r="H3426" t="s">
        <v>1270</v>
      </c>
      <c r="I3426">
        <v>2.5</v>
      </c>
      <c r="J3426">
        <v>0</v>
      </c>
      <c r="K3426">
        <v>0</v>
      </c>
      <c r="L3426">
        <v>0</v>
      </c>
      <c r="M3426" t="s">
        <v>188</v>
      </c>
      <c r="N3426">
        <v>9406.5678070899703</v>
      </c>
      <c r="O3426" t="s">
        <v>12</v>
      </c>
      <c r="P3426" t="b">
        <v>0</v>
      </c>
      <c r="Q3426">
        <v>5911.4368513693435</v>
      </c>
      <c r="R3426">
        <v>30825.255834059335</v>
      </c>
      <c r="S3426">
        <v>9.7135483295555858</v>
      </c>
      <c r="T3426">
        <v>-105.03996807113428</v>
      </c>
      <c r="U3426">
        <v>0</v>
      </c>
      <c r="V3426">
        <v>0</v>
      </c>
    </row>
    <row r="3427" spans="1:22" x14ac:dyDescent="0.2">
      <c r="A3427"/>
      <c r="B3427">
        <v>74118</v>
      </c>
      <c r="C3427" t="s">
        <v>1623</v>
      </c>
      <c r="D3427" t="s">
        <v>1045</v>
      </c>
      <c r="E3427" t="s">
        <v>1048</v>
      </c>
      <c r="F3427" t="s">
        <v>126</v>
      </c>
      <c r="G3427">
        <v>1558.6657542981779</v>
      </c>
      <c r="H3427" t="s">
        <v>12</v>
      </c>
      <c r="I3427">
        <v>-2.5</v>
      </c>
      <c r="J3427">
        <v>0</v>
      </c>
      <c r="K3427">
        <v>0</v>
      </c>
      <c r="L3427">
        <v>0</v>
      </c>
      <c r="M3427" t="s">
        <v>188</v>
      </c>
      <c r="N3427">
        <v>9573.9159630166905</v>
      </c>
      <c r="O3427" t="s">
        <v>12</v>
      </c>
      <c r="P3427" t="b">
        <v>1</v>
      </c>
      <c r="Q3427">
        <v>5953.9937702431935</v>
      </c>
      <c r="R3427">
        <v>30987.067175507724</v>
      </c>
      <c r="S3427">
        <v>8.992998873490528</v>
      </c>
      <c r="T3427">
        <v>75.607122833614966</v>
      </c>
      <c r="U3427">
        <v>0</v>
      </c>
      <c r="V3427">
        <v>0</v>
      </c>
    </row>
    <row r="3428" spans="1:22" x14ac:dyDescent="0.2">
      <c r="A3428"/>
      <c r="B3428">
        <v>74119</v>
      </c>
      <c r="C3428" t="s">
        <v>1624</v>
      </c>
      <c r="D3428" t="s">
        <v>1045</v>
      </c>
      <c r="E3428" t="s">
        <v>1048</v>
      </c>
      <c r="F3428" t="s">
        <v>126</v>
      </c>
      <c r="G3428">
        <v>1558.6657542981779</v>
      </c>
      <c r="H3428" t="s">
        <v>1270</v>
      </c>
      <c r="I3428">
        <v>2.5</v>
      </c>
      <c r="J3428">
        <v>0</v>
      </c>
      <c r="K3428">
        <v>0</v>
      </c>
      <c r="L3428">
        <v>0</v>
      </c>
      <c r="M3428" t="s">
        <v>188</v>
      </c>
      <c r="N3428">
        <v>9573.9159630166905</v>
      </c>
      <c r="O3428" t="s">
        <v>12</v>
      </c>
      <c r="P3428" t="b">
        <v>0</v>
      </c>
      <c r="Q3428">
        <v>5953.9937702431935</v>
      </c>
      <c r="R3428">
        <v>30987.067175507724</v>
      </c>
      <c r="S3428">
        <v>8.992998873490528</v>
      </c>
      <c r="T3428">
        <v>-104.39287716638505</v>
      </c>
      <c r="U3428">
        <v>0</v>
      </c>
      <c r="V3428">
        <v>0</v>
      </c>
    </row>
    <row r="3429" spans="1:22" x14ac:dyDescent="0.2">
      <c r="A3429"/>
      <c r="B3429">
        <v>74120</v>
      </c>
      <c r="C3429" t="s">
        <v>1625</v>
      </c>
      <c r="D3429" t="s">
        <v>1045</v>
      </c>
      <c r="E3429" t="s">
        <v>1048</v>
      </c>
      <c r="F3429" t="s">
        <v>126</v>
      </c>
      <c r="G3429">
        <v>1642.1485379863375</v>
      </c>
      <c r="H3429" t="s">
        <v>12</v>
      </c>
      <c r="I3429">
        <v>-2.5</v>
      </c>
      <c r="J3429">
        <v>0</v>
      </c>
      <c r="K3429">
        <v>0</v>
      </c>
      <c r="L3429">
        <v>0</v>
      </c>
      <c r="M3429" t="s">
        <v>188</v>
      </c>
      <c r="N3429">
        <v>9657.3987467048501</v>
      </c>
      <c r="O3429" t="s">
        <v>12</v>
      </c>
      <c r="P3429" t="b">
        <v>1</v>
      </c>
      <c r="Q3429">
        <v>5973.7212834464326</v>
      </c>
      <c r="R3429">
        <v>31068.125339591868</v>
      </c>
      <c r="S3429">
        <v>8.98795711621894</v>
      </c>
      <c r="T3429">
        <v>76.871710958233507</v>
      </c>
      <c r="U3429">
        <v>0</v>
      </c>
      <c r="V3429">
        <v>0</v>
      </c>
    </row>
    <row r="3430" spans="1:22" x14ac:dyDescent="0.2">
      <c r="A3430"/>
      <c r="B3430">
        <v>74121</v>
      </c>
      <c r="C3430" t="s">
        <v>1626</v>
      </c>
      <c r="D3430" t="s">
        <v>1045</v>
      </c>
      <c r="E3430" t="s">
        <v>1048</v>
      </c>
      <c r="F3430" t="s">
        <v>126</v>
      </c>
      <c r="G3430">
        <v>1642.1485379863375</v>
      </c>
      <c r="H3430" t="s">
        <v>1270</v>
      </c>
      <c r="I3430">
        <v>2.5</v>
      </c>
      <c r="J3430">
        <v>0</v>
      </c>
      <c r="K3430">
        <v>0</v>
      </c>
      <c r="L3430">
        <v>0</v>
      </c>
      <c r="M3430" t="s">
        <v>188</v>
      </c>
      <c r="N3430">
        <v>9657.3987467048501</v>
      </c>
      <c r="O3430" t="s">
        <v>12</v>
      </c>
      <c r="P3430" t="b">
        <v>0</v>
      </c>
      <c r="Q3430">
        <v>5973.7212834464326</v>
      </c>
      <c r="R3430">
        <v>31068.125339591868</v>
      </c>
      <c r="S3430">
        <v>8.98795711621894</v>
      </c>
      <c r="T3430">
        <v>-103.12828904176651</v>
      </c>
      <c r="U3430">
        <v>0</v>
      </c>
      <c r="V3430">
        <v>0</v>
      </c>
    </row>
    <row r="3431" spans="1:22" x14ac:dyDescent="0.2">
      <c r="A3431"/>
      <c r="B3431">
        <v>74122</v>
      </c>
      <c r="C3431" t="s">
        <v>1627</v>
      </c>
      <c r="D3431" t="s">
        <v>1045</v>
      </c>
      <c r="E3431" t="s">
        <v>1050</v>
      </c>
      <c r="F3431" t="s">
        <v>126</v>
      </c>
      <c r="G3431">
        <v>1860.8910891824275</v>
      </c>
      <c r="H3431" t="s">
        <v>12</v>
      </c>
      <c r="I3431">
        <v>-2.5</v>
      </c>
      <c r="J3431">
        <v>0</v>
      </c>
      <c r="K3431">
        <v>0</v>
      </c>
      <c r="L3431">
        <v>0</v>
      </c>
      <c r="M3431" t="s">
        <v>188</v>
      </c>
      <c r="N3431">
        <v>9876.1412979009401</v>
      </c>
      <c r="O3431" t="s">
        <v>12</v>
      </c>
      <c r="P3431" t="b">
        <v>1</v>
      </c>
      <c r="Q3431">
        <v>6023.2787073872587</v>
      </c>
      <c r="R3431">
        <v>31281.188734377061</v>
      </c>
      <c r="S3431">
        <v>8.9784919699049581</v>
      </c>
      <c r="T3431">
        <v>76.674862961621486</v>
      </c>
      <c r="U3431">
        <v>0</v>
      </c>
      <c r="V3431">
        <v>0</v>
      </c>
    </row>
    <row r="3432" spans="1:22" x14ac:dyDescent="0.2">
      <c r="A3432"/>
      <c r="B3432">
        <v>74123</v>
      </c>
      <c r="C3432" t="s">
        <v>1628</v>
      </c>
      <c r="D3432" t="s">
        <v>1045</v>
      </c>
      <c r="E3432" t="s">
        <v>1048</v>
      </c>
      <c r="F3432" t="s">
        <v>126</v>
      </c>
      <c r="G3432">
        <v>1860.8910891824275</v>
      </c>
      <c r="H3432" t="s">
        <v>1270</v>
      </c>
      <c r="I3432">
        <v>2.5</v>
      </c>
      <c r="J3432">
        <v>0</v>
      </c>
      <c r="K3432">
        <v>0</v>
      </c>
      <c r="L3432">
        <v>0</v>
      </c>
      <c r="M3432" t="s">
        <v>188</v>
      </c>
      <c r="N3432">
        <v>9876.1412979009401</v>
      </c>
      <c r="O3432" t="s">
        <v>12</v>
      </c>
      <c r="P3432" t="b">
        <v>0</v>
      </c>
      <c r="Q3432">
        <v>6023.2787073872587</v>
      </c>
      <c r="R3432">
        <v>31281.188734377061</v>
      </c>
      <c r="S3432">
        <v>8.9784919699049581</v>
      </c>
      <c r="T3432">
        <v>-103.32513703837853</v>
      </c>
      <c r="U3432">
        <v>0</v>
      </c>
      <c r="V3432">
        <v>0</v>
      </c>
    </row>
    <row r="3433" spans="1:22" x14ac:dyDescent="0.2">
      <c r="A3433"/>
      <c r="B3433">
        <v>74124</v>
      </c>
      <c r="C3433" t="s">
        <v>1629</v>
      </c>
      <c r="D3433" t="s">
        <v>1045</v>
      </c>
      <c r="E3433" t="s">
        <v>1048</v>
      </c>
      <c r="F3433" t="s">
        <v>126</v>
      </c>
      <c r="G3433">
        <v>1979.8074586146072</v>
      </c>
      <c r="H3433" t="s">
        <v>12</v>
      </c>
      <c r="I3433">
        <v>-2.5</v>
      </c>
      <c r="J3433">
        <v>0</v>
      </c>
      <c r="K3433">
        <v>0</v>
      </c>
      <c r="L3433">
        <v>0</v>
      </c>
      <c r="M3433" t="s">
        <v>188</v>
      </c>
      <c r="N3433">
        <v>9995.0576673331198</v>
      </c>
      <c r="O3433" t="s">
        <v>12</v>
      </c>
      <c r="P3433" t="b">
        <v>1</v>
      </c>
      <c r="Q3433">
        <v>6061.7159994638259</v>
      </c>
      <c r="R3433">
        <v>31393.910084524901</v>
      </c>
      <c r="S3433">
        <v>6.6512689278041206</v>
      </c>
      <c r="T3433">
        <v>67.738441100958255</v>
      </c>
      <c r="U3433">
        <v>0</v>
      </c>
      <c r="V3433">
        <v>0</v>
      </c>
    </row>
    <row r="3434" spans="1:22" x14ac:dyDescent="0.2">
      <c r="A3434"/>
      <c r="B3434">
        <v>74125</v>
      </c>
      <c r="C3434" t="s">
        <v>1630</v>
      </c>
      <c r="D3434" t="s">
        <v>1045</v>
      </c>
      <c r="E3434" t="s">
        <v>1050</v>
      </c>
      <c r="F3434" t="s">
        <v>126</v>
      </c>
      <c r="G3434">
        <v>1979.8074586146072</v>
      </c>
      <c r="H3434" t="s">
        <v>1270</v>
      </c>
      <c r="I3434">
        <v>2.5</v>
      </c>
      <c r="J3434">
        <v>0</v>
      </c>
      <c r="K3434">
        <v>0</v>
      </c>
      <c r="L3434">
        <v>0</v>
      </c>
      <c r="M3434" t="s">
        <v>188</v>
      </c>
      <c r="N3434">
        <v>9995.0576673331198</v>
      </c>
      <c r="O3434" t="s">
        <v>12</v>
      </c>
      <c r="P3434" t="b">
        <v>0</v>
      </c>
      <c r="Q3434">
        <v>6061.7159994638259</v>
      </c>
      <c r="R3434">
        <v>31393.910084524901</v>
      </c>
      <c r="S3434">
        <v>6.6512689278041206</v>
      </c>
      <c r="T3434">
        <v>-112.26155889904176</v>
      </c>
      <c r="U3434">
        <v>0</v>
      </c>
      <c r="V3434">
        <v>0</v>
      </c>
    </row>
    <row r="3435" spans="1:22" x14ac:dyDescent="0.2">
      <c r="A3435"/>
      <c r="B3435">
        <v>74126</v>
      </c>
      <c r="C3435" t="s">
        <v>1631</v>
      </c>
      <c r="D3435" t="s">
        <v>1045</v>
      </c>
      <c r="E3435" t="s">
        <v>1050</v>
      </c>
      <c r="F3435" t="s">
        <v>126</v>
      </c>
      <c r="G3435">
        <v>2043.0719089088875</v>
      </c>
      <c r="H3435" t="s">
        <v>12</v>
      </c>
      <c r="I3435">
        <v>-2.5</v>
      </c>
      <c r="J3435">
        <v>0</v>
      </c>
      <c r="K3435">
        <v>0</v>
      </c>
      <c r="L3435">
        <v>0</v>
      </c>
      <c r="M3435" t="s">
        <v>188</v>
      </c>
      <c r="N3435">
        <v>10058.3221176274</v>
      </c>
      <c r="O3435" t="s">
        <v>12</v>
      </c>
      <c r="P3435" t="b">
        <v>1</v>
      </c>
      <c r="Q3435">
        <v>6085.7421736652059</v>
      </c>
      <c r="R3435">
        <v>31452.415131564398</v>
      </c>
      <c r="S3435">
        <v>4.9711546535458568</v>
      </c>
      <c r="T3435">
        <v>67.641781031534492</v>
      </c>
      <c r="U3435">
        <v>0</v>
      </c>
      <c r="V3435">
        <v>0</v>
      </c>
    </row>
    <row r="3436" spans="1:22" x14ac:dyDescent="0.2">
      <c r="A3436"/>
      <c r="B3436">
        <v>74127</v>
      </c>
      <c r="C3436" t="s">
        <v>1632</v>
      </c>
      <c r="D3436" t="s">
        <v>1045</v>
      </c>
      <c r="E3436" t="s">
        <v>1048</v>
      </c>
      <c r="F3436" t="s">
        <v>126</v>
      </c>
      <c r="G3436">
        <v>2043.0719089088875</v>
      </c>
      <c r="H3436" t="s">
        <v>1270</v>
      </c>
      <c r="I3436">
        <v>2.5</v>
      </c>
      <c r="J3436">
        <v>0</v>
      </c>
      <c r="K3436">
        <v>0</v>
      </c>
      <c r="L3436">
        <v>0</v>
      </c>
      <c r="M3436" t="s">
        <v>188</v>
      </c>
      <c r="N3436">
        <v>10058.3221176274</v>
      </c>
      <c r="O3436" t="s">
        <v>12</v>
      </c>
      <c r="P3436" t="b">
        <v>0</v>
      </c>
      <c r="Q3436">
        <v>6085.7421736652059</v>
      </c>
      <c r="R3436">
        <v>31452.415131564398</v>
      </c>
      <c r="S3436">
        <v>4.9711546535458568</v>
      </c>
      <c r="T3436">
        <v>-112.35821896846552</v>
      </c>
      <c r="U3436">
        <v>0</v>
      </c>
      <c r="V3436">
        <v>0</v>
      </c>
    </row>
    <row r="3437" spans="1:22" x14ac:dyDescent="0.2">
      <c r="A3437"/>
      <c r="B3437">
        <v>74128</v>
      </c>
      <c r="C3437" t="s">
        <v>1633</v>
      </c>
      <c r="D3437" t="s">
        <v>1045</v>
      </c>
      <c r="E3437" t="s">
        <v>1048</v>
      </c>
      <c r="F3437" t="s">
        <v>126</v>
      </c>
      <c r="G3437">
        <v>2188.5928975375869</v>
      </c>
      <c r="H3437" t="s">
        <v>12</v>
      </c>
      <c r="I3437">
        <v>-2.5</v>
      </c>
      <c r="J3437">
        <v>0</v>
      </c>
      <c r="K3437">
        <v>0</v>
      </c>
      <c r="L3437">
        <v>0</v>
      </c>
      <c r="M3437" t="s">
        <v>188</v>
      </c>
      <c r="N3437">
        <v>10203.843106256099</v>
      </c>
      <c r="O3437" t="s">
        <v>12</v>
      </c>
      <c r="P3437" t="b">
        <v>1</v>
      </c>
      <c r="Q3437">
        <v>6156.9822371525552</v>
      </c>
      <c r="R3437">
        <v>31579.444783840863</v>
      </c>
      <c r="S3437">
        <v>1.2682604089396694</v>
      </c>
      <c r="T3437">
        <v>55.989871729574055</v>
      </c>
      <c r="U3437">
        <v>0</v>
      </c>
      <c r="V3437">
        <v>0</v>
      </c>
    </row>
    <row r="3438" spans="1:22" x14ac:dyDescent="0.2">
      <c r="A3438"/>
      <c r="B3438">
        <v>74129</v>
      </c>
      <c r="C3438" t="s">
        <v>1634</v>
      </c>
      <c r="D3438" t="s">
        <v>1045</v>
      </c>
      <c r="E3438" t="s">
        <v>1050</v>
      </c>
      <c r="F3438" t="s">
        <v>126</v>
      </c>
      <c r="G3438">
        <v>2188.5928975375869</v>
      </c>
      <c r="H3438" t="s">
        <v>1270</v>
      </c>
      <c r="I3438">
        <v>2.5</v>
      </c>
      <c r="J3438">
        <v>0</v>
      </c>
      <c r="K3438">
        <v>0</v>
      </c>
      <c r="L3438">
        <v>0</v>
      </c>
      <c r="M3438" t="s">
        <v>188</v>
      </c>
      <c r="N3438">
        <v>10203.843106256099</v>
      </c>
      <c r="O3438" t="s">
        <v>12</v>
      </c>
      <c r="P3438" t="b">
        <v>0</v>
      </c>
      <c r="Q3438">
        <v>6156.9822371525552</v>
      </c>
      <c r="R3438">
        <v>31579.444783840863</v>
      </c>
      <c r="S3438">
        <v>1.2682604089396694</v>
      </c>
      <c r="T3438">
        <v>-124.01012827042597</v>
      </c>
      <c r="U3438">
        <v>0</v>
      </c>
      <c r="V3438">
        <v>0</v>
      </c>
    </row>
    <row r="3439" spans="1:22" x14ac:dyDescent="0.2">
      <c r="A3439"/>
      <c r="B3439">
        <v>74130</v>
      </c>
      <c r="C3439" t="s">
        <v>1635</v>
      </c>
      <c r="D3439" t="s">
        <v>1045</v>
      </c>
      <c r="E3439" t="s">
        <v>1050</v>
      </c>
      <c r="F3439" t="s">
        <v>126</v>
      </c>
      <c r="G3439">
        <v>2236.2398870056882</v>
      </c>
      <c r="H3439" t="s">
        <v>12</v>
      </c>
      <c r="I3439">
        <v>-2.5</v>
      </c>
      <c r="J3439">
        <v>0</v>
      </c>
      <c r="K3439">
        <v>0</v>
      </c>
      <c r="L3439">
        <v>0</v>
      </c>
      <c r="M3439" t="s">
        <v>188</v>
      </c>
      <c r="N3439">
        <v>10251.490095724201</v>
      </c>
      <c r="O3439" t="s">
        <v>12</v>
      </c>
      <c r="P3439" t="b">
        <v>1</v>
      </c>
      <c r="Q3439">
        <v>6183.6369856350084</v>
      </c>
      <c r="R3439">
        <v>31618.963058846846</v>
      </c>
      <c r="S3439">
        <v>0.95965891683895554</v>
      </c>
      <c r="T3439">
        <v>55.487665055162275</v>
      </c>
      <c r="U3439">
        <v>0</v>
      </c>
      <c r="V3439">
        <v>0</v>
      </c>
    </row>
    <row r="3440" spans="1:22" x14ac:dyDescent="0.2">
      <c r="A3440"/>
      <c r="B3440">
        <v>74131</v>
      </c>
      <c r="C3440" t="s">
        <v>1636</v>
      </c>
      <c r="D3440" t="s">
        <v>1045</v>
      </c>
      <c r="E3440" t="s">
        <v>1048</v>
      </c>
      <c r="F3440" t="s">
        <v>126</v>
      </c>
      <c r="G3440">
        <v>2236.2398870056882</v>
      </c>
      <c r="H3440" t="s">
        <v>1270</v>
      </c>
      <c r="I3440">
        <v>2.5</v>
      </c>
      <c r="J3440">
        <v>0</v>
      </c>
      <c r="K3440">
        <v>0</v>
      </c>
      <c r="L3440">
        <v>0</v>
      </c>
      <c r="M3440" t="s">
        <v>188</v>
      </c>
      <c r="N3440">
        <v>10251.490095724201</v>
      </c>
      <c r="O3440" t="s">
        <v>12</v>
      </c>
      <c r="P3440" t="b">
        <v>0</v>
      </c>
      <c r="Q3440">
        <v>6183.6369856350084</v>
      </c>
      <c r="R3440">
        <v>31618.963058846846</v>
      </c>
      <c r="S3440">
        <v>0.95965891683895554</v>
      </c>
      <c r="T3440">
        <v>-124.51233494483775</v>
      </c>
      <c r="U3440">
        <v>0</v>
      </c>
      <c r="V3440">
        <v>0</v>
      </c>
    </row>
    <row r="3441" spans="1:22" x14ac:dyDescent="0.2">
      <c r="A3441"/>
      <c r="B3441">
        <v>74132</v>
      </c>
      <c r="C3441" t="s">
        <v>1637</v>
      </c>
      <c r="D3441" t="s">
        <v>1045</v>
      </c>
      <c r="E3441" t="s">
        <v>1048</v>
      </c>
      <c r="F3441" t="s">
        <v>126</v>
      </c>
      <c r="G3441">
        <v>2344.0219486251867</v>
      </c>
      <c r="H3441" t="s">
        <v>12</v>
      </c>
      <c r="I3441">
        <v>-2.5</v>
      </c>
      <c r="J3441">
        <v>0</v>
      </c>
      <c r="K3441">
        <v>0</v>
      </c>
      <c r="L3441">
        <v>0</v>
      </c>
      <c r="M3441" t="s">
        <v>188</v>
      </c>
      <c r="N3441">
        <v>10359.272157343699</v>
      </c>
      <c r="O3441" t="s">
        <v>12</v>
      </c>
      <c r="P3441" t="b">
        <v>1</v>
      </c>
      <c r="Q3441">
        <v>6254.940685194244</v>
      </c>
      <c r="R3441">
        <v>31700.088792429113</v>
      </c>
      <c r="S3441">
        <v>0.97161343883071205</v>
      </c>
      <c r="T3441">
        <v>44.455076639617772</v>
      </c>
      <c r="U3441">
        <v>0</v>
      </c>
      <c r="V3441">
        <v>0</v>
      </c>
    </row>
    <row r="3442" spans="1:22" x14ac:dyDescent="0.2">
      <c r="A3442"/>
      <c r="B3442">
        <v>74133</v>
      </c>
      <c r="C3442" t="s">
        <v>1638</v>
      </c>
      <c r="D3442" t="s">
        <v>1045</v>
      </c>
      <c r="E3442" t="s">
        <v>1050</v>
      </c>
      <c r="F3442" t="s">
        <v>126</v>
      </c>
      <c r="G3442">
        <v>2344.0219486251867</v>
      </c>
      <c r="H3442" t="s">
        <v>1270</v>
      </c>
      <c r="I3442">
        <v>2.5</v>
      </c>
      <c r="J3442">
        <v>0</v>
      </c>
      <c r="K3442">
        <v>0</v>
      </c>
      <c r="L3442">
        <v>0</v>
      </c>
      <c r="M3442" t="s">
        <v>188</v>
      </c>
      <c r="N3442">
        <v>10359.272157343699</v>
      </c>
      <c r="O3442" t="s">
        <v>12</v>
      </c>
      <c r="P3442" t="b">
        <v>0</v>
      </c>
      <c r="Q3442">
        <v>6254.940685194244</v>
      </c>
      <c r="R3442">
        <v>31700.088792429113</v>
      </c>
      <c r="S3442">
        <v>0.97161343883071205</v>
      </c>
      <c r="T3442">
        <v>-135.54492336038223</v>
      </c>
      <c r="U3442">
        <v>0</v>
      </c>
      <c r="V3442">
        <v>0</v>
      </c>
    </row>
    <row r="3443" spans="1:22" x14ac:dyDescent="0.2">
      <c r="A3443"/>
      <c r="B3443">
        <v>74134</v>
      </c>
      <c r="C3443" t="s">
        <v>1639</v>
      </c>
      <c r="D3443" t="s">
        <v>1045</v>
      </c>
      <c r="E3443" t="s">
        <v>1048</v>
      </c>
      <c r="F3443" t="s">
        <v>126</v>
      </c>
      <c r="G3443">
        <v>2772.8644737635882</v>
      </c>
      <c r="H3443" t="s">
        <v>12</v>
      </c>
      <c r="I3443">
        <v>-2.5</v>
      </c>
      <c r="J3443">
        <v>0</v>
      </c>
      <c r="K3443">
        <v>0</v>
      </c>
      <c r="L3443">
        <v>0</v>
      </c>
      <c r="M3443" t="s">
        <v>188</v>
      </c>
      <c r="N3443">
        <v>10788.114682482101</v>
      </c>
      <c r="O3443" t="s">
        <v>12</v>
      </c>
      <c r="P3443" t="b">
        <v>1</v>
      </c>
      <c r="Q3443">
        <v>6561.4489947137436</v>
      </c>
      <c r="R3443">
        <v>31999.978331480143</v>
      </c>
      <c r="S3443">
        <v>-3.6990345394223381</v>
      </c>
      <c r="T3443">
        <v>44.090653123293649</v>
      </c>
      <c r="U3443">
        <v>0</v>
      </c>
      <c r="V3443">
        <v>0</v>
      </c>
    </row>
    <row r="3444" spans="1:22" x14ac:dyDescent="0.2">
      <c r="A3444"/>
      <c r="B3444">
        <v>74135</v>
      </c>
      <c r="C3444" t="s">
        <v>1640</v>
      </c>
      <c r="D3444" t="s">
        <v>1045</v>
      </c>
      <c r="E3444" t="s">
        <v>1048</v>
      </c>
      <c r="F3444" t="s">
        <v>126</v>
      </c>
      <c r="G3444">
        <v>2772.8644737635882</v>
      </c>
      <c r="H3444" t="s">
        <v>1270</v>
      </c>
      <c r="I3444">
        <v>2.5</v>
      </c>
      <c r="J3444">
        <v>0</v>
      </c>
      <c r="K3444">
        <v>0</v>
      </c>
      <c r="L3444">
        <v>0</v>
      </c>
      <c r="M3444" t="s">
        <v>188</v>
      </c>
      <c r="N3444">
        <v>10788.114682482101</v>
      </c>
      <c r="O3444" t="s">
        <v>12</v>
      </c>
      <c r="P3444" t="b">
        <v>0</v>
      </c>
      <c r="Q3444">
        <v>6561.4489947137436</v>
      </c>
      <c r="R3444">
        <v>31999.978331480143</v>
      </c>
      <c r="S3444">
        <v>-3.6990345394223381</v>
      </c>
      <c r="T3444">
        <v>-135.90934687670637</v>
      </c>
      <c r="U3444">
        <v>0</v>
      </c>
      <c r="V3444">
        <v>0</v>
      </c>
    </row>
    <row r="3445" spans="1:22" x14ac:dyDescent="0.2">
      <c r="A3445"/>
      <c r="B3445">
        <v>74136</v>
      </c>
      <c r="C3445" t="s">
        <v>1641</v>
      </c>
      <c r="D3445" t="s">
        <v>1045</v>
      </c>
      <c r="E3445" t="s">
        <v>1048</v>
      </c>
      <c r="F3445" t="s">
        <v>126</v>
      </c>
      <c r="G3445">
        <v>2848.0480288970871</v>
      </c>
      <c r="H3445" t="s">
        <v>12</v>
      </c>
      <c r="I3445">
        <v>-2.5</v>
      </c>
      <c r="J3445">
        <v>0</v>
      </c>
      <c r="K3445">
        <v>0</v>
      </c>
      <c r="L3445">
        <v>0</v>
      </c>
      <c r="M3445" t="s">
        <v>188</v>
      </c>
      <c r="N3445">
        <v>10863.2982376156</v>
      </c>
      <c r="O3445" t="s">
        <v>12</v>
      </c>
      <c r="P3445" t="b">
        <v>1</v>
      </c>
      <c r="Q3445">
        <v>6616.0199307901612</v>
      </c>
      <c r="R3445">
        <v>32051.743344932984</v>
      </c>
      <c r="S3445">
        <v>-5.0208389945719825</v>
      </c>
      <c r="T3445">
        <v>43.016954273810732</v>
      </c>
      <c r="U3445">
        <v>0</v>
      </c>
      <c r="V3445">
        <v>0</v>
      </c>
    </row>
    <row r="3446" spans="1:22" x14ac:dyDescent="0.2">
      <c r="A3446"/>
      <c r="B3446">
        <v>74137</v>
      </c>
      <c r="C3446" t="s">
        <v>1642</v>
      </c>
      <c r="D3446" t="s">
        <v>1045</v>
      </c>
      <c r="E3446" t="s">
        <v>1048</v>
      </c>
      <c r="F3446" t="s">
        <v>126</v>
      </c>
      <c r="G3446">
        <v>2848.0480288970871</v>
      </c>
      <c r="H3446" t="s">
        <v>1270</v>
      </c>
      <c r="I3446">
        <v>2.5</v>
      </c>
      <c r="J3446">
        <v>0</v>
      </c>
      <c r="K3446">
        <v>0</v>
      </c>
      <c r="L3446">
        <v>0</v>
      </c>
      <c r="M3446" t="s">
        <v>188</v>
      </c>
      <c r="N3446">
        <v>10863.2982376156</v>
      </c>
      <c r="O3446" t="s">
        <v>12</v>
      </c>
      <c r="P3446" t="b">
        <v>0</v>
      </c>
      <c r="Q3446">
        <v>6616.0199307901612</v>
      </c>
      <c r="R3446">
        <v>32051.743344932984</v>
      </c>
      <c r="S3446">
        <v>-5.0208389945719825</v>
      </c>
      <c r="T3446">
        <v>-136.98304572618926</v>
      </c>
      <c r="U3446">
        <v>0</v>
      </c>
      <c r="V3446">
        <v>0</v>
      </c>
    </row>
    <row r="3447" spans="1:22" x14ac:dyDescent="0.2">
      <c r="A3447"/>
      <c r="B3447">
        <v>74138</v>
      </c>
      <c r="C3447" t="s">
        <v>1643</v>
      </c>
      <c r="D3447" t="s">
        <v>1045</v>
      </c>
      <c r="E3447" t="s">
        <v>1047</v>
      </c>
      <c r="F3447" t="s">
        <v>126</v>
      </c>
      <c r="G3447">
        <v>2887.4742695131868</v>
      </c>
      <c r="H3447" t="s">
        <v>12</v>
      </c>
      <c r="I3447">
        <v>-2.5</v>
      </c>
      <c r="J3447">
        <v>0</v>
      </c>
      <c r="K3447">
        <v>0</v>
      </c>
      <c r="L3447">
        <v>0</v>
      </c>
      <c r="M3447" t="s">
        <v>188</v>
      </c>
      <c r="N3447">
        <v>10902.724478231699</v>
      </c>
      <c r="O3447" t="s">
        <v>12</v>
      </c>
      <c r="P3447" t="b">
        <v>1</v>
      </c>
      <c r="Q3447">
        <v>6644.8586193818146</v>
      </c>
      <c r="R3447">
        <v>32078.62259203742</v>
      </c>
      <c r="S3447">
        <v>-5.0949465953196524</v>
      </c>
      <c r="T3447">
        <v>43.086337555459522</v>
      </c>
      <c r="U3447">
        <v>0</v>
      </c>
      <c r="V3447">
        <v>0</v>
      </c>
    </row>
    <row r="3448" spans="1:22" x14ac:dyDescent="0.2">
      <c r="A3448"/>
      <c r="B3448">
        <v>74139</v>
      </c>
      <c r="C3448" t="s">
        <v>1644</v>
      </c>
      <c r="D3448" t="s">
        <v>1045</v>
      </c>
      <c r="E3448" t="s">
        <v>1048</v>
      </c>
      <c r="F3448" t="s">
        <v>126</v>
      </c>
      <c r="G3448">
        <v>2887.4742695131868</v>
      </c>
      <c r="H3448" t="s">
        <v>1270</v>
      </c>
      <c r="I3448">
        <v>2.5</v>
      </c>
      <c r="J3448">
        <v>0</v>
      </c>
      <c r="K3448">
        <v>0</v>
      </c>
      <c r="L3448">
        <v>0</v>
      </c>
      <c r="M3448" t="s">
        <v>188</v>
      </c>
      <c r="N3448">
        <v>10902.724478231699</v>
      </c>
      <c r="O3448" t="s">
        <v>12</v>
      </c>
      <c r="P3448" t="b">
        <v>0</v>
      </c>
      <c r="Q3448">
        <v>6644.8586193818146</v>
      </c>
      <c r="R3448">
        <v>32078.62259203742</v>
      </c>
      <c r="S3448">
        <v>-5.0949465953196524</v>
      </c>
      <c r="T3448">
        <v>-136.91366244454048</v>
      </c>
      <c r="U3448">
        <v>0</v>
      </c>
      <c r="V3448">
        <v>0</v>
      </c>
    </row>
    <row r="3449" spans="1:22" x14ac:dyDescent="0.2">
      <c r="A3449"/>
      <c r="B3449">
        <v>74140</v>
      </c>
      <c r="C3449" t="s">
        <v>1645</v>
      </c>
      <c r="D3449" t="s">
        <v>1045</v>
      </c>
      <c r="E3449" t="s">
        <v>1047</v>
      </c>
      <c r="F3449" t="s">
        <v>126</v>
      </c>
      <c r="G3449">
        <v>3051.5655177801877</v>
      </c>
      <c r="H3449" t="s">
        <v>12</v>
      </c>
      <c r="I3449">
        <v>-2.5</v>
      </c>
      <c r="J3449">
        <v>0</v>
      </c>
      <c r="K3449">
        <v>0</v>
      </c>
      <c r="L3449">
        <v>0</v>
      </c>
      <c r="M3449" t="s">
        <v>188</v>
      </c>
      <c r="N3449">
        <v>11066.8157264987</v>
      </c>
      <c r="O3449" t="s">
        <v>12</v>
      </c>
      <c r="P3449" t="b">
        <v>1</v>
      </c>
      <c r="Q3449">
        <v>6751.4301358979719</v>
      </c>
      <c r="R3449">
        <v>32202.322625364497</v>
      </c>
      <c r="S3449">
        <v>-4.820106466182529</v>
      </c>
      <c r="T3449">
        <v>54.104591847052696</v>
      </c>
      <c r="U3449">
        <v>0</v>
      </c>
      <c r="V3449">
        <v>0</v>
      </c>
    </row>
    <row r="3450" spans="1:22" x14ac:dyDescent="0.2">
      <c r="A3450"/>
      <c r="B3450">
        <v>74141</v>
      </c>
      <c r="C3450" t="s">
        <v>1646</v>
      </c>
      <c r="D3450" t="s">
        <v>1045</v>
      </c>
      <c r="E3450" t="s">
        <v>1047</v>
      </c>
      <c r="F3450" t="s">
        <v>126</v>
      </c>
      <c r="G3450">
        <v>3051.5655177801877</v>
      </c>
      <c r="H3450" t="s">
        <v>1270</v>
      </c>
      <c r="I3450">
        <v>2.5</v>
      </c>
      <c r="J3450">
        <v>0</v>
      </c>
      <c r="K3450">
        <v>0</v>
      </c>
      <c r="L3450">
        <v>0</v>
      </c>
      <c r="M3450" t="s">
        <v>188</v>
      </c>
      <c r="N3450">
        <v>11066.8157264987</v>
      </c>
      <c r="O3450" t="s">
        <v>12</v>
      </c>
      <c r="P3450" t="b">
        <v>0</v>
      </c>
      <c r="Q3450">
        <v>6751.4301358979719</v>
      </c>
      <c r="R3450">
        <v>32202.322625364497</v>
      </c>
      <c r="S3450">
        <v>-4.820106466182529</v>
      </c>
      <c r="T3450">
        <v>-125.89540815294733</v>
      </c>
      <c r="U3450">
        <v>0</v>
      </c>
      <c r="V3450">
        <v>0</v>
      </c>
    </row>
    <row r="3451" spans="1:22" x14ac:dyDescent="0.2">
      <c r="A3451"/>
      <c r="B3451">
        <v>74142</v>
      </c>
      <c r="C3451" t="s">
        <v>1647</v>
      </c>
      <c r="D3451" t="s">
        <v>1045</v>
      </c>
      <c r="E3451" t="s">
        <v>1047</v>
      </c>
      <c r="F3451" t="s">
        <v>126</v>
      </c>
      <c r="G3451">
        <v>3399.9761576707883</v>
      </c>
      <c r="H3451" t="s">
        <v>12</v>
      </c>
      <c r="I3451">
        <v>-2.5</v>
      </c>
      <c r="J3451">
        <v>0</v>
      </c>
      <c r="K3451">
        <v>0</v>
      </c>
      <c r="L3451">
        <v>0</v>
      </c>
      <c r="M3451" t="s">
        <v>188</v>
      </c>
      <c r="N3451">
        <v>11415.226366389301</v>
      </c>
      <c r="O3451" t="s">
        <v>12</v>
      </c>
      <c r="P3451" t="b">
        <v>1</v>
      </c>
      <c r="Q3451">
        <v>6863.1571436402446</v>
      </c>
      <c r="R3451">
        <v>32525.08540288738</v>
      </c>
      <c r="S3451">
        <v>-3.5001255453998699</v>
      </c>
      <c r="T3451">
        <v>85.916496770223532</v>
      </c>
      <c r="U3451">
        <v>0</v>
      </c>
      <c r="V3451">
        <v>0</v>
      </c>
    </row>
    <row r="3452" spans="1:22" x14ac:dyDescent="0.2">
      <c r="A3452"/>
      <c r="B3452">
        <v>74143</v>
      </c>
      <c r="C3452" t="s">
        <v>1648</v>
      </c>
      <c r="D3452" t="s">
        <v>1045</v>
      </c>
      <c r="E3452" t="s">
        <v>1047</v>
      </c>
      <c r="F3452" t="s">
        <v>126</v>
      </c>
      <c r="G3452">
        <v>3399.9761576707883</v>
      </c>
      <c r="H3452" t="s">
        <v>1270</v>
      </c>
      <c r="I3452">
        <v>2.5</v>
      </c>
      <c r="J3452">
        <v>0</v>
      </c>
      <c r="K3452">
        <v>0</v>
      </c>
      <c r="L3452">
        <v>0</v>
      </c>
      <c r="M3452" t="s">
        <v>188</v>
      </c>
      <c r="N3452">
        <v>11415.226366389301</v>
      </c>
      <c r="O3452" t="s">
        <v>12</v>
      </c>
      <c r="P3452" t="b">
        <v>0</v>
      </c>
      <c r="Q3452">
        <v>6863.1571436402446</v>
      </c>
      <c r="R3452">
        <v>32525.08540288738</v>
      </c>
      <c r="S3452">
        <v>-3.5001255453998699</v>
      </c>
      <c r="T3452">
        <v>-94.083503229776497</v>
      </c>
      <c r="U3452">
        <v>0</v>
      </c>
      <c r="V3452">
        <v>0</v>
      </c>
    </row>
    <row r="3453" spans="1:22" x14ac:dyDescent="0.2">
      <c r="A3453"/>
      <c r="B3453">
        <v>74144</v>
      </c>
      <c r="C3453" t="s">
        <v>1649</v>
      </c>
      <c r="D3453" t="s">
        <v>1045</v>
      </c>
      <c r="E3453" t="s">
        <v>1048</v>
      </c>
      <c r="F3453" t="s">
        <v>126</v>
      </c>
      <c r="G3453">
        <v>3658.9591763977883</v>
      </c>
      <c r="H3453" t="s">
        <v>12</v>
      </c>
      <c r="I3453">
        <v>-2.5</v>
      </c>
      <c r="J3453">
        <v>0</v>
      </c>
      <c r="K3453">
        <v>0</v>
      </c>
      <c r="L3453">
        <v>0</v>
      </c>
      <c r="M3453" t="s">
        <v>188</v>
      </c>
      <c r="N3453">
        <v>11674.209385116301</v>
      </c>
      <c r="O3453" t="s">
        <v>12</v>
      </c>
      <c r="P3453" t="b">
        <v>1</v>
      </c>
      <c r="Q3453">
        <v>6834.7198669429972</v>
      </c>
      <c r="R3453">
        <v>32780.055973960407</v>
      </c>
      <c r="S3453">
        <v>-0.82619827902881293</v>
      </c>
      <c r="T3453">
        <v>105.2328381719678</v>
      </c>
      <c r="U3453">
        <v>0</v>
      </c>
      <c r="V3453">
        <v>0</v>
      </c>
    </row>
    <row r="3454" spans="1:22" x14ac:dyDescent="0.2">
      <c r="A3454"/>
      <c r="B3454">
        <v>74145</v>
      </c>
      <c r="C3454" t="s">
        <v>1650</v>
      </c>
      <c r="D3454" t="s">
        <v>1045</v>
      </c>
      <c r="E3454" t="s">
        <v>1047</v>
      </c>
      <c r="F3454" t="s">
        <v>126</v>
      </c>
      <c r="G3454">
        <v>3658.9591763977883</v>
      </c>
      <c r="H3454" t="s">
        <v>1270</v>
      </c>
      <c r="I3454">
        <v>2.5</v>
      </c>
      <c r="J3454">
        <v>0</v>
      </c>
      <c r="K3454">
        <v>0</v>
      </c>
      <c r="L3454">
        <v>0</v>
      </c>
      <c r="M3454" t="s">
        <v>188</v>
      </c>
      <c r="N3454">
        <v>11674.209385116301</v>
      </c>
      <c r="O3454" t="s">
        <v>12</v>
      </c>
      <c r="P3454" t="b">
        <v>0</v>
      </c>
      <c r="Q3454">
        <v>6834.7198669429972</v>
      </c>
      <c r="R3454">
        <v>32780.055973960407</v>
      </c>
      <c r="S3454">
        <v>-0.82619827902881293</v>
      </c>
      <c r="T3454">
        <v>-74.767161828032215</v>
      </c>
      <c r="U3454">
        <v>0</v>
      </c>
      <c r="V3454">
        <v>0</v>
      </c>
    </row>
    <row r="3455" spans="1:22" x14ac:dyDescent="0.2">
      <c r="A3455"/>
      <c r="B3455">
        <v>74146</v>
      </c>
      <c r="C3455" t="s">
        <v>1651</v>
      </c>
      <c r="D3455" t="s">
        <v>1045</v>
      </c>
      <c r="E3455" t="s">
        <v>1048</v>
      </c>
      <c r="F3455" t="s">
        <v>126</v>
      </c>
      <c r="G3455">
        <v>3760.5217215827874</v>
      </c>
      <c r="H3455" t="s">
        <v>12</v>
      </c>
      <c r="I3455">
        <v>-2.5</v>
      </c>
      <c r="J3455">
        <v>0</v>
      </c>
      <c r="K3455">
        <v>0</v>
      </c>
      <c r="L3455">
        <v>0</v>
      </c>
      <c r="M3455" t="s">
        <v>188</v>
      </c>
      <c r="N3455">
        <v>11775.7719303013</v>
      </c>
      <c r="O3455" t="s">
        <v>12</v>
      </c>
      <c r="P3455" t="b">
        <v>1</v>
      </c>
      <c r="Q3455">
        <v>6807.8416158823002</v>
      </c>
      <c r="R3455">
        <v>32877.998066402841</v>
      </c>
      <c r="S3455">
        <v>0.2103357634638911</v>
      </c>
      <c r="T3455">
        <v>105.09179684593003</v>
      </c>
      <c r="U3455">
        <v>0</v>
      </c>
      <c r="V3455">
        <v>0</v>
      </c>
    </row>
    <row r="3456" spans="1:22" x14ac:dyDescent="0.2">
      <c r="A3456"/>
      <c r="B3456">
        <v>74147</v>
      </c>
      <c r="C3456" t="s">
        <v>1652</v>
      </c>
      <c r="D3456" t="s">
        <v>1045</v>
      </c>
      <c r="E3456" t="s">
        <v>1048</v>
      </c>
      <c r="F3456" t="s">
        <v>126</v>
      </c>
      <c r="G3456">
        <v>3760.5217215827874</v>
      </c>
      <c r="H3456" t="s">
        <v>1270</v>
      </c>
      <c r="I3456">
        <v>2.5</v>
      </c>
      <c r="J3456">
        <v>0</v>
      </c>
      <c r="K3456">
        <v>0</v>
      </c>
      <c r="L3456">
        <v>0</v>
      </c>
      <c r="M3456" t="s">
        <v>188</v>
      </c>
      <c r="N3456">
        <v>11775.7719303013</v>
      </c>
      <c r="O3456" t="s">
        <v>12</v>
      </c>
      <c r="P3456" t="b">
        <v>0</v>
      </c>
      <c r="Q3456">
        <v>6807.8416158823002</v>
      </c>
      <c r="R3456">
        <v>32877.998066402841</v>
      </c>
      <c r="S3456">
        <v>0.2103357634638911</v>
      </c>
      <c r="T3456">
        <v>-74.90820315406998</v>
      </c>
      <c r="U3456">
        <v>0</v>
      </c>
      <c r="V3456">
        <v>0</v>
      </c>
    </row>
    <row r="3457" spans="1:22" x14ac:dyDescent="0.2">
      <c r="A3457"/>
      <c r="B3457">
        <v>74148</v>
      </c>
      <c r="C3457" t="s">
        <v>1653</v>
      </c>
      <c r="D3457" t="s">
        <v>1045</v>
      </c>
      <c r="E3457" t="s">
        <v>1048</v>
      </c>
      <c r="F3457" t="s">
        <v>126</v>
      </c>
      <c r="G3457">
        <v>3843.7494462372874</v>
      </c>
      <c r="H3457" t="s">
        <v>12</v>
      </c>
      <c r="I3457">
        <v>-2.5</v>
      </c>
      <c r="J3457">
        <v>0</v>
      </c>
      <c r="K3457">
        <v>0</v>
      </c>
      <c r="L3457">
        <v>0</v>
      </c>
      <c r="M3457" t="s">
        <v>188</v>
      </c>
      <c r="N3457">
        <v>11858.9996549558</v>
      </c>
      <c r="O3457" t="s">
        <v>12</v>
      </c>
      <c r="P3457" t="b">
        <v>1</v>
      </c>
      <c r="Q3457">
        <v>6786.775090508816</v>
      </c>
      <c r="R3457">
        <v>32958.546923415175</v>
      </c>
      <c r="S3457">
        <v>1.07042789279852</v>
      </c>
      <c r="T3457">
        <v>104.27626469971437</v>
      </c>
      <c r="U3457">
        <v>0</v>
      </c>
      <c r="V3457">
        <v>0</v>
      </c>
    </row>
    <row r="3458" spans="1:22" x14ac:dyDescent="0.2">
      <c r="A3458"/>
      <c r="B3458">
        <v>74149</v>
      </c>
      <c r="C3458" t="s">
        <v>1654</v>
      </c>
      <c r="D3458" t="s">
        <v>1045</v>
      </c>
      <c r="E3458" t="s">
        <v>1048</v>
      </c>
      <c r="F3458" t="s">
        <v>126</v>
      </c>
      <c r="G3458">
        <v>3843.7494462372874</v>
      </c>
      <c r="H3458" t="s">
        <v>1270</v>
      </c>
      <c r="I3458">
        <v>2.5</v>
      </c>
      <c r="J3458">
        <v>0</v>
      </c>
      <c r="K3458">
        <v>0</v>
      </c>
      <c r="L3458">
        <v>0</v>
      </c>
      <c r="M3458" t="s">
        <v>188</v>
      </c>
      <c r="N3458">
        <v>11858.9996549558</v>
      </c>
      <c r="O3458" t="s">
        <v>12</v>
      </c>
      <c r="P3458" t="b">
        <v>0</v>
      </c>
      <c r="Q3458">
        <v>6786.775090508816</v>
      </c>
      <c r="R3458">
        <v>32958.546923415175</v>
      </c>
      <c r="S3458">
        <v>1.07042789279852</v>
      </c>
      <c r="T3458">
        <v>-75.723735300285639</v>
      </c>
      <c r="U3458">
        <v>0</v>
      </c>
      <c r="V3458">
        <v>0</v>
      </c>
    </row>
    <row r="3459" spans="1:22" x14ac:dyDescent="0.2">
      <c r="A3459"/>
      <c r="B3459">
        <v>74150</v>
      </c>
      <c r="C3459" t="s">
        <v>1655</v>
      </c>
      <c r="D3459" t="s">
        <v>1045</v>
      </c>
      <c r="E3459" t="s">
        <v>1048</v>
      </c>
      <c r="F3459" t="s">
        <v>126</v>
      </c>
      <c r="G3459">
        <v>3870.1186263258883</v>
      </c>
      <c r="H3459" t="s">
        <v>12</v>
      </c>
      <c r="I3459">
        <v>-2.5</v>
      </c>
      <c r="J3459">
        <v>0</v>
      </c>
      <c r="K3459">
        <v>0</v>
      </c>
      <c r="L3459">
        <v>0</v>
      </c>
      <c r="M3459" t="s">
        <v>188</v>
      </c>
      <c r="N3459">
        <v>11885.368835044401</v>
      </c>
      <c r="O3459" t="s">
        <v>12</v>
      </c>
      <c r="P3459" t="b">
        <v>1</v>
      </c>
      <c r="Q3459">
        <v>6780.3111631731672</v>
      </c>
      <c r="R3459">
        <v>32984.117879483936</v>
      </c>
      <c r="S3459">
        <v>1.3425233353152493</v>
      </c>
      <c r="T3459">
        <v>104.10373364637459</v>
      </c>
      <c r="U3459">
        <v>0</v>
      </c>
      <c r="V3459">
        <v>0</v>
      </c>
    </row>
    <row r="3460" spans="1:22" x14ac:dyDescent="0.2">
      <c r="A3460"/>
      <c r="B3460">
        <v>74151</v>
      </c>
      <c r="C3460" t="s">
        <v>1656</v>
      </c>
      <c r="D3460" t="s">
        <v>1045</v>
      </c>
      <c r="E3460" t="s">
        <v>1048</v>
      </c>
      <c r="F3460" t="s">
        <v>126</v>
      </c>
      <c r="G3460">
        <v>3870.1186263258883</v>
      </c>
      <c r="H3460" t="s">
        <v>1270</v>
      </c>
      <c r="I3460">
        <v>2.5</v>
      </c>
      <c r="J3460">
        <v>0</v>
      </c>
      <c r="K3460">
        <v>0</v>
      </c>
      <c r="L3460">
        <v>0</v>
      </c>
      <c r="M3460" t="s">
        <v>188</v>
      </c>
      <c r="N3460">
        <v>11885.368835044401</v>
      </c>
      <c r="O3460" t="s">
        <v>12</v>
      </c>
      <c r="P3460" t="b">
        <v>0</v>
      </c>
      <c r="Q3460">
        <v>6780.3111631731672</v>
      </c>
      <c r="R3460">
        <v>32984.117879483936</v>
      </c>
      <c r="S3460">
        <v>1.3425233353152493</v>
      </c>
      <c r="T3460">
        <v>-75.896266353625421</v>
      </c>
      <c r="U3460">
        <v>0</v>
      </c>
      <c r="V3460">
        <v>0</v>
      </c>
    </row>
    <row r="3461" spans="1:22" x14ac:dyDescent="0.2">
      <c r="A3461"/>
      <c r="B3461">
        <v>74152</v>
      </c>
      <c r="C3461" t="s">
        <v>1657</v>
      </c>
      <c r="D3461" t="s">
        <v>1045</v>
      </c>
      <c r="E3461" t="s">
        <v>1048</v>
      </c>
      <c r="F3461" t="s">
        <v>126</v>
      </c>
      <c r="G3461">
        <v>3977.959547722387</v>
      </c>
      <c r="H3461" t="s">
        <v>12</v>
      </c>
      <c r="I3461">
        <v>-2.5</v>
      </c>
      <c r="J3461">
        <v>0</v>
      </c>
      <c r="K3461">
        <v>0</v>
      </c>
      <c r="L3461">
        <v>0</v>
      </c>
      <c r="M3461" t="s">
        <v>188</v>
      </c>
      <c r="N3461">
        <v>11993.2097564409</v>
      </c>
      <c r="O3461" t="s">
        <v>12</v>
      </c>
      <c r="P3461" t="b">
        <v>1</v>
      </c>
      <c r="Q3461">
        <v>6752.6409358117062</v>
      </c>
      <c r="R3461">
        <v>33088.271755359936</v>
      </c>
      <c r="S3461">
        <v>1.8705427508315948</v>
      </c>
      <c r="T3461">
        <v>105.58070550392833</v>
      </c>
      <c r="U3461">
        <v>0</v>
      </c>
      <c r="V3461">
        <v>0</v>
      </c>
    </row>
    <row r="3462" spans="1:22" x14ac:dyDescent="0.2">
      <c r="A3462"/>
      <c r="B3462">
        <v>74153</v>
      </c>
      <c r="C3462" t="s">
        <v>1658</v>
      </c>
      <c r="D3462" t="s">
        <v>1045</v>
      </c>
      <c r="E3462" t="s">
        <v>1048</v>
      </c>
      <c r="F3462" t="s">
        <v>126</v>
      </c>
      <c r="G3462">
        <v>3977.959547722387</v>
      </c>
      <c r="H3462" t="s">
        <v>1270</v>
      </c>
      <c r="I3462">
        <v>2.5</v>
      </c>
      <c r="J3462">
        <v>0</v>
      </c>
      <c r="K3462">
        <v>0</v>
      </c>
      <c r="L3462">
        <v>0</v>
      </c>
      <c r="M3462" t="s">
        <v>188</v>
      </c>
      <c r="N3462">
        <v>11993.2097564409</v>
      </c>
      <c r="O3462" t="s">
        <v>12</v>
      </c>
      <c r="P3462" t="b">
        <v>0</v>
      </c>
      <c r="Q3462">
        <v>6752.6409358117062</v>
      </c>
      <c r="R3462">
        <v>33088.271755359936</v>
      </c>
      <c r="S3462">
        <v>1.8705427508315948</v>
      </c>
      <c r="T3462">
        <v>-74.4192944960717</v>
      </c>
      <c r="U3462">
        <v>0</v>
      </c>
      <c r="V3462">
        <v>0</v>
      </c>
    </row>
    <row r="3463" spans="1:22" x14ac:dyDescent="0.2">
      <c r="A3463"/>
      <c r="B3463">
        <v>74154</v>
      </c>
      <c r="C3463" t="s">
        <v>1659</v>
      </c>
      <c r="D3463" t="s">
        <v>1045</v>
      </c>
      <c r="E3463" t="s">
        <v>1047</v>
      </c>
      <c r="F3463" t="s">
        <v>126</v>
      </c>
      <c r="G3463">
        <v>4171.4120147411868</v>
      </c>
      <c r="H3463" t="s">
        <v>12</v>
      </c>
      <c r="I3463">
        <v>-2.5</v>
      </c>
      <c r="J3463">
        <v>0</v>
      </c>
      <c r="K3463">
        <v>0</v>
      </c>
      <c r="L3463">
        <v>0</v>
      </c>
      <c r="M3463" t="s">
        <v>188</v>
      </c>
      <c r="N3463">
        <v>12186.6622234597</v>
      </c>
      <c r="O3463" t="s">
        <v>12</v>
      </c>
      <c r="P3463" t="b">
        <v>1</v>
      </c>
      <c r="Q3463">
        <v>6700.9423079986918</v>
      </c>
      <c r="R3463">
        <v>33274.679686072021</v>
      </c>
      <c r="S3463">
        <v>1.8572640380560936</v>
      </c>
      <c r="T3463">
        <v>105.76317915997967</v>
      </c>
      <c r="U3463">
        <v>0</v>
      </c>
      <c r="V3463">
        <v>0</v>
      </c>
    </row>
    <row r="3464" spans="1:22" x14ac:dyDescent="0.2">
      <c r="A3464"/>
      <c r="B3464">
        <v>74155</v>
      </c>
      <c r="C3464" t="s">
        <v>1660</v>
      </c>
      <c r="D3464" t="s">
        <v>1045</v>
      </c>
      <c r="E3464" t="s">
        <v>1048</v>
      </c>
      <c r="F3464" t="s">
        <v>126</v>
      </c>
      <c r="G3464">
        <v>4171.4120147411868</v>
      </c>
      <c r="H3464" t="s">
        <v>1270</v>
      </c>
      <c r="I3464">
        <v>2.5</v>
      </c>
      <c r="J3464">
        <v>0</v>
      </c>
      <c r="K3464">
        <v>0</v>
      </c>
      <c r="L3464">
        <v>0</v>
      </c>
      <c r="M3464" t="s">
        <v>188</v>
      </c>
      <c r="N3464">
        <v>12186.6622234597</v>
      </c>
      <c r="O3464" t="s">
        <v>12</v>
      </c>
      <c r="P3464" t="b">
        <v>0</v>
      </c>
      <c r="Q3464">
        <v>6700.9423079986918</v>
      </c>
      <c r="R3464">
        <v>33274.679686072021</v>
      </c>
      <c r="S3464">
        <v>1.8572640380560936</v>
      </c>
      <c r="T3464">
        <v>-74.236820840020343</v>
      </c>
      <c r="U3464">
        <v>0</v>
      </c>
      <c r="V3464">
        <v>0</v>
      </c>
    </row>
    <row r="3465" spans="1:22" x14ac:dyDescent="0.2">
      <c r="A3465"/>
      <c r="B3465">
        <v>74156</v>
      </c>
      <c r="C3465" t="s">
        <v>1661</v>
      </c>
      <c r="D3465" t="s">
        <v>1045</v>
      </c>
      <c r="E3465" t="s">
        <v>1047</v>
      </c>
      <c r="F3465" t="s">
        <v>126</v>
      </c>
      <c r="G3465">
        <v>4246.4091805809876</v>
      </c>
      <c r="H3465" t="s">
        <v>12</v>
      </c>
      <c r="I3465">
        <v>-2.5</v>
      </c>
      <c r="J3465">
        <v>0</v>
      </c>
      <c r="K3465">
        <v>0</v>
      </c>
      <c r="L3465">
        <v>0</v>
      </c>
      <c r="M3465" t="s">
        <v>188</v>
      </c>
      <c r="N3465">
        <v>12261.659389299501</v>
      </c>
      <c r="O3465" t="s">
        <v>12</v>
      </c>
      <c r="P3465" t="b">
        <v>1</v>
      </c>
      <c r="Q3465">
        <v>6678.5071033209215</v>
      </c>
      <c r="R3465">
        <v>33346.093170887325</v>
      </c>
      <c r="S3465">
        <v>1.3228397695145857</v>
      </c>
      <c r="T3465">
        <v>108.60820946138583</v>
      </c>
      <c r="U3465">
        <v>0</v>
      </c>
      <c r="V3465">
        <v>0</v>
      </c>
    </row>
    <row r="3466" spans="1:22" x14ac:dyDescent="0.2">
      <c r="A3466"/>
      <c r="B3466">
        <v>74157</v>
      </c>
      <c r="C3466" t="s">
        <v>1662</v>
      </c>
      <c r="D3466" t="s">
        <v>1045</v>
      </c>
      <c r="E3466" t="s">
        <v>1047</v>
      </c>
      <c r="F3466" t="s">
        <v>126</v>
      </c>
      <c r="G3466">
        <v>4246.4091805809876</v>
      </c>
      <c r="H3466" t="s">
        <v>1270</v>
      </c>
      <c r="I3466">
        <v>2.5</v>
      </c>
      <c r="J3466">
        <v>0</v>
      </c>
      <c r="K3466">
        <v>0</v>
      </c>
      <c r="L3466">
        <v>0</v>
      </c>
      <c r="M3466" t="s">
        <v>188</v>
      </c>
      <c r="N3466">
        <v>12261.659389299501</v>
      </c>
      <c r="O3466" t="s">
        <v>12</v>
      </c>
      <c r="P3466" t="b">
        <v>0</v>
      </c>
      <c r="Q3466">
        <v>6678.5071033209215</v>
      </c>
      <c r="R3466">
        <v>33346.093170887325</v>
      </c>
      <c r="S3466">
        <v>1.3228397695145857</v>
      </c>
      <c r="T3466">
        <v>-71.391790538614174</v>
      </c>
      <c r="U3466">
        <v>0</v>
      </c>
      <c r="V3466">
        <v>0</v>
      </c>
    </row>
    <row r="3467" spans="1:22" x14ac:dyDescent="0.2">
      <c r="A3467"/>
      <c r="B3467">
        <v>74158</v>
      </c>
      <c r="C3467" t="s">
        <v>1663</v>
      </c>
      <c r="D3467" t="s">
        <v>1045</v>
      </c>
      <c r="E3467" t="s">
        <v>1048</v>
      </c>
      <c r="F3467" t="s">
        <v>126</v>
      </c>
      <c r="G3467">
        <v>4331.6969974298863</v>
      </c>
      <c r="H3467" t="s">
        <v>12</v>
      </c>
      <c r="I3467">
        <v>-2.5</v>
      </c>
      <c r="J3467">
        <v>0</v>
      </c>
      <c r="K3467">
        <v>0</v>
      </c>
      <c r="L3467">
        <v>0</v>
      </c>
      <c r="M3467" t="s">
        <v>188</v>
      </c>
      <c r="N3467">
        <v>12346.947206148399</v>
      </c>
      <c r="O3467" t="s">
        <v>12</v>
      </c>
      <c r="P3467" t="b">
        <v>1</v>
      </c>
      <c r="Q3467">
        <v>6654.2061463201399</v>
      </c>
      <c r="R3467">
        <v>33427.978227159154</v>
      </c>
      <c r="S3467">
        <v>0.48386644198384576</v>
      </c>
      <c r="T3467">
        <v>105.09878465316049</v>
      </c>
      <c r="U3467">
        <v>0</v>
      </c>
      <c r="V3467">
        <v>0</v>
      </c>
    </row>
    <row r="3468" spans="1:22" x14ac:dyDescent="0.2">
      <c r="A3468"/>
      <c r="B3468">
        <v>74159</v>
      </c>
      <c r="C3468" t="s">
        <v>1664</v>
      </c>
      <c r="D3468" t="s">
        <v>1045</v>
      </c>
      <c r="E3468" t="s">
        <v>1047</v>
      </c>
      <c r="F3468" t="s">
        <v>126</v>
      </c>
      <c r="G3468">
        <v>4331.6969974298863</v>
      </c>
      <c r="H3468" t="s">
        <v>1270</v>
      </c>
      <c r="I3468">
        <v>2.5</v>
      </c>
      <c r="J3468">
        <v>0</v>
      </c>
      <c r="K3468">
        <v>0</v>
      </c>
      <c r="L3468">
        <v>0</v>
      </c>
      <c r="M3468" t="s">
        <v>188</v>
      </c>
      <c r="N3468">
        <v>12346.947206148399</v>
      </c>
      <c r="O3468" t="s">
        <v>12</v>
      </c>
      <c r="P3468" t="b">
        <v>0</v>
      </c>
      <c r="Q3468">
        <v>6654.2061463201399</v>
      </c>
      <c r="R3468">
        <v>33427.978227159154</v>
      </c>
      <c r="S3468">
        <v>0.48386644198384576</v>
      </c>
      <c r="T3468">
        <v>-74.901215346839521</v>
      </c>
      <c r="U3468">
        <v>0</v>
      </c>
      <c r="V3468">
        <v>0</v>
      </c>
    </row>
    <row r="3469" spans="1:22" x14ac:dyDescent="0.2">
      <c r="A3469"/>
      <c r="B3469">
        <v>74160</v>
      </c>
      <c r="C3469" t="s">
        <v>1665</v>
      </c>
      <c r="D3469" t="s">
        <v>1045</v>
      </c>
      <c r="E3469" t="s">
        <v>1048</v>
      </c>
      <c r="F3469" t="s">
        <v>126</v>
      </c>
      <c r="G3469">
        <v>4514.8490034766874</v>
      </c>
      <c r="H3469" t="s">
        <v>12</v>
      </c>
      <c r="I3469">
        <v>-2.5</v>
      </c>
      <c r="J3469">
        <v>0</v>
      </c>
      <c r="K3469">
        <v>0</v>
      </c>
      <c r="L3469">
        <v>0</v>
      </c>
      <c r="M3469" t="s">
        <v>188</v>
      </c>
      <c r="N3469">
        <v>12530.0992121952</v>
      </c>
      <c r="O3469" t="s">
        <v>12</v>
      </c>
      <c r="P3469" t="b">
        <v>1</v>
      </c>
      <c r="Q3469">
        <v>6606.9143391639964</v>
      </c>
      <c r="R3469">
        <v>33604.903304722517</v>
      </c>
      <c r="S3469">
        <v>1.0709929988903264</v>
      </c>
      <c r="T3469">
        <v>105.19130117776149</v>
      </c>
      <c r="U3469">
        <v>0</v>
      </c>
      <c r="V3469">
        <v>0</v>
      </c>
    </row>
    <row r="3470" spans="1:22" x14ac:dyDescent="0.2">
      <c r="A3470"/>
      <c r="B3470">
        <v>74161</v>
      </c>
      <c r="C3470" t="s">
        <v>1666</v>
      </c>
      <c r="D3470" t="s">
        <v>1045</v>
      </c>
      <c r="E3470" t="s">
        <v>1048</v>
      </c>
      <c r="F3470" t="s">
        <v>126</v>
      </c>
      <c r="G3470">
        <v>4514.8490034766874</v>
      </c>
      <c r="H3470" t="s">
        <v>1270</v>
      </c>
      <c r="I3470">
        <v>2.5</v>
      </c>
      <c r="J3470">
        <v>0</v>
      </c>
      <c r="K3470">
        <v>0</v>
      </c>
      <c r="L3470">
        <v>0</v>
      </c>
      <c r="M3470" t="s">
        <v>188</v>
      </c>
      <c r="N3470">
        <v>12530.0992121952</v>
      </c>
      <c r="O3470" t="s">
        <v>12</v>
      </c>
      <c r="P3470" t="b">
        <v>0</v>
      </c>
      <c r="Q3470">
        <v>6606.9143391639964</v>
      </c>
      <c r="R3470">
        <v>33604.903304722517</v>
      </c>
      <c r="S3470">
        <v>1.0709929988903264</v>
      </c>
      <c r="T3470">
        <v>-74.808698822238526</v>
      </c>
      <c r="U3470">
        <v>0</v>
      </c>
      <c r="V3470">
        <v>0</v>
      </c>
    </row>
    <row r="3471" spans="1:22" x14ac:dyDescent="0.2">
      <c r="A3471"/>
      <c r="B3471">
        <v>74162</v>
      </c>
      <c r="C3471" t="s">
        <v>1667</v>
      </c>
      <c r="D3471" t="s">
        <v>1045</v>
      </c>
      <c r="E3471" t="s">
        <v>1048</v>
      </c>
      <c r="F3471" t="s">
        <v>126</v>
      </c>
      <c r="G3471">
        <v>4592.8283980168871</v>
      </c>
      <c r="H3471" t="s">
        <v>12</v>
      </c>
      <c r="I3471">
        <v>-2.5</v>
      </c>
      <c r="J3471">
        <v>0</v>
      </c>
      <c r="K3471">
        <v>0</v>
      </c>
      <c r="L3471">
        <v>0</v>
      </c>
      <c r="M3471" t="s">
        <v>188</v>
      </c>
      <c r="N3471">
        <v>12608.0786067354</v>
      </c>
      <c r="O3471" t="s">
        <v>12</v>
      </c>
      <c r="P3471" t="b">
        <v>1</v>
      </c>
      <c r="Q3471">
        <v>6585.9052330922259</v>
      </c>
      <c r="R3471">
        <v>33679.941075823073</v>
      </c>
      <c r="S3471">
        <v>2.1868270853207954</v>
      </c>
      <c r="T3471">
        <v>106.26371847339369</v>
      </c>
      <c r="U3471">
        <v>0</v>
      </c>
      <c r="V3471">
        <v>0</v>
      </c>
    </row>
    <row r="3472" spans="1:22" x14ac:dyDescent="0.2">
      <c r="A3472"/>
      <c r="B3472">
        <v>74163</v>
      </c>
      <c r="C3472" t="s">
        <v>1668</v>
      </c>
      <c r="D3472" t="s">
        <v>1045</v>
      </c>
      <c r="E3472" t="s">
        <v>1048</v>
      </c>
      <c r="F3472" t="s">
        <v>126</v>
      </c>
      <c r="G3472">
        <v>4592.8283980168871</v>
      </c>
      <c r="H3472" t="s">
        <v>1270</v>
      </c>
      <c r="I3472">
        <v>2.5</v>
      </c>
      <c r="J3472">
        <v>0</v>
      </c>
      <c r="K3472">
        <v>0</v>
      </c>
      <c r="L3472">
        <v>0</v>
      </c>
      <c r="M3472" t="s">
        <v>188</v>
      </c>
      <c r="N3472">
        <v>12608.0786067354</v>
      </c>
      <c r="O3472" t="s">
        <v>12</v>
      </c>
      <c r="P3472" t="b">
        <v>0</v>
      </c>
      <c r="Q3472">
        <v>6585.9052330922259</v>
      </c>
      <c r="R3472">
        <v>33679.941075823073</v>
      </c>
      <c r="S3472">
        <v>2.1868270853207954</v>
      </c>
      <c r="T3472">
        <v>-73.736281526606305</v>
      </c>
      <c r="U3472">
        <v>0</v>
      </c>
      <c r="V3472">
        <v>0</v>
      </c>
    </row>
    <row r="3473" spans="1:22" x14ac:dyDescent="0.2">
      <c r="A3473"/>
      <c r="B3473">
        <v>74164</v>
      </c>
      <c r="C3473" t="s">
        <v>1669</v>
      </c>
      <c r="D3473" t="s">
        <v>1045</v>
      </c>
      <c r="E3473" t="s">
        <v>1048</v>
      </c>
      <c r="F3473" t="s">
        <v>126</v>
      </c>
      <c r="G3473">
        <v>4656.3969571589878</v>
      </c>
      <c r="H3473" t="s">
        <v>12</v>
      </c>
      <c r="I3473">
        <v>-2.5</v>
      </c>
      <c r="J3473">
        <v>0</v>
      </c>
      <c r="K3473">
        <v>0</v>
      </c>
      <c r="L3473">
        <v>0</v>
      </c>
      <c r="M3473" t="s">
        <v>188</v>
      </c>
      <c r="N3473">
        <v>12671.647165877501</v>
      </c>
      <c r="O3473" t="s">
        <v>12</v>
      </c>
      <c r="P3473" t="b">
        <v>1</v>
      </c>
      <c r="Q3473">
        <v>6567.9782611505043</v>
      </c>
      <c r="R3473">
        <v>33740.927145068461</v>
      </c>
      <c r="S3473">
        <v>3.1073817377234385</v>
      </c>
      <c r="T3473">
        <v>106.16082134259402</v>
      </c>
      <c r="U3473">
        <v>0</v>
      </c>
      <c r="V3473">
        <v>0</v>
      </c>
    </row>
    <row r="3474" spans="1:22" x14ac:dyDescent="0.2">
      <c r="A3474"/>
      <c r="B3474">
        <v>74165</v>
      </c>
      <c r="C3474" t="s">
        <v>1670</v>
      </c>
      <c r="D3474" t="s">
        <v>1045</v>
      </c>
      <c r="E3474" t="s">
        <v>1048</v>
      </c>
      <c r="F3474" t="s">
        <v>126</v>
      </c>
      <c r="G3474">
        <v>4656.3969571589878</v>
      </c>
      <c r="H3474" t="s">
        <v>1270</v>
      </c>
      <c r="I3474">
        <v>2.5</v>
      </c>
      <c r="J3474">
        <v>0</v>
      </c>
      <c r="K3474">
        <v>0</v>
      </c>
      <c r="L3474">
        <v>0</v>
      </c>
      <c r="M3474" t="s">
        <v>188</v>
      </c>
      <c r="N3474">
        <v>12671.647165877501</v>
      </c>
      <c r="O3474" t="s">
        <v>12</v>
      </c>
      <c r="P3474" t="b">
        <v>0</v>
      </c>
      <c r="Q3474">
        <v>6567.9782611505043</v>
      </c>
      <c r="R3474">
        <v>33740.927145068461</v>
      </c>
      <c r="S3474">
        <v>3.1073817377234385</v>
      </c>
      <c r="T3474">
        <v>-73.839178657405981</v>
      </c>
      <c r="U3474">
        <v>0</v>
      </c>
      <c r="V3474">
        <v>0</v>
      </c>
    </row>
    <row r="3475" spans="1:22" x14ac:dyDescent="0.2">
      <c r="A3475"/>
      <c r="B3475">
        <v>74166</v>
      </c>
      <c r="C3475" t="s">
        <v>1671</v>
      </c>
      <c r="D3475" t="s">
        <v>1045</v>
      </c>
      <c r="E3475" t="s">
        <v>1048</v>
      </c>
      <c r="F3475" t="s">
        <v>126</v>
      </c>
      <c r="G3475">
        <v>4734.0231930372865</v>
      </c>
      <c r="H3475" t="s">
        <v>12</v>
      </c>
      <c r="I3475">
        <v>-2.5</v>
      </c>
      <c r="J3475">
        <v>0</v>
      </c>
      <c r="K3475">
        <v>0</v>
      </c>
      <c r="L3475">
        <v>0</v>
      </c>
      <c r="M3475" t="s">
        <v>188</v>
      </c>
      <c r="N3475">
        <v>12749.2734017558</v>
      </c>
      <c r="O3475" t="s">
        <v>12</v>
      </c>
      <c r="P3475" t="b">
        <v>1</v>
      </c>
      <c r="Q3475">
        <v>6547.3966498764612</v>
      </c>
      <c r="R3475">
        <v>33815.818882964631</v>
      </c>
      <c r="S3475">
        <v>4.1901861732187093</v>
      </c>
      <c r="T3475">
        <v>104.97273327649147</v>
      </c>
      <c r="U3475">
        <v>0</v>
      </c>
      <c r="V3475">
        <v>0</v>
      </c>
    </row>
    <row r="3476" spans="1:22" x14ac:dyDescent="0.2">
      <c r="A3476"/>
      <c r="B3476">
        <v>74167</v>
      </c>
      <c r="C3476" t="s">
        <v>1672</v>
      </c>
      <c r="D3476" t="s">
        <v>1045</v>
      </c>
      <c r="E3476" t="s">
        <v>1048</v>
      </c>
      <c r="F3476" t="s">
        <v>126</v>
      </c>
      <c r="G3476">
        <v>4734.0231930372865</v>
      </c>
      <c r="H3476" t="s">
        <v>1270</v>
      </c>
      <c r="I3476">
        <v>2.5</v>
      </c>
      <c r="J3476">
        <v>0</v>
      </c>
      <c r="K3476">
        <v>0</v>
      </c>
      <c r="L3476">
        <v>0</v>
      </c>
      <c r="M3476" t="s">
        <v>188</v>
      </c>
      <c r="N3476">
        <v>12749.2734017558</v>
      </c>
      <c r="O3476" t="s">
        <v>12</v>
      </c>
      <c r="P3476" t="b">
        <v>0</v>
      </c>
      <c r="Q3476">
        <v>6547.3966498764612</v>
      </c>
      <c r="R3476">
        <v>33815.818882964631</v>
      </c>
      <c r="S3476">
        <v>4.1901861732187093</v>
      </c>
      <c r="T3476">
        <v>-75.027266723508546</v>
      </c>
      <c r="U3476">
        <v>0</v>
      </c>
      <c r="V3476">
        <v>0</v>
      </c>
    </row>
    <row r="3477" spans="1:22" x14ac:dyDescent="0.2">
      <c r="A3477"/>
      <c r="B3477">
        <v>74168</v>
      </c>
      <c r="C3477" t="s">
        <v>1673</v>
      </c>
      <c r="D3477" t="s">
        <v>1045</v>
      </c>
      <c r="E3477" t="s">
        <v>1050</v>
      </c>
      <c r="F3477" t="s">
        <v>126</v>
      </c>
      <c r="G3477">
        <v>5118.9170846947873</v>
      </c>
      <c r="H3477" t="s">
        <v>12</v>
      </c>
      <c r="I3477">
        <v>-2.5</v>
      </c>
      <c r="J3477">
        <v>0</v>
      </c>
      <c r="K3477">
        <v>0</v>
      </c>
      <c r="L3477">
        <v>0</v>
      </c>
      <c r="M3477" t="s">
        <v>188</v>
      </c>
      <c r="N3477">
        <v>13134.1672934133</v>
      </c>
      <c r="O3477" t="s">
        <v>12</v>
      </c>
      <c r="P3477" t="b">
        <v>1</v>
      </c>
      <c r="Q3477">
        <v>6448.0309932078508</v>
      </c>
      <c r="R3477">
        <v>34187.6676932353</v>
      </c>
      <c r="S3477">
        <v>5.158635847622012</v>
      </c>
      <c r="T3477">
        <v>104.79408445861783</v>
      </c>
      <c r="U3477">
        <v>0</v>
      </c>
      <c r="V3477">
        <v>0</v>
      </c>
    </row>
    <row r="3478" spans="1:22" x14ac:dyDescent="0.2">
      <c r="A3478"/>
      <c r="B3478">
        <v>74169</v>
      </c>
      <c r="C3478" t="s">
        <v>1674</v>
      </c>
      <c r="D3478" t="s">
        <v>1045</v>
      </c>
      <c r="E3478" t="s">
        <v>1048</v>
      </c>
      <c r="F3478" t="s">
        <v>126</v>
      </c>
      <c r="G3478">
        <v>5118.9170846947873</v>
      </c>
      <c r="H3478" t="s">
        <v>1270</v>
      </c>
      <c r="I3478">
        <v>2.5</v>
      </c>
      <c r="J3478">
        <v>0</v>
      </c>
      <c r="K3478">
        <v>0</v>
      </c>
      <c r="L3478">
        <v>0</v>
      </c>
      <c r="M3478" t="s">
        <v>188</v>
      </c>
      <c r="N3478">
        <v>13134.1672934133</v>
      </c>
      <c r="O3478" t="s">
        <v>12</v>
      </c>
      <c r="P3478" t="b">
        <v>0</v>
      </c>
      <c r="Q3478">
        <v>6448.0309932078508</v>
      </c>
      <c r="R3478">
        <v>34187.6676932353</v>
      </c>
      <c r="S3478">
        <v>5.158635847622012</v>
      </c>
      <c r="T3478">
        <v>-75.205915541382168</v>
      </c>
      <c r="U3478">
        <v>0</v>
      </c>
      <c r="V3478">
        <v>0</v>
      </c>
    </row>
    <row r="3479" spans="1:22" x14ac:dyDescent="0.2">
      <c r="A3479"/>
      <c r="B3479">
        <v>74170</v>
      </c>
      <c r="C3479" t="s">
        <v>1675</v>
      </c>
      <c r="D3479" t="s">
        <v>1045</v>
      </c>
      <c r="E3479" t="s">
        <v>1048</v>
      </c>
      <c r="F3479" t="s">
        <v>126</v>
      </c>
      <c r="G3479">
        <v>5349.7357001352866</v>
      </c>
      <c r="H3479" t="s">
        <v>12</v>
      </c>
      <c r="I3479">
        <v>-2.5</v>
      </c>
      <c r="J3479">
        <v>0</v>
      </c>
      <c r="K3479">
        <v>0</v>
      </c>
      <c r="L3479">
        <v>0</v>
      </c>
      <c r="M3479" t="s">
        <v>188</v>
      </c>
      <c r="N3479">
        <v>13364.9859088538</v>
      </c>
      <c r="O3479" t="s">
        <v>12</v>
      </c>
      <c r="P3479" t="b">
        <v>1</v>
      </c>
      <c r="Q3479">
        <v>6424.9226665169936</v>
      </c>
      <c r="R3479">
        <v>34416.651592393326</v>
      </c>
      <c r="S3479">
        <v>3.9947830363280508</v>
      </c>
      <c r="T3479">
        <v>87.638434350351858</v>
      </c>
      <c r="U3479">
        <v>0</v>
      </c>
      <c r="V3479">
        <v>0</v>
      </c>
    </row>
    <row r="3480" spans="1:22" x14ac:dyDescent="0.2">
      <c r="A3480"/>
      <c r="B3480">
        <v>74171</v>
      </c>
      <c r="C3480" t="s">
        <v>1676</v>
      </c>
      <c r="D3480" t="s">
        <v>1045</v>
      </c>
      <c r="E3480" t="s">
        <v>1050</v>
      </c>
      <c r="F3480" t="s">
        <v>126</v>
      </c>
      <c r="G3480">
        <v>5349.7357001352866</v>
      </c>
      <c r="H3480" t="s">
        <v>1270</v>
      </c>
      <c r="I3480">
        <v>2.5</v>
      </c>
      <c r="J3480">
        <v>0</v>
      </c>
      <c r="K3480">
        <v>0</v>
      </c>
      <c r="L3480">
        <v>0</v>
      </c>
      <c r="M3480" t="s">
        <v>188</v>
      </c>
      <c r="N3480">
        <v>13364.9859088538</v>
      </c>
      <c r="O3480" t="s">
        <v>12</v>
      </c>
      <c r="P3480" t="b">
        <v>0</v>
      </c>
      <c r="Q3480">
        <v>6424.9226665169936</v>
      </c>
      <c r="R3480">
        <v>34416.651592393326</v>
      </c>
      <c r="S3480">
        <v>3.9947830363280508</v>
      </c>
      <c r="T3480">
        <v>-92.361565649648171</v>
      </c>
      <c r="U3480">
        <v>0</v>
      </c>
      <c r="V3480">
        <v>0</v>
      </c>
    </row>
    <row r="3481" spans="1:22" x14ac:dyDescent="0.2">
      <c r="A3481"/>
      <c r="B3481">
        <v>74172</v>
      </c>
      <c r="C3481" t="s">
        <v>1677</v>
      </c>
      <c r="D3481" t="s">
        <v>1045</v>
      </c>
      <c r="E3481" t="s">
        <v>1048</v>
      </c>
      <c r="F3481" t="s">
        <v>126</v>
      </c>
      <c r="G3481">
        <v>5694.134065228187</v>
      </c>
      <c r="H3481" t="s">
        <v>12</v>
      </c>
      <c r="I3481">
        <v>-2.5</v>
      </c>
      <c r="J3481">
        <v>0</v>
      </c>
      <c r="K3481">
        <v>0</v>
      </c>
      <c r="L3481">
        <v>0</v>
      </c>
      <c r="M3481" t="s">
        <v>188</v>
      </c>
      <c r="N3481">
        <v>13709.3842739467</v>
      </c>
      <c r="O3481" t="s">
        <v>12</v>
      </c>
      <c r="P3481" t="b">
        <v>1</v>
      </c>
      <c r="Q3481">
        <v>6440.6542201954517</v>
      </c>
      <c r="R3481">
        <v>34760.631972134724</v>
      </c>
      <c r="S3481">
        <v>-2.0897688658991251</v>
      </c>
      <c r="T3481">
        <v>87.592519433255816</v>
      </c>
      <c r="U3481">
        <v>0</v>
      </c>
      <c r="V3481">
        <v>0</v>
      </c>
    </row>
    <row r="3482" spans="1:22" x14ac:dyDescent="0.2">
      <c r="A3482"/>
      <c r="B3482">
        <v>74173</v>
      </c>
      <c r="C3482" t="s">
        <v>1678</v>
      </c>
      <c r="D3482" t="s">
        <v>1045</v>
      </c>
      <c r="E3482" t="s">
        <v>1048</v>
      </c>
      <c r="F3482" t="s">
        <v>126</v>
      </c>
      <c r="G3482">
        <v>5694.134065228187</v>
      </c>
      <c r="H3482" t="s">
        <v>1270</v>
      </c>
      <c r="I3482">
        <v>2.5</v>
      </c>
      <c r="J3482">
        <v>0</v>
      </c>
      <c r="K3482">
        <v>0</v>
      </c>
      <c r="L3482">
        <v>0</v>
      </c>
      <c r="M3482" t="s">
        <v>188</v>
      </c>
      <c r="N3482">
        <v>13709.3842739467</v>
      </c>
      <c r="O3482" t="s">
        <v>12</v>
      </c>
      <c r="P3482" t="b">
        <v>0</v>
      </c>
      <c r="Q3482">
        <v>6440.6542201954517</v>
      </c>
      <c r="R3482">
        <v>34760.631972134724</v>
      </c>
      <c r="S3482">
        <v>-2.0897688658991251</v>
      </c>
      <c r="T3482">
        <v>-92.407480566744198</v>
      </c>
      <c r="U3482">
        <v>0</v>
      </c>
      <c r="V3482">
        <v>0</v>
      </c>
    </row>
    <row r="3483" spans="1:22" x14ac:dyDescent="0.2">
      <c r="A3483"/>
      <c r="B3483">
        <v>74174</v>
      </c>
      <c r="C3483" t="s">
        <v>1679</v>
      </c>
      <c r="D3483" t="s">
        <v>1045</v>
      </c>
      <c r="E3483" t="s">
        <v>1048</v>
      </c>
      <c r="F3483" t="s">
        <v>126</v>
      </c>
      <c r="G3483">
        <v>5771.1030335968862</v>
      </c>
      <c r="H3483" t="s">
        <v>12</v>
      </c>
      <c r="I3483">
        <v>-2.5</v>
      </c>
      <c r="J3483">
        <v>0</v>
      </c>
      <c r="K3483">
        <v>0</v>
      </c>
      <c r="L3483">
        <v>0</v>
      </c>
      <c r="M3483" t="s">
        <v>188</v>
      </c>
      <c r="N3483">
        <v>13786.353242315399</v>
      </c>
      <c r="O3483" t="s">
        <v>12</v>
      </c>
      <c r="P3483" t="b">
        <v>1</v>
      </c>
      <c r="Q3483">
        <v>6443.7736845927975</v>
      </c>
      <c r="R3483">
        <v>34837.530150343831</v>
      </c>
      <c r="S3483">
        <v>-2.1057359151858259</v>
      </c>
      <c r="T3483">
        <v>87.764705441698908</v>
      </c>
      <c r="U3483">
        <v>0</v>
      </c>
      <c r="V3483">
        <v>0</v>
      </c>
    </row>
    <row r="3484" spans="1:22" x14ac:dyDescent="0.2">
      <c r="A3484"/>
      <c r="B3484">
        <v>74175</v>
      </c>
      <c r="C3484" t="s">
        <v>1680</v>
      </c>
      <c r="D3484" t="s">
        <v>1045</v>
      </c>
      <c r="E3484" t="s">
        <v>1048</v>
      </c>
      <c r="F3484" t="s">
        <v>126</v>
      </c>
      <c r="G3484">
        <v>5771.1030335968862</v>
      </c>
      <c r="H3484" t="s">
        <v>1270</v>
      </c>
      <c r="I3484">
        <v>2.5</v>
      </c>
      <c r="J3484">
        <v>0</v>
      </c>
      <c r="K3484">
        <v>0</v>
      </c>
      <c r="L3484">
        <v>0</v>
      </c>
      <c r="M3484" t="s">
        <v>188</v>
      </c>
      <c r="N3484">
        <v>13786.353242315399</v>
      </c>
      <c r="O3484" t="s">
        <v>12</v>
      </c>
      <c r="P3484" t="b">
        <v>0</v>
      </c>
      <c r="Q3484">
        <v>6443.7736845927975</v>
      </c>
      <c r="R3484">
        <v>34837.530150343831</v>
      </c>
      <c r="S3484">
        <v>-2.1057359151858259</v>
      </c>
      <c r="T3484">
        <v>-92.235294558301106</v>
      </c>
      <c r="U3484">
        <v>0</v>
      </c>
      <c r="V3484">
        <v>0</v>
      </c>
    </row>
    <row r="3485" spans="1:22" x14ac:dyDescent="0.2">
      <c r="A3485"/>
      <c r="B3485">
        <v>74176</v>
      </c>
      <c r="C3485" t="s">
        <v>1681</v>
      </c>
      <c r="D3485" t="s">
        <v>1045</v>
      </c>
      <c r="E3485" t="s">
        <v>1050</v>
      </c>
      <c r="F3485" t="s">
        <v>126</v>
      </c>
      <c r="G3485">
        <v>6136.5830088125877</v>
      </c>
      <c r="H3485" t="s">
        <v>12</v>
      </c>
      <c r="I3485">
        <v>-2.5</v>
      </c>
      <c r="J3485">
        <v>0</v>
      </c>
      <c r="K3485">
        <v>0</v>
      </c>
      <c r="L3485">
        <v>0</v>
      </c>
      <c r="M3485" t="s">
        <v>188</v>
      </c>
      <c r="N3485">
        <v>14151.833217531101</v>
      </c>
      <c r="O3485" t="s">
        <v>12</v>
      </c>
      <c r="P3485" t="b">
        <v>1</v>
      </c>
      <c r="Q3485">
        <v>6456.7116234640052</v>
      </c>
      <c r="R3485">
        <v>35202.784540217937</v>
      </c>
      <c r="S3485">
        <v>-2.0891605270553799</v>
      </c>
      <c r="T3485">
        <v>87.663481155664869</v>
      </c>
      <c r="U3485">
        <v>0</v>
      </c>
      <c r="V3485">
        <v>0</v>
      </c>
    </row>
    <row r="3486" spans="1:22" x14ac:dyDescent="0.2">
      <c r="A3486"/>
      <c r="B3486">
        <v>74177</v>
      </c>
      <c r="C3486" t="s">
        <v>1682</v>
      </c>
      <c r="D3486" t="s">
        <v>1045</v>
      </c>
      <c r="E3486" t="s">
        <v>1048</v>
      </c>
      <c r="F3486" t="s">
        <v>126</v>
      </c>
      <c r="G3486">
        <v>6136.5830088125877</v>
      </c>
      <c r="H3486" t="s">
        <v>1270</v>
      </c>
      <c r="I3486">
        <v>2.5</v>
      </c>
      <c r="J3486">
        <v>0</v>
      </c>
      <c r="K3486">
        <v>0</v>
      </c>
      <c r="L3486">
        <v>0</v>
      </c>
      <c r="M3486" t="s">
        <v>188</v>
      </c>
      <c r="N3486">
        <v>14151.833217531101</v>
      </c>
      <c r="O3486" t="s">
        <v>12</v>
      </c>
      <c r="P3486" t="b">
        <v>0</v>
      </c>
      <c r="Q3486">
        <v>6456.7116234640052</v>
      </c>
      <c r="R3486">
        <v>35202.784540217937</v>
      </c>
      <c r="S3486">
        <v>-2.0891605270553799</v>
      </c>
      <c r="T3486">
        <v>-92.33651884433516</v>
      </c>
      <c r="U3486">
        <v>0</v>
      </c>
      <c r="V3486">
        <v>0</v>
      </c>
    </row>
    <row r="3487" spans="1:22" x14ac:dyDescent="0.2">
      <c r="A3487"/>
      <c r="B3487">
        <v>74178</v>
      </c>
      <c r="C3487" t="s">
        <v>1683</v>
      </c>
      <c r="D3487" t="s">
        <v>1045</v>
      </c>
      <c r="E3487" t="s">
        <v>1048</v>
      </c>
      <c r="F3487" t="s">
        <v>126</v>
      </c>
      <c r="G3487">
        <v>6279.5632170681874</v>
      </c>
      <c r="H3487" t="s">
        <v>12</v>
      </c>
      <c r="I3487">
        <v>-2.5</v>
      </c>
      <c r="J3487">
        <v>0</v>
      </c>
      <c r="K3487">
        <v>0</v>
      </c>
      <c r="L3487">
        <v>0</v>
      </c>
      <c r="M3487" t="s">
        <v>188</v>
      </c>
      <c r="N3487">
        <v>14294.8134257867</v>
      </c>
      <c r="O3487" t="s">
        <v>12</v>
      </c>
      <c r="P3487" t="b">
        <v>1</v>
      </c>
      <c r="Q3487">
        <v>6475.5059621849823</v>
      </c>
      <c r="R3487">
        <v>35344.641691282872</v>
      </c>
      <c r="S3487">
        <v>-3.7007286821265435</v>
      </c>
      <c r="T3487">
        <v>77.111435381098005</v>
      </c>
      <c r="U3487">
        <v>0</v>
      </c>
      <c r="V3487">
        <v>0</v>
      </c>
    </row>
    <row r="3488" spans="1:22" x14ac:dyDescent="0.2">
      <c r="A3488"/>
      <c r="B3488">
        <v>74179</v>
      </c>
      <c r="C3488" t="s">
        <v>1684</v>
      </c>
      <c r="D3488" t="s">
        <v>1045</v>
      </c>
      <c r="E3488" t="s">
        <v>1050</v>
      </c>
      <c r="F3488" t="s">
        <v>126</v>
      </c>
      <c r="G3488">
        <v>6279.5632170681874</v>
      </c>
      <c r="H3488" t="s">
        <v>1270</v>
      </c>
      <c r="I3488">
        <v>2.5</v>
      </c>
      <c r="J3488">
        <v>0</v>
      </c>
      <c r="K3488">
        <v>0</v>
      </c>
      <c r="L3488">
        <v>0</v>
      </c>
      <c r="M3488" t="s">
        <v>188</v>
      </c>
      <c r="N3488">
        <v>14294.8134257867</v>
      </c>
      <c r="O3488" t="s">
        <v>12</v>
      </c>
      <c r="P3488" t="b">
        <v>0</v>
      </c>
      <c r="Q3488">
        <v>6475.5059621849823</v>
      </c>
      <c r="R3488">
        <v>35344.641691282872</v>
      </c>
      <c r="S3488">
        <v>-3.7007286821265435</v>
      </c>
      <c r="T3488">
        <v>-102.88856461890201</v>
      </c>
      <c r="U3488">
        <v>0</v>
      </c>
      <c r="V3488">
        <v>0</v>
      </c>
    </row>
    <row r="3489" spans="1:22" x14ac:dyDescent="0.2">
      <c r="A3489"/>
      <c r="B3489">
        <v>74180</v>
      </c>
      <c r="C3489" t="s">
        <v>1685</v>
      </c>
      <c r="D3489" t="s">
        <v>1045</v>
      </c>
      <c r="E3489" t="s">
        <v>1048</v>
      </c>
      <c r="F3489" t="s">
        <v>126</v>
      </c>
      <c r="G3489">
        <v>6323.8846291366863</v>
      </c>
      <c r="H3489" t="s">
        <v>12</v>
      </c>
      <c r="I3489">
        <v>-2.5</v>
      </c>
      <c r="J3489">
        <v>0</v>
      </c>
      <c r="K3489">
        <v>0</v>
      </c>
      <c r="L3489">
        <v>0</v>
      </c>
      <c r="M3489" t="s">
        <v>188</v>
      </c>
      <c r="N3489">
        <v>14339.134837855199</v>
      </c>
      <c r="O3489" t="s">
        <v>12</v>
      </c>
      <c r="P3489" t="b">
        <v>1</v>
      </c>
      <c r="Q3489">
        <v>6485.5410771779225</v>
      </c>
      <c r="R3489">
        <v>35387.809486175247</v>
      </c>
      <c r="S3489">
        <v>-4.5792640143907093</v>
      </c>
      <c r="T3489">
        <v>76.969396886574202</v>
      </c>
      <c r="U3489">
        <v>0</v>
      </c>
      <c r="V3489">
        <v>0</v>
      </c>
    </row>
    <row r="3490" spans="1:22" x14ac:dyDescent="0.2">
      <c r="A3490"/>
      <c r="B3490">
        <v>74181</v>
      </c>
      <c r="C3490" t="s">
        <v>1686</v>
      </c>
      <c r="D3490" t="s">
        <v>1045</v>
      </c>
      <c r="E3490" t="s">
        <v>1048</v>
      </c>
      <c r="F3490" t="s">
        <v>126</v>
      </c>
      <c r="G3490">
        <v>6323.8846291366863</v>
      </c>
      <c r="H3490" t="s">
        <v>1270</v>
      </c>
      <c r="I3490">
        <v>2.5</v>
      </c>
      <c r="J3490">
        <v>0</v>
      </c>
      <c r="K3490">
        <v>0</v>
      </c>
      <c r="L3490">
        <v>0</v>
      </c>
      <c r="M3490" t="s">
        <v>188</v>
      </c>
      <c r="N3490">
        <v>14339.134837855199</v>
      </c>
      <c r="O3490" t="s">
        <v>12</v>
      </c>
      <c r="P3490" t="b">
        <v>0</v>
      </c>
      <c r="Q3490">
        <v>6485.5410771779225</v>
      </c>
      <c r="R3490">
        <v>35387.809486175247</v>
      </c>
      <c r="S3490">
        <v>-4.5792640143907093</v>
      </c>
      <c r="T3490">
        <v>-103.03060311342581</v>
      </c>
      <c r="U3490">
        <v>0</v>
      </c>
      <c r="V3490">
        <v>0</v>
      </c>
    </row>
    <row r="3491" spans="1:22" x14ac:dyDescent="0.2">
      <c r="A3491"/>
      <c r="B3491">
        <v>74182</v>
      </c>
      <c r="C3491" t="s">
        <v>1687</v>
      </c>
      <c r="D3491" t="s">
        <v>1045</v>
      </c>
      <c r="E3491" t="s">
        <v>1048</v>
      </c>
      <c r="F3491" t="s">
        <v>126</v>
      </c>
      <c r="G3491">
        <v>6403.3649479899868</v>
      </c>
      <c r="H3491" t="s">
        <v>12</v>
      </c>
      <c r="I3491">
        <v>-2.5</v>
      </c>
      <c r="J3491">
        <v>0</v>
      </c>
      <c r="K3491">
        <v>0</v>
      </c>
      <c r="L3491">
        <v>0</v>
      </c>
      <c r="M3491" t="s">
        <v>188</v>
      </c>
      <c r="N3491">
        <v>14418.6151567085</v>
      </c>
      <c r="O3491" t="s">
        <v>12</v>
      </c>
      <c r="P3491" t="b">
        <v>1</v>
      </c>
      <c r="Q3491">
        <v>6501.9739174114675</v>
      </c>
      <c r="R3491">
        <v>35465.483524776755</v>
      </c>
      <c r="S3491">
        <v>-6.161929065862231</v>
      </c>
      <c r="T3491">
        <v>78.533375963639344</v>
      </c>
      <c r="U3491">
        <v>0</v>
      </c>
      <c r="V3491">
        <v>0</v>
      </c>
    </row>
    <row r="3492" spans="1:22" x14ac:dyDescent="0.2">
      <c r="A3492"/>
      <c r="B3492">
        <v>74183</v>
      </c>
      <c r="C3492" t="s">
        <v>1688</v>
      </c>
      <c r="D3492" t="s">
        <v>1045</v>
      </c>
      <c r="E3492" t="s">
        <v>1048</v>
      </c>
      <c r="F3492" t="s">
        <v>126</v>
      </c>
      <c r="G3492">
        <v>6403.3649479899868</v>
      </c>
      <c r="H3492" t="s">
        <v>1270</v>
      </c>
      <c r="I3492">
        <v>2.5</v>
      </c>
      <c r="J3492">
        <v>0</v>
      </c>
      <c r="K3492">
        <v>0</v>
      </c>
      <c r="L3492">
        <v>0</v>
      </c>
      <c r="M3492" t="s">
        <v>188</v>
      </c>
      <c r="N3492">
        <v>14418.6151567085</v>
      </c>
      <c r="O3492" t="s">
        <v>12</v>
      </c>
      <c r="P3492" t="b">
        <v>0</v>
      </c>
      <c r="Q3492">
        <v>6501.9739174114675</v>
      </c>
      <c r="R3492">
        <v>35465.483524776755</v>
      </c>
      <c r="S3492">
        <v>-6.161929065862231</v>
      </c>
      <c r="T3492">
        <v>-101.46662403636067</v>
      </c>
      <c r="U3492">
        <v>0</v>
      </c>
      <c r="V3492">
        <v>0</v>
      </c>
    </row>
    <row r="3493" spans="1:22" x14ac:dyDescent="0.2">
      <c r="A3493"/>
      <c r="B3493">
        <v>74184</v>
      </c>
      <c r="C3493" t="s">
        <v>1689</v>
      </c>
      <c r="D3493" t="s">
        <v>1045</v>
      </c>
      <c r="E3493" t="s">
        <v>1048</v>
      </c>
      <c r="F3493" t="s">
        <v>126</v>
      </c>
      <c r="G3493">
        <v>6623.5201338336883</v>
      </c>
      <c r="H3493" t="s">
        <v>12</v>
      </c>
      <c r="I3493">
        <v>-2.5</v>
      </c>
      <c r="J3493">
        <v>0</v>
      </c>
      <c r="K3493">
        <v>0</v>
      </c>
      <c r="L3493">
        <v>0</v>
      </c>
      <c r="M3493" t="s">
        <v>188</v>
      </c>
      <c r="N3493">
        <v>14638.7703425522</v>
      </c>
      <c r="O3493" t="s">
        <v>12</v>
      </c>
      <c r="P3493" t="b">
        <v>1</v>
      </c>
      <c r="Q3493">
        <v>6545.1606983541751</v>
      </c>
      <c r="R3493">
        <v>35681.355659275723</v>
      </c>
      <c r="S3493">
        <v>-5.9852501117966099</v>
      </c>
      <c r="T3493">
        <v>78.458888560309063</v>
      </c>
      <c r="U3493">
        <v>0</v>
      </c>
      <c r="V3493">
        <v>0</v>
      </c>
    </row>
    <row r="3494" spans="1:22" x14ac:dyDescent="0.2">
      <c r="A3494"/>
      <c r="B3494">
        <v>74185</v>
      </c>
      <c r="C3494" t="s">
        <v>1690</v>
      </c>
      <c r="D3494" t="s">
        <v>1045</v>
      </c>
      <c r="E3494" t="s">
        <v>1048</v>
      </c>
      <c r="F3494" t="s">
        <v>126</v>
      </c>
      <c r="G3494">
        <v>6623.5201338336883</v>
      </c>
      <c r="H3494" t="s">
        <v>1270</v>
      </c>
      <c r="I3494">
        <v>2.5</v>
      </c>
      <c r="J3494">
        <v>0</v>
      </c>
      <c r="K3494">
        <v>0</v>
      </c>
      <c r="L3494">
        <v>0</v>
      </c>
      <c r="M3494" t="s">
        <v>188</v>
      </c>
      <c r="N3494">
        <v>14638.7703425522</v>
      </c>
      <c r="O3494" t="s">
        <v>12</v>
      </c>
      <c r="P3494" t="b">
        <v>0</v>
      </c>
      <c r="Q3494">
        <v>6545.1606983541751</v>
      </c>
      <c r="R3494">
        <v>35681.355659275723</v>
      </c>
      <c r="S3494">
        <v>-5.9852501117966099</v>
      </c>
      <c r="T3494">
        <v>-101.54111143969097</v>
      </c>
      <c r="U3494">
        <v>0</v>
      </c>
      <c r="V3494">
        <v>0</v>
      </c>
    </row>
    <row r="3495" spans="1:22" x14ac:dyDescent="0.2">
      <c r="A3495"/>
      <c r="B3495">
        <v>74186</v>
      </c>
      <c r="C3495" t="s">
        <v>1691</v>
      </c>
      <c r="D3495" t="s">
        <v>1045</v>
      </c>
      <c r="E3495" t="s">
        <v>1051</v>
      </c>
      <c r="F3495" t="s">
        <v>126</v>
      </c>
      <c r="G3495">
        <v>6698.7625487441874</v>
      </c>
      <c r="H3495" t="s">
        <v>12</v>
      </c>
      <c r="I3495">
        <v>-2.5</v>
      </c>
      <c r="J3495">
        <v>0</v>
      </c>
      <c r="K3495">
        <v>0</v>
      </c>
      <c r="L3495">
        <v>0</v>
      </c>
      <c r="M3495" t="s">
        <v>188</v>
      </c>
      <c r="N3495">
        <v>14714.0127574627</v>
      </c>
      <c r="O3495" t="s">
        <v>12</v>
      </c>
      <c r="P3495" t="b">
        <v>1</v>
      </c>
      <c r="Q3495">
        <v>6560.9097637682444</v>
      </c>
      <c r="R3495">
        <v>35754.978332128288</v>
      </c>
      <c r="S3495">
        <v>-5.3051096586213342</v>
      </c>
      <c r="T3495">
        <v>77.287648787675408</v>
      </c>
      <c r="U3495">
        <v>0</v>
      </c>
      <c r="V3495">
        <v>0</v>
      </c>
    </row>
    <row r="3496" spans="1:22" x14ac:dyDescent="0.2">
      <c r="A3496"/>
      <c r="B3496">
        <v>74187</v>
      </c>
      <c r="C3496" t="s">
        <v>1692</v>
      </c>
      <c r="D3496" t="s">
        <v>1045</v>
      </c>
      <c r="E3496" t="s">
        <v>1048</v>
      </c>
      <c r="F3496" t="s">
        <v>126</v>
      </c>
      <c r="G3496">
        <v>6698.7625487441874</v>
      </c>
      <c r="H3496" t="s">
        <v>1270</v>
      </c>
      <c r="I3496">
        <v>2.5</v>
      </c>
      <c r="J3496">
        <v>0</v>
      </c>
      <c r="K3496">
        <v>0</v>
      </c>
      <c r="L3496">
        <v>0</v>
      </c>
      <c r="M3496" t="s">
        <v>188</v>
      </c>
      <c r="N3496">
        <v>14714.0127574627</v>
      </c>
      <c r="O3496" t="s">
        <v>12</v>
      </c>
      <c r="P3496" t="b">
        <v>0</v>
      </c>
      <c r="Q3496">
        <v>6560.9097637682444</v>
      </c>
      <c r="R3496">
        <v>35754.978332128288</v>
      </c>
      <c r="S3496">
        <v>-5.3051096586213342</v>
      </c>
      <c r="T3496">
        <v>-102.71235121232458</v>
      </c>
      <c r="U3496">
        <v>0</v>
      </c>
      <c r="V3496">
        <v>0</v>
      </c>
    </row>
    <row r="3497" spans="1:22" x14ac:dyDescent="0.2">
      <c r="A3497"/>
      <c r="B3497">
        <v>74188</v>
      </c>
      <c r="C3497" t="s">
        <v>1693</v>
      </c>
      <c r="D3497" t="s">
        <v>1045</v>
      </c>
      <c r="E3497" t="s">
        <v>1047</v>
      </c>
      <c r="F3497" t="s">
        <v>126</v>
      </c>
      <c r="G3497">
        <v>6807.9376250855894</v>
      </c>
      <c r="H3497" t="s">
        <v>12</v>
      </c>
      <c r="I3497">
        <v>-2.5</v>
      </c>
      <c r="J3497">
        <v>0</v>
      </c>
      <c r="K3497">
        <v>0</v>
      </c>
      <c r="L3497">
        <v>0</v>
      </c>
      <c r="M3497" t="s">
        <v>188</v>
      </c>
      <c r="N3497">
        <v>14823.187833804101</v>
      </c>
      <c r="O3497" t="s">
        <v>12</v>
      </c>
      <c r="P3497" t="b">
        <v>1</v>
      </c>
      <c r="Q3497">
        <v>6579.7575685260472</v>
      </c>
      <c r="R3497">
        <v>35862.201733933209</v>
      </c>
      <c r="S3497">
        <v>-4.3383569423504786</v>
      </c>
      <c r="T3497">
        <v>82.80428644712336</v>
      </c>
      <c r="U3497">
        <v>0</v>
      </c>
      <c r="V3497">
        <v>0</v>
      </c>
    </row>
    <row r="3498" spans="1:22" x14ac:dyDescent="0.2">
      <c r="A3498"/>
      <c r="B3498">
        <v>74189</v>
      </c>
      <c r="C3498" t="s">
        <v>1694</v>
      </c>
      <c r="D3498" t="s">
        <v>1045</v>
      </c>
      <c r="E3498" t="s">
        <v>1051</v>
      </c>
      <c r="F3498" t="s">
        <v>126</v>
      </c>
      <c r="G3498">
        <v>6807.9376250855894</v>
      </c>
      <c r="H3498" t="s">
        <v>1270</v>
      </c>
      <c r="I3498">
        <v>2.5</v>
      </c>
      <c r="J3498">
        <v>0</v>
      </c>
      <c r="K3498">
        <v>0</v>
      </c>
      <c r="L3498">
        <v>0</v>
      </c>
      <c r="M3498" t="s">
        <v>188</v>
      </c>
      <c r="N3498">
        <v>14823.187833804101</v>
      </c>
      <c r="O3498" t="s">
        <v>12</v>
      </c>
      <c r="P3498" t="b">
        <v>0</v>
      </c>
      <c r="Q3498">
        <v>6579.7575685260472</v>
      </c>
      <c r="R3498">
        <v>35862.201733933209</v>
      </c>
      <c r="S3498">
        <v>-4.3383569423504786</v>
      </c>
      <c r="T3498">
        <v>-97.195713552876654</v>
      </c>
      <c r="U3498">
        <v>0</v>
      </c>
      <c r="V3498">
        <v>0</v>
      </c>
    </row>
    <row r="3499" spans="1:22" x14ac:dyDescent="0.2">
      <c r="A3499"/>
      <c r="B3499">
        <v>74190</v>
      </c>
      <c r="C3499" t="s">
        <v>1695</v>
      </c>
      <c r="D3499" t="s">
        <v>1045</v>
      </c>
      <c r="E3499" t="s">
        <v>1048</v>
      </c>
      <c r="F3499" t="s">
        <v>126</v>
      </c>
      <c r="G3499">
        <v>6892.9998127894869</v>
      </c>
      <c r="H3499" t="s">
        <v>12</v>
      </c>
      <c r="I3499">
        <v>-2.5</v>
      </c>
      <c r="J3499">
        <v>0</v>
      </c>
      <c r="K3499">
        <v>0</v>
      </c>
      <c r="L3499">
        <v>0</v>
      </c>
      <c r="M3499" t="s">
        <v>188</v>
      </c>
      <c r="N3499">
        <v>14908.250021508</v>
      </c>
      <c r="O3499" t="s">
        <v>12</v>
      </c>
      <c r="P3499" t="b">
        <v>1</v>
      </c>
      <c r="Q3499">
        <v>6593.395443979598</v>
      </c>
      <c r="R3499">
        <v>35946.300798937125</v>
      </c>
      <c r="S3499">
        <v>-4.0020379065496998</v>
      </c>
      <c r="T3499">
        <v>79.051114897630029</v>
      </c>
      <c r="U3499">
        <v>0</v>
      </c>
      <c r="V3499">
        <v>0</v>
      </c>
    </row>
    <row r="3500" spans="1:22" x14ac:dyDescent="0.2">
      <c r="A3500"/>
      <c r="B3500">
        <v>74191</v>
      </c>
      <c r="C3500" t="s">
        <v>1696</v>
      </c>
      <c r="D3500" t="s">
        <v>1045</v>
      </c>
      <c r="E3500" t="s">
        <v>1047</v>
      </c>
      <c r="F3500" t="s">
        <v>126</v>
      </c>
      <c r="G3500">
        <v>6892.9998127894869</v>
      </c>
      <c r="H3500" t="s">
        <v>1270</v>
      </c>
      <c r="I3500">
        <v>2.5</v>
      </c>
      <c r="J3500">
        <v>0</v>
      </c>
      <c r="K3500">
        <v>0</v>
      </c>
      <c r="L3500">
        <v>0</v>
      </c>
      <c r="M3500" t="s">
        <v>188</v>
      </c>
      <c r="N3500">
        <v>14908.250021508</v>
      </c>
      <c r="O3500" t="s">
        <v>12</v>
      </c>
      <c r="P3500" t="b">
        <v>0</v>
      </c>
      <c r="Q3500">
        <v>6593.395443979598</v>
      </c>
      <c r="R3500">
        <v>35946.300798937125</v>
      </c>
      <c r="S3500">
        <v>-4.0020379065496998</v>
      </c>
      <c r="T3500">
        <v>-100.94888510236999</v>
      </c>
      <c r="U3500">
        <v>0</v>
      </c>
      <c r="V3500">
        <v>0</v>
      </c>
    </row>
    <row r="3501" spans="1:22" x14ac:dyDescent="0.2">
      <c r="A3501"/>
      <c r="B3501">
        <v>74192</v>
      </c>
      <c r="C3501" t="s">
        <v>1697</v>
      </c>
      <c r="D3501" t="s">
        <v>1045</v>
      </c>
      <c r="E3501" t="s">
        <v>1048</v>
      </c>
      <c r="F3501" t="s">
        <v>126</v>
      </c>
      <c r="G3501">
        <v>7076.7796564573873</v>
      </c>
      <c r="H3501" t="s">
        <v>12</v>
      </c>
      <c r="I3501">
        <v>-2.5</v>
      </c>
      <c r="J3501">
        <v>0</v>
      </c>
      <c r="K3501">
        <v>0</v>
      </c>
      <c r="L3501">
        <v>0</v>
      </c>
      <c r="M3501" t="s">
        <v>188</v>
      </c>
      <c r="N3501">
        <v>15092.0298651759</v>
      </c>
      <c r="O3501" t="s">
        <v>12</v>
      </c>
      <c r="P3501" t="b">
        <v>1</v>
      </c>
      <c r="Q3501">
        <v>6628.5284481177596</v>
      </c>
      <c r="R3501">
        <v>36126.691695532725</v>
      </c>
      <c r="S3501">
        <v>-3.9971001329792815</v>
      </c>
      <c r="T3501">
        <v>79.039776971884677</v>
      </c>
      <c r="U3501">
        <v>0</v>
      </c>
      <c r="V3501">
        <v>0</v>
      </c>
    </row>
    <row r="3502" spans="1:22" x14ac:dyDescent="0.2">
      <c r="A3502"/>
      <c r="B3502">
        <v>74193</v>
      </c>
      <c r="C3502" t="s">
        <v>1698</v>
      </c>
      <c r="D3502" t="s">
        <v>1045</v>
      </c>
      <c r="E3502" t="s">
        <v>1048</v>
      </c>
      <c r="F3502" t="s">
        <v>126</v>
      </c>
      <c r="G3502">
        <v>7076.7796564573873</v>
      </c>
      <c r="H3502" t="s">
        <v>1270</v>
      </c>
      <c r="I3502">
        <v>2.5</v>
      </c>
      <c r="J3502">
        <v>0</v>
      </c>
      <c r="K3502">
        <v>0</v>
      </c>
      <c r="L3502">
        <v>0</v>
      </c>
      <c r="M3502" t="s">
        <v>188</v>
      </c>
      <c r="N3502">
        <v>15092.0298651759</v>
      </c>
      <c r="O3502" t="s">
        <v>12</v>
      </c>
      <c r="P3502" t="b">
        <v>0</v>
      </c>
      <c r="Q3502">
        <v>6628.5284481177596</v>
      </c>
      <c r="R3502">
        <v>36126.691695532725</v>
      </c>
      <c r="S3502">
        <v>-3.9971001329792815</v>
      </c>
      <c r="T3502">
        <v>-100.96022302811535</v>
      </c>
      <c r="U3502">
        <v>0</v>
      </c>
      <c r="V3502">
        <v>0</v>
      </c>
    </row>
    <row r="3503" spans="1:22" x14ac:dyDescent="0.2">
      <c r="A3503"/>
      <c r="B3503">
        <v>74194</v>
      </c>
      <c r="C3503" t="s">
        <v>1699</v>
      </c>
      <c r="D3503" t="s">
        <v>1045</v>
      </c>
      <c r="E3503" t="s">
        <v>1048</v>
      </c>
      <c r="F3503" t="s">
        <v>126</v>
      </c>
      <c r="G3503">
        <v>7150.7271562742862</v>
      </c>
      <c r="H3503" t="s">
        <v>12</v>
      </c>
      <c r="I3503">
        <v>-2.5</v>
      </c>
      <c r="J3503">
        <v>0</v>
      </c>
      <c r="K3503">
        <v>0</v>
      </c>
      <c r="L3503">
        <v>0</v>
      </c>
      <c r="M3503" t="s">
        <v>188</v>
      </c>
      <c r="N3503">
        <v>15165.977364992799</v>
      </c>
      <c r="O3503" t="s">
        <v>12</v>
      </c>
      <c r="P3503" t="b">
        <v>1</v>
      </c>
      <c r="Q3503">
        <v>6642.4552098786298</v>
      </c>
      <c r="R3503">
        <v>36199.304933506559</v>
      </c>
      <c r="S3503">
        <v>-3.9963917894331038</v>
      </c>
      <c r="T3503">
        <v>79.285835624840331</v>
      </c>
      <c r="U3503">
        <v>0</v>
      </c>
      <c r="V3503">
        <v>0</v>
      </c>
    </row>
    <row r="3504" spans="1:22" x14ac:dyDescent="0.2">
      <c r="A3504"/>
      <c r="B3504">
        <v>74195</v>
      </c>
      <c r="C3504" t="s">
        <v>1700</v>
      </c>
      <c r="D3504" t="s">
        <v>1045</v>
      </c>
      <c r="E3504" t="s">
        <v>1048</v>
      </c>
      <c r="F3504" t="s">
        <v>126</v>
      </c>
      <c r="G3504">
        <v>7150.7271562742862</v>
      </c>
      <c r="H3504" t="s">
        <v>1270</v>
      </c>
      <c r="I3504">
        <v>2.5</v>
      </c>
      <c r="J3504">
        <v>0</v>
      </c>
      <c r="K3504">
        <v>0</v>
      </c>
      <c r="L3504">
        <v>0</v>
      </c>
      <c r="M3504" t="s">
        <v>188</v>
      </c>
      <c r="N3504">
        <v>15165.977364992799</v>
      </c>
      <c r="O3504" t="s">
        <v>12</v>
      </c>
      <c r="P3504" t="b">
        <v>0</v>
      </c>
      <c r="Q3504">
        <v>6642.4552098786298</v>
      </c>
      <c r="R3504">
        <v>36199.304933506559</v>
      </c>
      <c r="S3504">
        <v>-3.9963917894331038</v>
      </c>
      <c r="T3504">
        <v>-100.71416437515968</v>
      </c>
      <c r="U3504">
        <v>0</v>
      </c>
      <c r="V3504">
        <v>0</v>
      </c>
    </row>
    <row r="3505" spans="1:22" x14ac:dyDescent="0.2">
      <c r="A3505"/>
      <c r="B3505">
        <v>74196</v>
      </c>
      <c r="C3505" t="s">
        <v>1701</v>
      </c>
      <c r="D3505" t="s">
        <v>1045</v>
      </c>
      <c r="E3505" t="s">
        <v>1049</v>
      </c>
      <c r="F3505" t="s">
        <v>127</v>
      </c>
      <c r="G3505">
        <v>139.49075593973794</v>
      </c>
      <c r="H3505" t="s">
        <v>12</v>
      </c>
      <c r="I3505">
        <v>-2.5</v>
      </c>
      <c r="J3505">
        <v>0</v>
      </c>
      <c r="K3505">
        <v>0</v>
      </c>
      <c r="L3505">
        <v>0</v>
      </c>
      <c r="M3505" t="s">
        <v>188</v>
      </c>
      <c r="N3505">
        <v>15364.2396082506</v>
      </c>
      <c r="O3505" t="s">
        <v>12</v>
      </c>
      <c r="P3505" t="b">
        <v>1</v>
      </c>
      <c r="Q3505">
        <v>6679.0206083438216</v>
      </c>
      <c r="R3505">
        <v>36394.164737369938</v>
      </c>
      <c r="S3505">
        <v>-4.0092999738527659</v>
      </c>
      <c r="T3505">
        <v>79.316393962336122</v>
      </c>
      <c r="U3505">
        <v>0</v>
      </c>
      <c r="V3505">
        <v>0</v>
      </c>
    </row>
    <row r="3506" spans="1:22" x14ac:dyDescent="0.2">
      <c r="A3506"/>
      <c r="B3506">
        <v>74197</v>
      </c>
      <c r="C3506" t="s">
        <v>1702</v>
      </c>
      <c r="D3506" t="s">
        <v>1045</v>
      </c>
      <c r="E3506" t="s">
        <v>1048</v>
      </c>
      <c r="F3506" t="s">
        <v>127</v>
      </c>
      <c r="G3506">
        <v>139.49075593973794</v>
      </c>
      <c r="H3506" t="s">
        <v>1270</v>
      </c>
      <c r="I3506">
        <v>2.5</v>
      </c>
      <c r="J3506">
        <v>0</v>
      </c>
      <c r="K3506">
        <v>0</v>
      </c>
      <c r="L3506">
        <v>0</v>
      </c>
      <c r="M3506" t="s">
        <v>188</v>
      </c>
      <c r="N3506">
        <v>15364.2396082506</v>
      </c>
      <c r="O3506" t="s">
        <v>12</v>
      </c>
      <c r="P3506" t="b">
        <v>0</v>
      </c>
      <c r="Q3506">
        <v>6679.0206083438216</v>
      </c>
      <c r="R3506">
        <v>36394.164737369938</v>
      </c>
      <c r="S3506">
        <v>-4.0092999738527659</v>
      </c>
      <c r="T3506">
        <v>-100.68360603766389</v>
      </c>
      <c r="U3506">
        <v>0</v>
      </c>
      <c r="V3506">
        <v>0</v>
      </c>
    </row>
    <row r="3507" spans="1:22" x14ac:dyDescent="0.2">
      <c r="A3507"/>
      <c r="B3507">
        <v>74198</v>
      </c>
      <c r="C3507" t="s">
        <v>1703</v>
      </c>
      <c r="D3507" t="s">
        <v>1045</v>
      </c>
      <c r="E3507" t="s">
        <v>1048</v>
      </c>
      <c r="F3507" t="s">
        <v>127</v>
      </c>
      <c r="G3507">
        <v>440.33709137763617</v>
      </c>
      <c r="H3507" t="s">
        <v>12</v>
      </c>
      <c r="I3507">
        <v>-2.5</v>
      </c>
      <c r="J3507">
        <v>0</v>
      </c>
      <c r="K3507">
        <v>0</v>
      </c>
      <c r="L3507">
        <v>0</v>
      </c>
      <c r="M3507" t="s">
        <v>188</v>
      </c>
      <c r="N3507">
        <v>15665.0859436885</v>
      </c>
      <c r="O3507" t="s">
        <v>12</v>
      </c>
      <c r="P3507" t="b">
        <v>1</v>
      </c>
      <c r="Q3507">
        <v>6791.251432869989</v>
      </c>
      <c r="R3507">
        <v>36671.167748342312</v>
      </c>
      <c r="S3507">
        <v>-9.2481779494042087</v>
      </c>
      <c r="T3507">
        <v>54.040231356748869</v>
      </c>
      <c r="U3507">
        <v>0</v>
      </c>
      <c r="V3507">
        <v>0</v>
      </c>
    </row>
    <row r="3508" spans="1:22" x14ac:dyDescent="0.2">
      <c r="A3508"/>
      <c r="B3508">
        <v>74199</v>
      </c>
      <c r="C3508" t="s">
        <v>1704</v>
      </c>
      <c r="D3508" t="s">
        <v>1045</v>
      </c>
      <c r="E3508" t="s">
        <v>1049</v>
      </c>
      <c r="F3508" t="s">
        <v>127</v>
      </c>
      <c r="G3508">
        <v>440.33709137763617</v>
      </c>
      <c r="H3508" t="s">
        <v>1270</v>
      </c>
      <c r="I3508">
        <v>2.5</v>
      </c>
      <c r="J3508">
        <v>0</v>
      </c>
      <c r="K3508">
        <v>0</v>
      </c>
      <c r="L3508">
        <v>0</v>
      </c>
      <c r="M3508" t="s">
        <v>188</v>
      </c>
      <c r="N3508">
        <v>15665.0859436885</v>
      </c>
      <c r="O3508" t="s">
        <v>12</v>
      </c>
      <c r="P3508" t="b">
        <v>0</v>
      </c>
      <c r="Q3508">
        <v>6791.251432869989</v>
      </c>
      <c r="R3508">
        <v>36671.167748342312</v>
      </c>
      <c r="S3508">
        <v>-9.2481779494042087</v>
      </c>
      <c r="T3508">
        <v>-125.95976864325114</v>
      </c>
      <c r="U3508">
        <v>0</v>
      </c>
      <c r="V3508">
        <v>0</v>
      </c>
    </row>
    <row r="3509" spans="1:22" x14ac:dyDescent="0.2">
      <c r="A3509"/>
      <c r="B3509">
        <v>74200</v>
      </c>
      <c r="C3509" t="s">
        <v>1705</v>
      </c>
      <c r="D3509" t="s">
        <v>1045</v>
      </c>
      <c r="E3509" t="s">
        <v>1048</v>
      </c>
      <c r="F3509" t="s">
        <v>127</v>
      </c>
      <c r="G3509">
        <v>449.34838401973502</v>
      </c>
      <c r="H3509" t="s">
        <v>12</v>
      </c>
      <c r="I3509">
        <v>-2.5</v>
      </c>
      <c r="J3509">
        <v>0</v>
      </c>
      <c r="K3509">
        <v>0</v>
      </c>
      <c r="L3509">
        <v>0</v>
      </c>
      <c r="M3509" t="s">
        <v>188</v>
      </c>
      <c r="N3509">
        <v>15674.097236330599</v>
      </c>
      <c r="O3509" t="s">
        <v>12</v>
      </c>
      <c r="P3509" t="b">
        <v>1</v>
      </c>
      <c r="Q3509">
        <v>6796.5836772488365</v>
      </c>
      <c r="R3509">
        <v>36678.455937576196</v>
      </c>
      <c r="S3509">
        <v>-9.2710002310809898</v>
      </c>
      <c r="T3509">
        <v>53.598073542995692</v>
      </c>
      <c r="U3509">
        <v>0</v>
      </c>
      <c r="V3509">
        <v>0</v>
      </c>
    </row>
    <row r="3510" spans="1:22" x14ac:dyDescent="0.2">
      <c r="A3510"/>
      <c r="B3510">
        <v>74201</v>
      </c>
      <c r="C3510" t="s">
        <v>1706</v>
      </c>
      <c r="D3510" t="s">
        <v>1045</v>
      </c>
      <c r="E3510" t="s">
        <v>1048</v>
      </c>
      <c r="F3510" t="s">
        <v>127</v>
      </c>
      <c r="G3510">
        <v>449.34838401973502</v>
      </c>
      <c r="H3510" t="s">
        <v>1270</v>
      </c>
      <c r="I3510">
        <v>2.5</v>
      </c>
      <c r="J3510">
        <v>0</v>
      </c>
      <c r="K3510">
        <v>0</v>
      </c>
      <c r="L3510">
        <v>0</v>
      </c>
      <c r="M3510" t="s">
        <v>188</v>
      </c>
      <c r="N3510">
        <v>15674.097236330599</v>
      </c>
      <c r="O3510" t="s">
        <v>12</v>
      </c>
      <c r="P3510" t="b">
        <v>0</v>
      </c>
      <c r="Q3510">
        <v>6796.5836772488365</v>
      </c>
      <c r="R3510">
        <v>36678.455937576196</v>
      </c>
      <c r="S3510">
        <v>-9.2710002310809898</v>
      </c>
      <c r="T3510">
        <v>-126.40192645700432</v>
      </c>
      <c r="U3510">
        <v>0</v>
      </c>
      <c r="V3510">
        <v>0</v>
      </c>
    </row>
    <row r="3511" spans="1:22" x14ac:dyDescent="0.2">
      <c r="A3511"/>
      <c r="B3511">
        <v>74202</v>
      </c>
      <c r="C3511" t="s">
        <v>1707</v>
      </c>
      <c r="D3511" t="s">
        <v>1045</v>
      </c>
      <c r="E3511" t="s">
        <v>1048</v>
      </c>
      <c r="F3511" t="s">
        <v>127</v>
      </c>
      <c r="G3511">
        <v>363.40939989583603</v>
      </c>
      <c r="H3511" t="s">
        <v>12</v>
      </c>
      <c r="I3511">
        <v>-2.5</v>
      </c>
      <c r="J3511">
        <v>0</v>
      </c>
      <c r="K3511">
        <v>0</v>
      </c>
      <c r="L3511">
        <v>0</v>
      </c>
      <c r="M3511" t="s">
        <v>188</v>
      </c>
      <c r="N3511">
        <v>15588.1582522067</v>
      </c>
      <c r="O3511" t="s">
        <v>12</v>
      </c>
      <c r="P3511" t="b">
        <v>1</v>
      </c>
      <c r="Q3511">
        <v>6749.5275002635026</v>
      </c>
      <c r="R3511">
        <v>36606.244733855907</v>
      </c>
      <c r="S3511">
        <v>-8.3540648526562045</v>
      </c>
      <c r="T3511">
        <v>61.021947851009052</v>
      </c>
      <c r="U3511">
        <v>0</v>
      </c>
      <c r="V3511">
        <v>0</v>
      </c>
    </row>
    <row r="3512" spans="1:22" x14ac:dyDescent="0.2">
      <c r="A3512"/>
      <c r="B3512">
        <v>74203</v>
      </c>
      <c r="C3512" t="s">
        <v>1708</v>
      </c>
      <c r="D3512" t="s">
        <v>1045</v>
      </c>
      <c r="E3512" t="s">
        <v>1048</v>
      </c>
      <c r="F3512" t="s">
        <v>127</v>
      </c>
      <c r="G3512">
        <v>363.40939989583603</v>
      </c>
      <c r="H3512" t="s">
        <v>1270</v>
      </c>
      <c r="I3512">
        <v>2.5</v>
      </c>
      <c r="J3512">
        <v>0</v>
      </c>
      <c r="K3512">
        <v>0</v>
      </c>
      <c r="L3512">
        <v>0</v>
      </c>
      <c r="M3512" t="s">
        <v>188</v>
      </c>
      <c r="N3512">
        <v>15588.1582522067</v>
      </c>
      <c r="O3512" t="s">
        <v>12</v>
      </c>
      <c r="P3512" t="b">
        <v>0</v>
      </c>
      <c r="Q3512">
        <v>6749.5275002635026</v>
      </c>
      <c r="R3512">
        <v>36606.244733855907</v>
      </c>
      <c r="S3512">
        <v>-8.3540648526562045</v>
      </c>
      <c r="T3512">
        <v>-118.97805214899095</v>
      </c>
      <c r="U3512">
        <v>0</v>
      </c>
      <c r="V3512">
        <v>0</v>
      </c>
    </row>
    <row r="3513" spans="1:22" x14ac:dyDescent="0.2">
      <c r="A3513"/>
      <c r="B3513">
        <v>74342</v>
      </c>
      <c r="C3513" t="s">
        <v>1709</v>
      </c>
      <c r="D3513" t="s">
        <v>1045</v>
      </c>
      <c r="E3513" t="s">
        <v>1048</v>
      </c>
      <c r="F3513" t="s">
        <v>84</v>
      </c>
      <c r="G3513">
        <v>170.93554912637376</v>
      </c>
      <c r="H3513" t="s">
        <v>12</v>
      </c>
      <c r="I3513">
        <v>-2.5</v>
      </c>
      <c r="J3513">
        <v>0</v>
      </c>
      <c r="K3513">
        <v>0</v>
      </c>
      <c r="L3513">
        <v>0</v>
      </c>
      <c r="M3513" t="s">
        <v>187</v>
      </c>
      <c r="N3513">
        <v>494.86435159693002</v>
      </c>
      <c r="O3513" t="s">
        <v>12</v>
      </c>
      <c r="P3513" t="b">
        <v>1</v>
      </c>
      <c r="Q3513">
        <v>4974.3643860767042</v>
      </c>
      <c r="R3513">
        <v>22089.151785239152</v>
      </c>
      <c r="S3513">
        <v>-3.7711957961472915E-3</v>
      </c>
      <c r="T3513">
        <v>79.617130330111877</v>
      </c>
      <c r="U3513">
        <v>0</v>
      </c>
      <c r="V3513">
        <v>0</v>
      </c>
    </row>
    <row r="3514" spans="1:22" x14ac:dyDescent="0.2">
      <c r="A3514"/>
      <c r="B3514">
        <v>74343</v>
      </c>
      <c r="C3514" t="s">
        <v>1710</v>
      </c>
      <c r="D3514" t="s">
        <v>1045</v>
      </c>
      <c r="E3514" t="s">
        <v>1046</v>
      </c>
      <c r="F3514" t="s">
        <v>84</v>
      </c>
      <c r="G3514">
        <v>170.93554912637376</v>
      </c>
      <c r="H3514" t="s">
        <v>1270</v>
      </c>
      <c r="I3514">
        <v>2.5</v>
      </c>
      <c r="J3514">
        <v>0</v>
      </c>
      <c r="K3514">
        <v>0</v>
      </c>
      <c r="L3514">
        <v>0</v>
      </c>
      <c r="M3514" t="s">
        <v>187</v>
      </c>
      <c r="N3514">
        <v>494.86435159693002</v>
      </c>
      <c r="O3514" t="s">
        <v>12</v>
      </c>
      <c r="P3514" t="b">
        <v>0</v>
      </c>
      <c r="Q3514">
        <v>4974.3643860767042</v>
      </c>
      <c r="R3514">
        <v>22089.151785239152</v>
      </c>
      <c r="S3514">
        <v>-3.7711957961472915E-3</v>
      </c>
      <c r="T3514">
        <v>-100.38286966988814</v>
      </c>
      <c r="U3514">
        <v>0</v>
      </c>
      <c r="V3514">
        <v>0</v>
      </c>
    </row>
    <row r="3515" spans="1:22" x14ac:dyDescent="0.2">
      <c r="A3515"/>
      <c r="B3515">
        <v>74344</v>
      </c>
      <c r="C3515" t="s">
        <v>1711</v>
      </c>
      <c r="D3515" t="s">
        <v>1045</v>
      </c>
      <c r="E3515" t="s">
        <v>1048</v>
      </c>
      <c r="F3515" t="s">
        <v>87</v>
      </c>
      <c r="G3515">
        <v>25.250665961171478</v>
      </c>
      <c r="H3515" t="s">
        <v>12</v>
      </c>
      <c r="I3515">
        <v>-2.5</v>
      </c>
      <c r="J3515">
        <v>0</v>
      </c>
      <c r="K3515">
        <v>0</v>
      </c>
      <c r="L3515">
        <v>0</v>
      </c>
      <c r="M3515" t="s">
        <v>187</v>
      </c>
      <c r="N3515">
        <v>804.00699789839996</v>
      </c>
      <c r="O3515" t="s">
        <v>12</v>
      </c>
      <c r="P3515" t="b">
        <v>1</v>
      </c>
      <c r="Q3515">
        <v>5029.049020247684</v>
      </c>
      <c r="R3515">
        <v>22393.401934519854</v>
      </c>
      <c r="S3515">
        <v>-1.7231263566424546</v>
      </c>
      <c r="T3515">
        <v>79.679030889501007</v>
      </c>
      <c r="U3515">
        <v>0</v>
      </c>
      <c r="V3515">
        <v>0</v>
      </c>
    </row>
    <row r="3516" spans="1:22" x14ac:dyDescent="0.2">
      <c r="A3516"/>
      <c r="B3516">
        <v>74345</v>
      </c>
      <c r="C3516" t="s">
        <v>1712</v>
      </c>
      <c r="D3516" t="s">
        <v>1045</v>
      </c>
      <c r="E3516" t="s">
        <v>1048</v>
      </c>
      <c r="F3516" t="s">
        <v>87</v>
      </c>
      <c r="G3516">
        <v>25.250665961171478</v>
      </c>
      <c r="H3516" t="s">
        <v>1270</v>
      </c>
      <c r="I3516">
        <v>2.5</v>
      </c>
      <c r="J3516">
        <v>0</v>
      </c>
      <c r="K3516">
        <v>0</v>
      </c>
      <c r="L3516">
        <v>0</v>
      </c>
      <c r="M3516" t="s">
        <v>187</v>
      </c>
      <c r="N3516">
        <v>804.00699789839996</v>
      </c>
      <c r="O3516" t="s">
        <v>12</v>
      </c>
      <c r="P3516" t="b">
        <v>0</v>
      </c>
      <c r="Q3516">
        <v>5029.049020247684</v>
      </c>
      <c r="R3516">
        <v>22393.401934519854</v>
      </c>
      <c r="S3516">
        <v>-1.7231263566424546</v>
      </c>
      <c r="T3516">
        <v>-100.32096911049901</v>
      </c>
      <c r="U3516">
        <v>0</v>
      </c>
      <c r="V3516">
        <v>0</v>
      </c>
    </row>
    <row r="3517" spans="1:22" x14ac:dyDescent="0.2">
      <c r="A3517"/>
      <c r="B3517">
        <v>74346</v>
      </c>
      <c r="C3517" t="s">
        <v>1713</v>
      </c>
      <c r="D3517" t="s">
        <v>1045</v>
      </c>
      <c r="E3517" t="s">
        <v>1048</v>
      </c>
      <c r="F3517" t="s">
        <v>87</v>
      </c>
      <c r="G3517">
        <v>137.7666887982885</v>
      </c>
      <c r="H3517" t="s">
        <v>12</v>
      </c>
      <c r="I3517">
        <v>-2.5</v>
      </c>
      <c r="J3517">
        <v>0</v>
      </c>
      <c r="K3517">
        <v>0</v>
      </c>
      <c r="L3517">
        <v>0</v>
      </c>
      <c r="M3517" t="s">
        <v>187</v>
      </c>
      <c r="N3517">
        <v>916.52302073551698</v>
      </c>
      <c r="O3517" t="s">
        <v>12</v>
      </c>
      <c r="P3517" t="b">
        <v>1</v>
      </c>
      <c r="Q3517">
        <v>5052.1299944934117</v>
      </c>
      <c r="R3517">
        <v>22503.645410126046</v>
      </c>
      <c r="S3517">
        <v>-1.51796276135639</v>
      </c>
      <c r="T3517">
        <v>76.594323468605893</v>
      </c>
      <c r="U3517">
        <v>0</v>
      </c>
      <c r="V3517">
        <v>0</v>
      </c>
    </row>
    <row r="3518" spans="1:22" x14ac:dyDescent="0.2">
      <c r="A3518"/>
      <c r="B3518">
        <v>74347</v>
      </c>
      <c r="C3518" t="s">
        <v>1714</v>
      </c>
      <c r="D3518" t="s">
        <v>1045</v>
      </c>
      <c r="E3518" t="s">
        <v>1048</v>
      </c>
      <c r="F3518" t="s">
        <v>87</v>
      </c>
      <c r="G3518">
        <v>137.7666887982885</v>
      </c>
      <c r="H3518" t="s">
        <v>1270</v>
      </c>
      <c r="I3518">
        <v>2.5</v>
      </c>
      <c r="J3518">
        <v>0</v>
      </c>
      <c r="K3518">
        <v>0</v>
      </c>
      <c r="L3518">
        <v>0</v>
      </c>
      <c r="M3518" t="s">
        <v>187</v>
      </c>
      <c r="N3518">
        <v>916.52302073551698</v>
      </c>
      <c r="O3518" t="s">
        <v>12</v>
      </c>
      <c r="P3518" t="b">
        <v>0</v>
      </c>
      <c r="Q3518">
        <v>5052.1299944934117</v>
      </c>
      <c r="R3518">
        <v>22503.645410126046</v>
      </c>
      <c r="S3518">
        <v>-1.51796276135639</v>
      </c>
      <c r="T3518">
        <v>-103.40567653139412</v>
      </c>
      <c r="U3518">
        <v>0</v>
      </c>
      <c r="V3518">
        <v>0</v>
      </c>
    </row>
    <row r="3519" spans="1:22" x14ac:dyDescent="0.2">
      <c r="A3519"/>
      <c r="B3519">
        <v>74348</v>
      </c>
      <c r="C3519" t="s">
        <v>1715</v>
      </c>
      <c r="D3519" t="s">
        <v>1045</v>
      </c>
      <c r="E3519" t="s">
        <v>1049</v>
      </c>
      <c r="F3519" t="s">
        <v>87</v>
      </c>
      <c r="G3519">
        <v>196.73083160395657</v>
      </c>
      <c r="H3519" t="s">
        <v>12</v>
      </c>
      <c r="I3519">
        <v>-2.5</v>
      </c>
      <c r="J3519">
        <v>0</v>
      </c>
      <c r="K3519">
        <v>0</v>
      </c>
      <c r="L3519">
        <v>0</v>
      </c>
      <c r="M3519" t="s">
        <v>187</v>
      </c>
      <c r="N3519">
        <v>975.48716354118505</v>
      </c>
      <c r="O3519" t="s">
        <v>12</v>
      </c>
      <c r="P3519" t="b">
        <v>1</v>
      </c>
      <c r="Q3519">
        <v>5066.0642980322391</v>
      </c>
      <c r="R3519">
        <v>22560.952769956497</v>
      </c>
      <c r="S3519">
        <v>-1.2297312011694257</v>
      </c>
      <c r="T3519">
        <v>76.278756090078161</v>
      </c>
      <c r="U3519">
        <v>0</v>
      </c>
      <c r="V3519">
        <v>0</v>
      </c>
    </row>
    <row r="3520" spans="1:22" x14ac:dyDescent="0.2">
      <c r="A3520"/>
      <c r="B3520">
        <v>74349</v>
      </c>
      <c r="C3520" t="s">
        <v>1716</v>
      </c>
      <c r="D3520" t="s">
        <v>1045</v>
      </c>
      <c r="E3520" t="s">
        <v>1048</v>
      </c>
      <c r="F3520" t="s">
        <v>87</v>
      </c>
      <c r="G3520">
        <v>196.73083160395657</v>
      </c>
      <c r="H3520" t="s">
        <v>1270</v>
      </c>
      <c r="I3520">
        <v>2.5</v>
      </c>
      <c r="J3520">
        <v>0</v>
      </c>
      <c r="K3520">
        <v>0</v>
      </c>
      <c r="L3520">
        <v>0</v>
      </c>
      <c r="M3520" t="s">
        <v>187</v>
      </c>
      <c r="N3520">
        <v>975.48716354118505</v>
      </c>
      <c r="O3520" t="s">
        <v>12</v>
      </c>
      <c r="P3520" t="b">
        <v>0</v>
      </c>
      <c r="Q3520">
        <v>5066.0642980322391</v>
      </c>
      <c r="R3520">
        <v>22560.952769956497</v>
      </c>
      <c r="S3520">
        <v>-1.2297312011694257</v>
      </c>
      <c r="T3520">
        <v>-103.72124390992184</v>
      </c>
      <c r="U3520">
        <v>0</v>
      </c>
      <c r="V3520">
        <v>0</v>
      </c>
    </row>
    <row r="3521" spans="1:22" x14ac:dyDescent="0.2">
      <c r="A3521"/>
      <c r="B3521">
        <v>74350</v>
      </c>
      <c r="C3521" t="s">
        <v>1717</v>
      </c>
      <c r="D3521" t="s">
        <v>1045</v>
      </c>
      <c r="E3521" t="s">
        <v>1049</v>
      </c>
      <c r="F3521" t="s">
        <v>87</v>
      </c>
      <c r="G3521">
        <v>335.76694203474148</v>
      </c>
      <c r="H3521" t="s">
        <v>12</v>
      </c>
      <c r="I3521">
        <v>-2.5</v>
      </c>
      <c r="J3521">
        <v>0</v>
      </c>
      <c r="K3521">
        <v>0</v>
      </c>
      <c r="L3521">
        <v>0</v>
      </c>
      <c r="M3521" t="s">
        <v>187</v>
      </c>
      <c r="N3521">
        <v>1114.52327397197</v>
      </c>
      <c r="O3521" t="s">
        <v>12</v>
      </c>
      <c r="P3521" t="b">
        <v>1</v>
      </c>
      <c r="Q3521">
        <v>5090.2268343369324</v>
      </c>
      <c r="R3521">
        <v>22697.419987017238</v>
      </c>
      <c r="S3521">
        <v>-0.57421675631709301</v>
      </c>
      <c r="T3521">
        <v>83.300761077741029</v>
      </c>
      <c r="U3521">
        <v>0</v>
      </c>
      <c r="V3521">
        <v>0</v>
      </c>
    </row>
    <row r="3522" spans="1:22" x14ac:dyDescent="0.2">
      <c r="A3522"/>
      <c r="B3522">
        <v>74351</v>
      </c>
      <c r="C3522" t="s">
        <v>1718</v>
      </c>
      <c r="D3522" t="s">
        <v>1045</v>
      </c>
      <c r="E3522" t="s">
        <v>1049</v>
      </c>
      <c r="F3522" t="s">
        <v>87</v>
      </c>
      <c r="G3522">
        <v>335.76694203474148</v>
      </c>
      <c r="H3522" t="s">
        <v>1270</v>
      </c>
      <c r="I3522">
        <v>2.5</v>
      </c>
      <c r="J3522">
        <v>0</v>
      </c>
      <c r="K3522">
        <v>0</v>
      </c>
      <c r="L3522">
        <v>0</v>
      </c>
      <c r="M3522" t="s">
        <v>187</v>
      </c>
      <c r="N3522">
        <v>1114.52327397197</v>
      </c>
      <c r="O3522" t="s">
        <v>12</v>
      </c>
      <c r="P3522" t="b">
        <v>0</v>
      </c>
      <c r="Q3522">
        <v>5090.2268343369324</v>
      </c>
      <c r="R3522">
        <v>22697.419987017238</v>
      </c>
      <c r="S3522">
        <v>-0.57421675631709301</v>
      </c>
      <c r="T3522">
        <v>-96.699238922258985</v>
      </c>
      <c r="U3522">
        <v>0</v>
      </c>
      <c r="V3522">
        <v>0</v>
      </c>
    </row>
    <row r="3523" spans="1:22" x14ac:dyDescent="0.2">
      <c r="A3523"/>
      <c r="B3523">
        <v>74352</v>
      </c>
      <c r="C3523" t="s">
        <v>1719</v>
      </c>
      <c r="D3523" t="s">
        <v>1045</v>
      </c>
      <c r="E3523" t="s">
        <v>1048</v>
      </c>
      <c r="F3523" t="s">
        <v>87</v>
      </c>
      <c r="G3523">
        <v>494.95635094116159</v>
      </c>
      <c r="H3523" t="s">
        <v>12</v>
      </c>
      <c r="I3523">
        <v>-2.5</v>
      </c>
      <c r="J3523">
        <v>0</v>
      </c>
      <c r="K3523">
        <v>0</v>
      </c>
      <c r="L3523">
        <v>0</v>
      </c>
      <c r="M3523" t="s">
        <v>187</v>
      </c>
      <c r="N3523">
        <v>1273.7126828783901</v>
      </c>
      <c r="O3523" t="s">
        <v>12</v>
      </c>
      <c r="P3523" t="b">
        <v>1</v>
      </c>
      <c r="Q3523">
        <v>5120.6122019867007</v>
      </c>
      <c r="R3523">
        <v>22853.819921042163</v>
      </c>
      <c r="S3523">
        <v>0.18919747579431556</v>
      </c>
      <c r="T3523">
        <v>74.8179784715106</v>
      </c>
      <c r="U3523">
        <v>0</v>
      </c>
      <c r="V3523">
        <v>0</v>
      </c>
    </row>
    <row r="3524" spans="1:22" x14ac:dyDescent="0.2">
      <c r="A3524"/>
      <c r="B3524">
        <v>74353</v>
      </c>
      <c r="C3524" t="s">
        <v>1720</v>
      </c>
      <c r="D3524" t="s">
        <v>1045</v>
      </c>
      <c r="E3524" t="s">
        <v>1049</v>
      </c>
      <c r="F3524" t="s">
        <v>87</v>
      </c>
      <c r="G3524">
        <v>494.95635094116159</v>
      </c>
      <c r="H3524" t="s">
        <v>1270</v>
      </c>
      <c r="I3524">
        <v>2.5</v>
      </c>
      <c r="J3524">
        <v>0</v>
      </c>
      <c r="K3524">
        <v>0</v>
      </c>
      <c r="L3524">
        <v>0</v>
      </c>
      <c r="M3524" t="s">
        <v>187</v>
      </c>
      <c r="N3524">
        <v>1273.7126828783901</v>
      </c>
      <c r="O3524" t="s">
        <v>12</v>
      </c>
      <c r="P3524" t="b">
        <v>0</v>
      </c>
      <c r="Q3524">
        <v>5120.6122019867007</v>
      </c>
      <c r="R3524">
        <v>22853.819921042163</v>
      </c>
      <c r="S3524">
        <v>0.18919747579431556</v>
      </c>
      <c r="T3524">
        <v>-105.1820215284894</v>
      </c>
      <c r="U3524">
        <v>0</v>
      </c>
      <c r="V3524">
        <v>0</v>
      </c>
    </row>
    <row r="3525" spans="1:22" x14ac:dyDescent="0.2">
      <c r="A3525"/>
      <c r="B3525">
        <v>74354</v>
      </c>
      <c r="C3525" t="s">
        <v>1721</v>
      </c>
      <c r="D3525" t="s">
        <v>1045</v>
      </c>
      <c r="E3525" t="s">
        <v>1050</v>
      </c>
      <c r="F3525" t="s">
        <v>87</v>
      </c>
      <c r="G3525">
        <v>658.50509150028142</v>
      </c>
      <c r="H3525" t="s">
        <v>12</v>
      </c>
      <c r="I3525">
        <v>-2.5</v>
      </c>
      <c r="J3525">
        <v>0</v>
      </c>
      <c r="K3525">
        <v>0</v>
      </c>
      <c r="L3525">
        <v>0</v>
      </c>
      <c r="M3525" t="s">
        <v>187</v>
      </c>
      <c r="N3525">
        <v>1437.2614234375101</v>
      </c>
      <c r="O3525" t="s">
        <v>12</v>
      </c>
      <c r="P3525" t="b">
        <v>1</v>
      </c>
      <c r="Q3525">
        <v>5163.6333256524804</v>
      </c>
      <c r="R3525">
        <v>23011.615626754123</v>
      </c>
      <c r="S3525">
        <v>-8.7919696093040567E-2</v>
      </c>
      <c r="T3525">
        <v>74.569778410741677</v>
      </c>
      <c r="U3525">
        <v>0</v>
      </c>
      <c r="V3525">
        <v>0</v>
      </c>
    </row>
    <row r="3526" spans="1:22" x14ac:dyDescent="0.2">
      <c r="A3526"/>
      <c r="B3526">
        <v>74355</v>
      </c>
      <c r="C3526" t="s">
        <v>1722</v>
      </c>
      <c r="D3526" t="s">
        <v>1045</v>
      </c>
      <c r="E3526" t="s">
        <v>1048</v>
      </c>
      <c r="F3526" t="s">
        <v>87</v>
      </c>
      <c r="G3526">
        <v>658.50509150028142</v>
      </c>
      <c r="H3526" t="s">
        <v>1270</v>
      </c>
      <c r="I3526">
        <v>2.5</v>
      </c>
      <c r="J3526">
        <v>0</v>
      </c>
      <c r="K3526">
        <v>0</v>
      </c>
      <c r="L3526">
        <v>0</v>
      </c>
      <c r="M3526" t="s">
        <v>187</v>
      </c>
      <c r="N3526">
        <v>1437.2614234375101</v>
      </c>
      <c r="O3526" t="s">
        <v>12</v>
      </c>
      <c r="P3526" t="b">
        <v>0</v>
      </c>
      <c r="Q3526">
        <v>5163.6333256524804</v>
      </c>
      <c r="R3526">
        <v>23011.615626754123</v>
      </c>
      <c r="S3526">
        <v>-8.7919696093040567E-2</v>
      </c>
      <c r="T3526">
        <v>-105.43022158925832</v>
      </c>
      <c r="U3526">
        <v>0</v>
      </c>
      <c r="V3526">
        <v>0</v>
      </c>
    </row>
    <row r="3527" spans="1:22" x14ac:dyDescent="0.2">
      <c r="A3527"/>
      <c r="B3527">
        <v>74356</v>
      </c>
      <c r="C3527" t="s">
        <v>1723</v>
      </c>
      <c r="D3527" t="s">
        <v>1045</v>
      </c>
      <c r="E3527" t="s">
        <v>1048</v>
      </c>
      <c r="F3527" t="s">
        <v>87</v>
      </c>
      <c r="G3527">
        <v>945.6895947780813</v>
      </c>
      <c r="H3527" t="s">
        <v>12</v>
      </c>
      <c r="I3527">
        <v>-2.5</v>
      </c>
      <c r="J3527">
        <v>0</v>
      </c>
      <c r="K3527">
        <v>0</v>
      </c>
      <c r="L3527">
        <v>0</v>
      </c>
      <c r="M3527" t="s">
        <v>187</v>
      </c>
      <c r="N3527">
        <v>1724.44592671531</v>
      </c>
      <c r="O3527" t="s">
        <v>12</v>
      </c>
      <c r="P3527" t="b">
        <v>1</v>
      </c>
      <c r="Q3527">
        <v>5130.8900911957508</v>
      </c>
      <c r="R3527">
        <v>23285.763933208724</v>
      </c>
      <c r="S3527">
        <v>3.3464085669516179</v>
      </c>
      <c r="T3527">
        <v>118.89739356665572</v>
      </c>
      <c r="U3527">
        <v>0</v>
      </c>
      <c r="V3527">
        <v>0</v>
      </c>
    </row>
    <row r="3528" spans="1:22" x14ac:dyDescent="0.2">
      <c r="A3528"/>
      <c r="B3528">
        <v>74357</v>
      </c>
      <c r="C3528" t="s">
        <v>1724</v>
      </c>
      <c r="D3528" t="s">
        <v>1045</v>
      </c>
      <c r="E3528" t="s">
        <v>1050</v>
      </c>
      <c r="F3528" t="s">
        <v>87</v>
      </c>
      <c r="G3528">
        <v>945.6895947780813</v>
      </c>
      <c r="H3528" t="s">
        <v>1270</v>
      </c>
      <c r="I3528">
        <v>2.5</v>
      </c>
      <c r="J3528">
        <v>0</v>
      </c>
      <c r="K3528">
        <v>0</v>
      </c>
      <c r="L3528">
        <v>0</v>
      </c>
      <c r="M3528" t="s">
        <v>187</v>
      </c>
      <c r="N3528">
        <v>1724.44592671531</v>
      </c>
      <c r="O3528" t="s">
        <v>12</v>
      </c>
      <c r="P3528" t="b">
        <v>0</v>
      </c>
      <c r="Q3528">
        <v>5130.8900911957508</v>
      </c>
      <c r="R3528">
        <v>23285.763933208724</v>
      </c>
      <c r="S3528">
        <v>3.3464085669516179</v>
      </c>
      <c r="T3528">
        <v>-61.102606433344292</v>
      </c>
      <c r="U3528">
        <v>0</v>
      </c>
      <c r="V3528">
        <v>0</v>
      </c>
    </row>
    <row r="3529" spans="1:22" x14ac:dyDescent="0.2">
      <c r="A3529"/>
      <c r="B3529">
        <v>74358</v>
      </c>
      <c r="C3529" t="s">
        <v>1725</v>
      </c>
      <c r="D3529" t="s">
        <v>1045</v>
      </c>
      <c r="E3529" t="s">
        <v>1050</v>
      </c>
      <c r="F3529" t="s">
        <v>87</v>
      </c>
      <c r="G3529">
        <v>968.61790798522134</v>
      </c>
      <c r="H3529" t="s">
        <v>12</v>
      </c>
      <c r="I3529">
        <v>-2.5</v>
      </c>
      <c r="J3529">
        <v>0</v>
      </c>
      <c r="K3529">
        <v>0</v>
      </c>
      <c r="L3529">
        <v>0</v>
      </c>
      <c r="M3529" t="s">
        <v>187</v>
      </c>
      <c r="N3529">
        <v>1747.37423992245</v>
      </c>
      <c r="O3529" t="s">
        <v>12</v>
      </c>
      <c r="P3529" t="b">
        <v>1</v>
      </c>
      <c r="Q3529">
        <v>5119.8141318895323</v>
      </c>
      <c r="R3529">
        <v>23305.832312708328</v>
      </c>
      <c r="S3529">
        <v>3.8998290789894194</v>
      </c>
      <c r="T3529">
        <v>118.88966469920732</v>
      </c>
      <c r="U3529">
        <v>0</v>
      </c>
      <c r="V3529">
        <v>0</v>
      </c>
    </row>
    <row r="3530" spans="1:22" x14ac:dyDescent="0.2">
      <c r="A3530"/>
      <c r="B3530">
        <v>74359</v>
      </c>
      <c r="C3530" t="s">
        <v>1726</v>
      </c>
      <c r="D3530" t="s">
        <v>1045</v>
      </c>
      <c r="E3530" t="s">
        <v>1048</v>
      </c>
      <c r="F3530" t="s">
        <v>87</v>
      </c>
      <c r="G3530">
        <v>968.61790798522134</v>
      </c>
      <c r="H3530" t="s">
        <v>1270</v>
      </c>
      <c r="I3530">
        <v>2.5</v>
      </c>
      <c r="J3530">
        <v>0</v>
      </c>
      <c r="K3530">
        <v>0</v>
      </c>
      <c r="L3530">
        <v>0</v>
      </c>
      <c r="M3530" t="s">
        <v>187</v>
      </c>
      <c r="N3530">
        <v>1747.37423992245</v>
      </c>
      <c r="O3530" t="s">
        <v>12</v>
      </c>
      <c r="P3530" t="b">
        <v>0</v>
      </c>
      <c r="Q3530">
        <v>5119.8141318895323</v>
      </c>
      <c r="R3530">
        <v>23305.832312708328</v>
      </c>
      <c r="S3530">
        <v>3.8998290789894194</v>
      </c>
      <c r="T3530">
        <v>-61.110335300792698</v>
      </c>
      <c r="U3530">
        <v>0</v>
      </c>
      <c r="V3530">
        <v>0</v>
      </c>
    </row>
    <row r="3531" spans="1:22" x14ac:dyDescent="0.2">
      <c r="A3531"/>
      <c r="B3531">
        <v>74360</v>
      </c>
      <c r="C3531" t="s">
        <v>1727</v>
      </c>
      <c r="D3531" t="s">
        <v>1045</v>
      </c>
      <c r="E3531" t="s">
        <v>1048</v>
      </c>
      <c r="F3531" t="s">
        <v>87</v>
      </c>
      <c r="G3531">
        <v>1182.6482995111414</v>
      </c>
      <c r="H3531" t="s">
        <v>12</v>
      </c>
      <c r="I3531">
        <v>-2.5</v>
      </c>
      <c r="J3531">
        <v>0</v>
      </c>
      <c r="K3531">
        <v>0</v>
      </c>
      <c r="L3531">
        <v>0</v>
      </c>
      <c r="M3531" t="s">
        <v>187</v>
      </c>
      <c r="N3531">
        <v>1961.4046314483701</v>
      </c>
      <c r="O3531" t="s">
        <v>12</v>
      </c>
      <c r="P3531" t="b">
        <v>1</v>
      </c>
      <c r="Q3531">
        <v>5069.8443483167921</v>
      </c>
      <c r="R3531">
        <v>23511.450110276222</v>
      </c>
      <c r="S3531">
        <v>7.3978418967597683</v>
      </c>
      <c r="T3531">
        <v>88.121713049705889</v>
      </c>
      <c r="U3531">
        <v>0</v>
      </c>
      <c r="V3531">
        <v>0</v>
      </c>
    </row>
    <row r="3532" spans="1:22" x14ac:dyDescent="0.2">
      <c r="A3532"/>
      <c r="B3532">
        <v>74361</v>
      </c>
      <c r="C3532" t="s">
        <v>1728</v>
      </c>
      <c r="D3532" t="s">
        <v>1045</v>
      </c>
      <c r="E3532" t="s">
        <v>1050</v>
      </c>
      <c r="F3532" t="s">
        <v>87</v>
      </c>
      <c r="G3532">
        <v>1182.6482995111414</v>
      </c>
      <c r="H3532" t="s">
        <v>1270</v>
      </c>
      <c r="I3532">
        <v>2.5</v>
      </c>
      <c r="J3532">
        <v>0</v>
      </c>
      <c r="K3532">
        <v>0</v>
      </c>
      <c r="L3532">
        <v>0</v>
      </c>
      <c r="M3532" t="s">
        <v>187</v>
      </c>
      <c r="N3532">
        <v>1961.4046314483701</v>
      </c>
      <c r="O3532" t="s">
        <v>12</v>
      </c>
      <c r="P3532" t="b">
        <v>0</v>
      </c>
      <c r="Q3532">
        <v>5069.8443483167921</v>
      </c>
      <c r="R3532">
        <v>23511.450110276222</v>
      </c>
      <c r="S3532">
        <v>7.3978418967597683</v>
      </c>
      <c r="T3532">
        <v>-91.87828695029414</v>
      </c>
      <c r="U3532">
        <v>0</v>
      </c>
      <c r="V3532">
        <v>0</v>
      </c>
    </row>
    <row r="3533" spans="1:22" x14ac:dyDescent="0.2">
      <c r="A3533"/>
      <c r="B3533">
        <v>74362</v>
      </c>
      <c r="C3533" t="s">
        <v>1729</v>
      </c>
      <c r="D3533" t="s">
        <v>1045</v>
      </c>
      <c r="E3533" t="s">
        <v>1048</v>
      </c>
      <c r="F3533" t="s">
        <v>87</v>
      </c>
      <c r="G3533">
        <v>1381.1700980694711</v>
      </c>
      <c r="H3533" t="s">
        <v>12</v>
      </c>
      <c r="I3533">
        <v>-2.5</v>
      </c>
      <c r="J3533">
        <v>0</v>
      </c>
      <c r="K3533">
        <v>0</v>
      </c>
      <c r="L3533">
        <v>0</v>
      </c>
      <c r="M3533" t="s">
        <v>187</v>
      </c>
      <c r="N3533">
        <v>2159.9264300066998</v>
      </c>
      <c r="O3533" t="s">
        <v>12</v>
      </c>
      <c r="P3533" t="b">
        <v>1</v>
      </c>
      <c r="Q3533">
        <v>5075.7604864042632</v>
      </c>
      <c r="R3533">
        <v>23709.868738012177</v>
      </c>
      <c r="S3533">
        <v>7.4008330329232415</v>
      </c>
      <c r="T3533">
        <v>88.458729117124122</v>
      </c>
      <c r="U3533">
        <v>0</v>
      </c>
      <c r="V3533">
        <v>0</v>
      </c>
    </row>
    <row r="3534" spans="1:22" x14ac:dyDescent="0.2">
      <c r="A3534"/>
      <c r="B3534">
        <v>74363</v>
      </c>
      <c r="C3534" t="s">
        <v>1730</v>
      </c>
      <c r="D3534" t="s">
        <v>1045</v>
      </c>
      <c r="E3534" t="s">
        <v>1048</v>
      </c>
      <c r="F3534" t="s">
        <v>87</v>
      </c>
      <c r="G3534">
        <v>1381.1700980694711</v>
      </c>
      <c r="H3534" t="s">
        <v>1270</v>
      </c>
      <c r="I3534">
        <v>2.5</v>
      </c>
      <c r="J3534">
        <v>0</v>
      </c>
      <c r="K3534">
        <v>0</v>
      </c>
      <c r="L3534">
        <v>0</v>
      </c>
      <c r="M3534" t="s">
        <v>187</v>
      </c>
      <c r="N3534">
        <v>2159.9264300066998</v>
      </c>
      <c r="O3534" t="s">
        <v>12</v>
      </c>
      <c r="P3534" t="b">
        <v>0</v>
      </c>
      <c r="Q3534">
        <v>5075.7604864042632</v>
      </c>
      <c r="R3534">
        <v>23709.868738012177</v>
      </c>
      <c r="S3534">
        <v>7.4008330329232415</v>
      </c>
      <c r="T3534">
        <v>-91.541270882875892</v>
      </c>
      <c r="U3534">
        <v>0</v>
      </c>
      <c r="V3534">
        <v>0</v>
      </c>
    </row>
    <row r="3535" spans="1:22" x14ac:dyDescent="0.2">
      <c r="A3535"/>
      <c r="B3535">
        <v>74364</v>
      </c>
      <c r="C3535" t="s">
        <v>1731</v>
      </c>
      <c r="D3535" t="s">
        <v>1045</v>
      </c>
      <c r="E3535" t="s">
        <v>1048</v>
      </c>
      <c r="F3535" t="s">
        <v>87</v>
      </c>
      <c r="G3535">
        <v>1457.0205007307015</v>
      </c>
      <c r="H3535" t="s">
        <v>12</v>
      </c>
      <c r="I3535">
        <v>-2.5</v>
      </c>
      <c r="J3535">
        <v>0</v>
      </c>
      <c r="K3535">
        <v>0</v>
      </c>
      <c r="L3535">
        <v>0</v>
      </c>
      <c r="M3535" t="s">
        <v>187</v>
      </c>
      <c r="N3535">
        <v>2235.7768326679302</v>
      </c>
      <c r="O3535" t="s">
        <v>12</v>
      </c>
      <c r="P3535" t="b">
        <v>1</v>
      </c>
      <c r="Q3535">
        <v>5077.7200167510382</v>
      </c>
      <c r="R3535">
        <v>23785.687628179337</v>
      </c>
      <c r="S3535">
        <v>7.0982482158807105</v>
      </c>
      <c r="T3535">
        <v>88.578561657309919</v>
      </c>
      <c r="U3535">
        <v>0</v>
      </c>
      <c r="V3535">
        <v>0</v>
      </c>
    </row>
    <row r="3536" spans="1:22" x14ac:dyDescent="0.2">
      <c r="A3536"/>
      <c r="B3536">
        <v>74365</v>
      </c>
      <c r="C3536" t="s">
        <v>1732</v>
      </c>
      <c r="D3536" t="s">
        <v>1045</v>
      </c>
      <c r="E3536" t="s">
        <v>1048</v>
      </c>
      <c r="F3536" t="s">
        <v>87</v>
      </c>
      <c r="G3536">
        <v>1457.0205007307015</v>
      </c>
      <c r="H3536" t="s">
        <v>1270</v>
      </c>
      <c r="I3536">
        <v>2.5</v>
      </c>
      <c r="J3536">
        <v>0</v>
      </c>
      <c r="K3536">
        <v>0</v>
      </c>
      <c r="L3536">
        <v>0</v>
      </c>
      <c r="M3536" t="s">
        <v>187</v>
      </c>
      <c r="N3536">
        <v>2235.7768326679302</v>
      </c>
      <c r="O3536" t="s">
        <v>12</v>
      </c>
      <c r="P3536" t="b">
        <v>0</v>
      </c>
      <c r="Q3536">
        <v>5077.7200167510382</v>
      </c>
      <c r="R3536">
        <v>23785.687628179337</v>
      </c>
      <c r="S3536">
        <v>7.0982482158807105</v>
      </c>
      <c r="T3536">
        <v>-91.421438342690081</v>
      </c>
      <c r="U3536">
        <v>0</v>
      </c>
      <c r="V3536">
        <v>0</v>
      </c>
    </row>
    <row r="3537" spans="1:22" x14ac:dyDescent="0.2">
      <c r="A3537"/>
      <c r="B3537">
        <v>74366</v>
      </c>
      <c r="C3537" t="s">
        <v>1733</v>
      </c>
      <c r="D3537" t="s">
        <v>1045</v>
      </c>
      <c r="E3537" t="s">
        <v>1048</v>
      </c>
      <c r="F3537" t="s">
        <v>87</v>
      </c>
      <c r="G3537">
        <v>1701.3792447477913</v>
      </c>
      <c r="H3537" t="s">
        <v>12</v>
      </c>
      <c r="I3537">
        <v>-2.5</v>
      </c>
      <c r="J3537">
        <v>0</v>
      </c>
      <c r="K3537">
        <v>0</v>
      </c>
      <c r="L3537">
        <v>0</v>
      </c>
      <c r="M3537" t="s">
        <v>187</v>
      </c>
      <c r="N3537">
        <v>2480.1355766850202</v>
      </c>
      <c r="O3537" t="s">
        <v>12</v>
      </c>
      <c r="P3537" t="b">
        <v>1</v>
      </c>
      <c r="Q3537">
        <v>5082.9949340524627</v>
      </c>
      <c r="R3537">
        <v>24029.967441676719</v>
      </c>
      <c r="S3537">
        <v>5.511973307397831</v>
      </c>
      <c r="T3537">
        <v>88.931383509462947</v>
      </c>
      <c r="U3537">
        <v>0</v>
      </c>
      <c r="V3537">
        <v>0</v>
      </c>
    </row>
    <row r="3538" spans="1:22" x14ac:dyDescent="0.2">
      <c r="A3538"/>
      <c r="B3538">
        <v>74367</v>
      </c>
      <c r="C3538" t="s">
        <v>1734</v>
      </c>
      <c r="D3538" t="s">
        <v>1045</v>
      </c>
      <c r="E3538" t="s">
        <v>1048</v>
      </c>
      <c r="F3538" t="s">
        <v>87</v>
      </c>
      <c r="G3538">
        <v>1701.3792447477913</v>
      </c>
      <c r="H3538" t="s">
        <v>1270</v>
      </c>
      <c r="I3538">
        <v>2.5</v>
      </c>
      <c r="J3538">
        <v>0</v>
      </c>
      <c r="K3538">
        <v>0</v>
      </c>
      <c r="L3538">
        <v>0</v>
      </c>
      <c r="M3538" t="s">
        <v>187</v>
      </c>
      <c r="N3538">
        <v>2480.1355766850202</v>
      </c>
      <c r="O3538" t="s">
        <v>12</v>
      </c>
      <c r="P3538" t="b">
        <v>0</v>
      </c>
      <c r="Q3538">
        <v>5082.9949340524627</v>
      </c>
      <c r="R3538">
        <v>24029.967441676719</v>
      </c>
      <c r="S3538">
        <v>5.511973307397831</v>
      </c>
      <c r="T3538">
        <v>-91.068616490537053</v>
      </c>
      <c r="U3538">
        <v>0</v>
      </c>
      <c r="V3538">
        <v>0</v>
      </c>
    </row>
    <row r="3539" spans="1:22" x14ac:dyDescent="0.2">
      <c r="A3539"/>
      <c r="B3539">
        <v>74368</v>
      </c>
      <c r="C3539" t="s">
        <v>1735</v>
      </c>
      <c r="D3539" t="s">
        <v>1045</v>
      </c>
      <c r="E3539" t="s">
        <v>1048</v>
      </c>
      <c r="F3539" t="s">
        <v>87</v>
      </c>
      <c r="G3539">
        <v>1777.751192730891</v>
      </c>
      <c r="H3539" t="s">
        <v>12</v>
      </c>
      <c r="I3539">
        <v>-2.5</v>
      </c>
      <c r="J3539">
        <v>0</v>
      </c>
      <c r="K3539">
        <v>0</v>
      </c>
      <c r="L3539">
        <v>0</v>
      </c>
      <c r="M3539" t="s">
        <v>187</v>
      </c>
      <c r="N3539">
        <v>2556.5075246681199</v>
      </c>
      <c r="O3539" t="s">
        <v>12</v>
      </c>
      <c r="P3539" t="b">
        <v>1</v>
      </c>
      <c r="Q3539">
        <v>5083.9809999495556</v>
      </c>
      <c r="R3539">
        <v>24106.297436518682</v>
      </c>
      <c r="S3539">
        <v>5.4189829120756237</v>
      </c>
      <c r="T3539">
        <v>89.728551939339553</v>
      </c>
      <c r="U3539">
        <v>0</v>
      </c>
      <c r="V3539">
        <v>0</v>
      </c>
    </row>
    <row r="3540" spans="1:22" x14ac:dyDescent="0.2">
      <c r="A3540"/>
      <c r="B3540">
        <v>74369</v>
      </c>
      <c r="C3540" t="s">
        <v>1736</v>
      </c>
      <c r="D3540" t="s">
        <v>1045</v>
      </c>
      <c r="E3540" t="s">
        <v>1048</v>
      </c>
      <c r="F3540" t="s">
        <v>87</v>
      </c>
      <c r="G3540">
        <v>1777.751192730891</v>
      </c>
      <c r="H3540" t="s">
        <v>1270</v>
      </c>
      <c r="I3540">
        <v>2.5</v>
      </c>
      <c r="J3540">
        <v>0</v>
      </c>
      <c r="K3540">
        <v>0</v>
      </c>
      <c r="L3540">
        <v>0</v>
      </c>
      <c r="M3540" t="s">
        <v>187</v>
      </c>
      <c r="N3540">
        <v>2556.5075246681199</v>
      </c>
      <c r="O3540" t="s">
        <v>12</v>
      </c>
      <c r="P3540" t="b">
        <v>0</v>
      </c>
      <c r="Q3540">
        <v>5083.9809999495556</v>
      </c>
      <c r="R3540">
        <v>24106.297436518682</v>
      </c>
      <c r="S3540">
        <v>5.4189829120756237</v>
      </c>
      <c r="T3540">
        <v>-90.271448060660461</v>
      </c>
      <c r="U3540">
        <v>0</v>
      </c>
      <c r="V3540">
        <v>0</v>
      </c>
    </row>
    <row r="3541" spans="1:22" x14ac:dyDescent="0.2">
      <c r="A3541"/>
      <c r="B3541">
        <v>74370</v>
      </c>
      <c r="C3541" t="s">
        <v>1737</v>
      </c>
      <c r="D3541" t="s">
        <v>1045</v>
      </c>
      <c r="E3541" t="s">
        <v>1048</v>
      </c>
      <c r="F3541" t="s">
        <v>87</v>
      </c>
      <c r="G3541">
        <v>2143.108451423961</v>
      </c>
      <c r="H3541" t="s">
        <v>12</v>
      </c>
      <c r="I3541">
        <v>-2.5</v>
      </c>
      <c r="J3541">
        <v>0</v>
      </c>
      <c r="K3541">
        <v>0</v>
      </c>
      <c r="L3541">
        <v>0</v>
      </c>
      <c r="M3541" t="s">
        <v>187</v>
      </c>
      <c r="N3541">
        <v>2921.8647833611899</v>
      </c>
      <c r="O3541" t="s">
        <v>12</v>
      </c>
      <c r="P3541" t="b">
        <v>1</v>
      </c>
      <c r="Q3541">
        <v>5085.1649187569628</v>
      </c>
      <c r="R3541">
        <v>24471.632199439286</v>
      </c>
      <c r="S3541">
        <v>3.3369728299298811</v>
      </c>
      <c r="T3541">
        <v>89.954848575274454</v>
      </c>
      <c r="U3541">
        <v>0</v>
      </c>
      <c r="V3541">
        <v>0</v>
      </c>
    </row>
    <row r="3542" spans="1:22" x14ac:dyDescent="0.2">
      <c r="A3542"/>
      <c r="B3542">
        <v>74371</v>
      </c>
      <c r="C3542" t="s">
        <v>1738</v>
      </c>
      <c r="D3542" t="s">
        <v>1045</v>
      </c>
      <c r="E3542" t="s">
        <v>1048</v>
      </c>
      <c r="F3542" t="s">
        <v>87</v>
      </c>
      <c r="G3542">
        <v>2143.108451423961</v>
      </c>
      <c r="H3542" t="s">
        <v>1270</v>
      </c>
      <c r="I3542">
        <v>2.5</v>
      </c>
      <c r="J3542">
        <v>0</v>
      </c>
      <c r="K3542">
        <v>0</v>
      </c>
      <c r="L3542">
        <v>0</v>
      </c>
      <c r="M3542" t="s">
        <v>187</v>
      </c>
      <c r="N3542">
        <v>2921.8647833611899</v>
      </c>
      <c r="O3542" t="s">
        <v>12</v>
      </c>
      <c r="P3542" t="b">
        <v>0</v>
      </c>
      <c r="Q3542">
        <v>5085.1649187569628</v>
      </c>
      <c r="R3542">
        <v>24471.632199439286</v>
      </c>
      <c r="S3542">
        <v>3.3369728299298811</v>
      </c>
      <c r="T3542">
        <v>-90.04515142472556</v>
      </c>
      <c r="U3542">
        <v>0</v>
      </c>
      <c r="V3542">
        <v>0</v>
      </c>
    </row>
    <row r="3543" spans="1:22" x14ac:dyDescent="0.2">
      <c r="A3543"/>
      <c r="B3543">
        <v>74372</v>
      </c>
      <c r="C3543" t="s">
        <v>1739</v>
      </c>
      <c r="D3543" t="s">
        <v>1045</v>
      </c>
      <c r="E3543" t="s">
        <v>1048</v>
      </c>
      <c r="F3543" t="s">
        <v>87</v>
      </c>
      <c r="G3543">
        <v>2284.624362253121</v>
      </c>
      <c r="H3543" t="s">
        <v>12</v>
      </c>
      <c r="I3543">
        <v>-2.5</v>
      </c>
      <c r="J3543">
        <v>0</v>
      </c>
      <c r="K3543">
        <v>0</v>
      </c>
      <c r="L3543">
        <v>0</v>
      </c>
      <c r="M3543" t="s">
        <v>187</v>
      </c>
      <c r="N3543">
        <v>3063.3806941903499</v>
      </c>
      <c r="O3543" t="s">
        <v>12</v>
      </c>
      <c r="P3543" t="b">
        <v>1</v>
      </c>
      <c r="Q3543">
        <v>5073.8572705787392</v>
      </c>
      <c r="R3543">
        <v>24612.030124084737</v>
      </c>
      <c r="S3543">
        <v>1.7154380366309874</v>
      </c>
      <c r="T3543">
        <v>99.284629728455855</v>
      </c>
      <c r="U3543">
        <v>0</v>
      </c>
      <c r="V3543">
        <v>0</v>
      </c>
    </row>
    <row r="3544" spans="1:22" x14ac:dyDescent="0.2">
      <c r="A3544"/>
      <c r="B3544">
        <v>74373</v>
      </c>
      <c r="C3544" t="s">
        <v>1740</v>
      </c>
      <c r="D3544" t="s">
        <v>1045</v>
      </c>
      <c r="E3544" t="s">
        <v>1048</v>
      </c>
      <c r="F3544" t="s">
        <v>87</v>
      </c>
      <c r="G3544">
        <v>2284.624362253121</v>
      </c>
      <c r="H3544" t="s">
        <v>1270</v>
      </c>
      <c r="I3544">
        <v>2.5</v>
      </c>
      <c r="J3544">
        <v>0</v>
      </c>
      <c r="K3544">
        <v>0</v>
      </c>
      <c r="L3544">
        <v>0</v>
      </c>
      <c r="M3544" t="s">
        <v>187</v>
      </c>
      <c r="N3544">
        <v>3063.3806941903499</v>
      </c>
      <c r="O3544" t="s">
        <v>12</v>
      </c>
      <c r="P3544" t="b">
        <v>0</v>
      </c>
      <c r="Q3544">
        <v>5073.8572705787392</v>
      </c>
      <c r="R3544">
        <v>24612.030124084737</v>
      </c>
      <c r="S3544">
        <v>1.7154380366309874</v>
      </c>
      <c r="T3544">
        <v>-80.71537027154416</v>
      </c>
      <c r="U3544">
        <v>0</v>
      </c>
      <c r="V3544">
        <v>0</v>
      </c>
    </row>
    <row r="3545" spans="1:22" x14ac:dyDescent="0.2">
      <c r="A3545"/>
      <c r="B3545">
        <v>74374</v>
      </c>
      <c r="C3545" t="s">
        <v>1741</v>
      </c>
      <c r="D3545" t="s">
        <v>1045</v>
      </c>
      <c r="E3545" t="s">
        <v>1048</v>
      </c>
      <c r="F3545" t="s">
        <v>87</v>
      </c>
      <c r="G3545">
        <v>2429.6828450799412</v>
      </c>
      <c r="H3545" t="s">
        <v>12</v>
      </c>
      <c r="I3545">
        <v>-2.5</v>
      </c>
      <c r="J3545">
        <v>0</v>
      </c>
      <c r="K3545">
        <v>0</v>
      </c>
      <c r="L3545">
        <v>0</v>
      </c>
      <c r="M3545" t="s">
        <v>187</v>
      </c>
      <c r="N3545">
        <v>3208.4391770171701</v>
      </c>
      <c r="O3545" t="s">
        <v>12</v>
      </c>
      <c r="P3545" t="b">
        <v>1</v>
      </c>
      <c r="Q3545">
        <v>5062.6803864065041</v>
      </c>
      <c r="R3545">
        <v>24756.789766587081</v>
      </c>
      <c r="S3545">
        <v>4.0094173347185735E-2</v>
      </c>
      <c r="T3545">
        <v>89.456781201617986</v>
      </c>
      <c r="U3545">
        <v>0</v>
      </c>
      <c r="V3545">
        <v>0</v>
      </c>
    </row>
    <row r="3546" spans="1:22" x14ac:dyDescent="0.2">
      <c r="A3546"/>
      <c r="B3546">
        <v>74375</v>
      </c>
      <c r="C3546" t="s">
        <v>1742</v>
      </c>
      <c r="D3546" t="s">
        <v>1045</v>
      </c>
      <c r="E3546" t="s">
        <v>1048</v>
      </c>
      <c r="F3546" t="s">
        <v>87</v>
      </c>
      <c r="G3546">
        <v>2429.6828450799412</v>
      </c>
      <c r="H3546" t="s">
        <v>1270</v>
      </c>
      <c r="I3546">
        <v>2.5</v>
      </c>
      <c r="J3546">
        <v>0</v>
      </c>
      <c r="K3546">
        <v>0</v>
      </c>
      <c r="L3546">
        <v>0</v>
      </c>
      <c r="M3546" t="s">
        <v>187</v>
      </c>
      <c r="N3546">
        <v>3208.4391770171701</v>
      </c>
      <c r="O3546" t="s">
        <v>12</v>
      </c>
      <c r="P3546" t="b">
        <v>0</v>
      </c>
      <c r="Q3546">
        <v>5062.6803864065041</v>
      </c>
      <c r="R3546">
        <v>24756.789766587081</v>
      </c>
      <c r="S3546">
        <v>4.0094173347185735E-2</v>
      </c>
      <c r="T3546">
        <v>-90.543218798382043</v>
      </c>
      <c r="U3546">
        <v>0</v>
      </c>
      <c r="V3546">
        <v>0</v>
      </c>
    </row>
    <row r="3547" spans="1:22" x14ac:dyDescent="0.2">
      <c r="A3547"/>
      <c r="B3547">
        <v>74376</v>
      </c>
      <c r="C3547" t="s">
        <v>1743</v>
      </c>
      <c r="D3547" t="s">
        <v>1045</v>
      </c>
      <c r="E3547" t="s">
        <v>1048</v>
      </c>
      <c r="F3547" t="s">
        <v>87</v>
      </c>
      <c r="G3547">
        <v>2461.5856740145209</v>
      </c>
      <c r="H3547" t="s">
        <v>12</v>
      </c>
      <c r="I3547">
        <v>-2.5</v>
      </c>
      <c r="J3547">
        <v>0</v>
      </c>
      <c r="K3547">
        <v>0</v>
      </c>
      <c r="L3547">
        <v>0</v>
      </c>
      <c r="M3547" t="s">
        <v>187</v>
      </c>
      <c r="N3547">
        <v>3240.3420059517498</v>
      </c>
      <c r="O3547" t="s">
        <v>12</v>
      </c>
      <c r="P3547" t="b">
        <v>1</v>
      </c>
      <c r="Q3547">
        <v>5062.9232859672702</v>
      </c>
      <c r="R3547">
        <v>24788.680189795083</v>
      </c>
      <c r="S3547">
        <v>-0.33024693215584439</v>
      </c>
      <c r="T3547">
        <v>89.670211269239744</v>
      </c>
      <c r="U3547">
        <v>0</v>
      </c>
      <c r="V3547">
        <v>0</v>
      </c>
    </row>
    <row r="3548" spans="1:22" x14ac:dyDescent="0.2">
      <c r="A3548"/>
      <c r="B3548">
        <v>74377</v>
      </c>
      <c r="C3548" t="s">
        <v>1744</v>
      </c>
      <c r="D3548" t="s">
        <v>1045</v>
      </c>
      <c r="E3548" t="s">
        <v>1048</v>
      </c>
      <c r="F3548" t="s">
        <v>87</v>
      </c>
      <c r="G3548">
        <v>2461.5856740145209</v>
      </c>
      <c r="H3548" t="s">
        <v>1270</v>
      </c>
      <c r="I3548">
        <v>2.5</v>
      </c>
      <c r="J3548">
        <v>0</v>
      </c>
      <c r="K3548">
        <v>0</v>
      </c>
      <c r="L3548">
        <v>0</v>
      </c>
      <c r="M3548" t="s">
        <v>187</v>
      </c>
      <c r="N3548">
        <v>3240.3420059517498</v>
      </c>
      <c r="O3548" t="s">
        <v>12</v>
      </c>
      <c r="P3548" t="b">
        <v>0</v>
      </c>
      <c r="Q3548">
        <v>5062.9232859672702</v>
      </c>
      <c r="R3548">
        <v>24788.680189795083</v>
      </c>
      <c r="S3548">
        <v>-0.33024693215584439</v>
      </c>
      <c r="T3548">
        <v>-90.329788730760271</v>
      </c>
      <c r="U3548">
        <v>0</v>
      </c>
      <c r="V3548">
        <v>0</v>
      </c>
    </row>
    <row r="3549" spans="1:22" x14ac:dyDescent="0.2">
      <c r="A3549"/>
      <c r="B3549">
        <v>74378</v>
      </c>
      <c r="C3549" t="s">
        <v>1745</v>
      </c>
      <c r="D3549" t="s">
        <v>1045</v>
      </c>
      <c r="E3549" t="s">
        <v>1048</v>
      </c>
      <c r="F3549" t="s">
        <v>87</v>
      </c>
      <c r="G3549">
        <v>2541.4903535175313</v>
      </c>
      <c r="H3549" t="s">
        <v>12</v>
      </c>
      <c r="I3549">
        <v>-2.5</v>
      </c>
      <c r="J3549">
        <v>0</v>
      </c>
      <c r="K3549">
        <v>0</v>
      </c>
      <c r="L3549">
        <v>0</v>
      </c>
      <c r="M3549" t="s">
        <v>187</v>
      </c>
      <c r="N3549">
        <v>3320.2466854547602</v>
      </c>
      <c r="O3549" t="s">
        <v>12</v>
      </c>
      <c r="P3549" t="b">
        <v>1</v>
      </c>
      <c r="Q3549">
        <v>5063.013441901182</v>
      </c>
      <c r="R3549">
        <v>24868.556164379806</v>
      </c>
      <c r="S3549">
        <v>-1.2499807769697351</v>
      </c>
      <c r="T3549">
        <v>90.199096352703648</v>
      </c>
      <c r="U3549">
        <v>0</v>
      </c>
      <c r="V3549">
        <v>0</v>
      </c>
    </row>
    <row r="3550" spans="1:22" x14ac:dyDescent="0.2">
      <c r="A3550"/>
      <c r="B3550">
        <v>74379</v>
      </c>
      <c r="C3550" t="s">
        <v>1746</v>
      </c>
      <c r="D3550" t="s">
        <v>1045</v>
      </c>
      <c r="E3550" t="s">
        <v>1048</v>
      </c>
      <c r="F3550" t="s">
        <v>87</v>
      </c>
      <c r="G3550">
        <v>2541.4903535175313</v>
      </c>
      <c r="H3550" t="s">
        <v>1270</v>
      </c>
      <c r="I3550">
        <v>2.5</v>
      </c>
      <c r="J3550">
        <v>0</v>
      </c>
      <c r="K3550">
        <v>0</v>
      </c>
      <c r="L3550">
        <v>0</v>
      </c>
      <c r="M3550" t="s">
        <v>187</v>
      </c>
      <c r="N3550">
        <v>3320.2466854547602</v>
      </c>
      <c r="O3550" t="s">
        <v>12</v>
      </c>
      <c r="P3550" t="b">
        <v>0</v>
      </c>
      <c r="Q3550">
        <v>5063.013441901182</v>
      </c>
      <c r="R3550">
        <v>24868.556164379806</v>
      </c>
      <c r="S3550">
        <v>-1.2499807769697351</v>
      </c>
      <c r="T3550">
        <v>-89.800903647296366</v>
      </c>
      <c r="U3550">
        <v>0</v>
      </c>
      <c r="V3550">
        <v>0</v>
      </c>
    </row>
    <row r="3551" spans="1:22" x14ac:dyDescent="0.2">
      <c r="A3551"/>
      <c r="B3551">
        <v>74380</v>
      </c>
      <c r="C3551" t="s">
        <v>1747</v>
      </c>
      <c r="D3551" t="s">
        <v>1045</v>
      </c>
      <c r="E3551" t="s">
        <v>1050</v>
      </c>
      <c r="F3551" t="s">
        <v>87</v>
      </c>
      <c r="G3551">
        <v>2584.6211675891609</v>
      </c>
      <c r="H3551" t="s">
        <v>12</v>
      </c>
      <c r="I3551">
        <v>-2.5</v>
      </c>
      <c r="J3551">
        <v>0</v>
      </c>
      <c r="K3551">
        <v>0</v>
      </c>
      <c r="L3551">
        <v>0</v>
      </c>
      <c r="M3551" t="s">
        <v>187</v>
      </c>
      <c r="N3551">
        <v>3363.3774995263898</v>
      </c>
      <c r="O3551" t="s">
        <v>12</v>
      </c>
      <c r="P3551" t="b">
        <v>1</v>
      </c>
      <c r="Q3551">
        <v>5062.7573283585125</v>
      </c>
      <c r="R3551">
        <v>24911.671060936507</v>
      </c>
      <c r="S3551">
        <v>-1.7417808423549128</v>
      </c>
      <c r="T3551">
        <v>90.481204665538641</v>
      </c>
      <c r="U3551">
        <v>0</v>
      </c>
      <c r="V3551">
        <v>0</v>
      </c>
    </row>
    <row r="3552" spans="1:22" x14ac:dyDescent="0.2">
      <c r="A3552"/>
      <c r="B3552">
        <v>74381</v>
      </c>
      <c r="C3552" t="s">
        <v>1748</v>
      </c>
      <c r="D3552" t="s">
        <v>1045</v>
      </c>
      <c r="E3552" t="s">
        <v>1048</v>
      </c>
      <c r="F3552" t="s">
        <v>87</v>
      </c>
      <c r="G3552">
        <v>2584.6211675891609</v>
      </c>
      <c r="H3552" t="s">
        <v>1270</v>
      </c>
      <c r="I3552">
        <v>2.5</v>
      </c>
      <c r="J3552">
        <v>0</v>
      </c>
      <c r="K3552">
        <v>0</v>
      </c>
      <c r="L3552">
        <v>0</v>
      </c>
      <c r="M3552" t="s">
        <v>187</v>
      </c>
      <c r="N3552">
        <v>3363.3774995263898</v>
      </c>
      <c r="O3552" t="s">
        <v>12</v>
      </c>
      <c r="P3552" t="b">
        <v>0</v>
      </c>
      <c r="Q3552">
        <v>5062.7573283585125</v>
      </c>
      <c r="R3552">
        <v>24911.671060936507</v>
      </c>
      <c r="S3552">
        <v>-1.7417808423549128</v>
      </c>
      <c r="T3552">
        <v>-89.518795334461359</v>
      </c>
      <c r="U3552">
        <v>0</v>
      </c>
      <c r="V3552">
        <v>0</v>
      </c>
    </row>
    <row r="3553" spans="1:22" x14ac:dyDescent="0.2">
      <c r="A3553"/>
      <c r="B3553">
        <v>74382</v>
      </c>
      <c r="C3553" t="s">
        <v>1749</v>
      </c>
      <c r="D3553" t="s">
        <v>1045</v>
      </c>
      <c r="E3553" t="s">
        <v>1048</v>
      </c>
      <c r="F3553" t="s">
        <v>87</v>
      </c>
      <c r="G3553">
        <v>2748.376558181471</v>
      </c>
      <c r="H3553" t="s">
        <v>12</v>
      </c>
      <c r="I3553">
        <v>-2.5</v>
      </c>
      <c r="J3553">
        <v>0</v>
      </c>
      <c r="K3553">
        <v>0</v>
      </c>
      <c r="L3553">
        <v>0</v>
      </c>
      <c r="M3553" t="s">
        <v>187</v>
      </c>
      <c r="N3553">
        <v>3527.1328901186998</v>
      </c>
      <c r="O3553" t="s">
        <v>12</v>
      </c>
      <c r="P3553" t="b">
        <v>1</v>
      </c>
      <c r="Q3553">
        <v>5090.3538425019724</v>
      </c>
      <c r="R3553">
        <v>25072.608012695451</v>
      </c>
      <c r="S3553">
        <v>-2.6234826602263071</v>
      </c>
      <c r="T3553">
        <v>70.226490970129177</v>
      </c>
      <c r="U3553">
        <v>0</v>
      </c>
      <c r="V3553">
        <v>0</v>
      </c>
    </row>
    <row r="3554" spans="1:22" x14ac:dyDescent="0.2">
      <c r="A3554"/>
      <c r="B3554">
        <v>74383</v>
      </c>
      <c r="C3554" t="s">
        <v>1750</v>
      </c>
      <c r="D3554" t="s">
        <v>1045</v>
      </c>
      <c r="E3554" t="s">
        <v>1050</v>
      </c>
      <c r="F3554" t="s">
        <v>87</v>
      </c>
      <c r="G3554">
        <v>2748.376558181471</v>
      </c>
      <c r="H3554" t="s">
        <v>1270</v>
      </c>
      <c r="I3554">
        <v>2.5</v>
      </c>
      <c r="J3554">
        <v>0</v>
      </c>
      <c r="K3554">
        <v>0</v>
      </c>
      <c r="L3554">
        <v>0</v>
      </c>
      <c r="M3554" t="s">
        <v>187</v>
      </c>
      <c r="N3554">
        <v>3527.1328901186998</v>
      </c>
      <c r="O3554" t="s">
        <v>12</v>
      </c>
      <c r="P3554" t="b">
        <v>0</v>
      </c>
      <c r="Q3554">
        <v>5090.3538425019724</v>
      </c>
      <c r="R3554">
        <v>25072.608012695451</v>
      </c>
      <c r="S3554">
        <v>-2.6234826602263071</v>
      </c>
      <c r="T3554">
        <v>-109.77350902987085</v>
      </c>
      <c r="U3554">
        <v>0</v>
      </c>
      <c r="V3554">
        <v>0</v>
      </c>
    </row>
    <row r="3555" spans="1:22" x14ac:dyDescent="0.2">
      <c r="A3555"/>
      <c r="B3555">
        <v>74384</v>
      </c>
      <c r="C3555" t="s">
        <v>1751</v>
      </c>
      <c r="D3555" t="s">
        <v>1045</v>
      </c>
      <c r="E3555" t="s">
        <v>1049</v>
      </c>
      <c r="F3555" t="s">
        <v>87</v>
      </c>
      <c r="G3555">
        <v>3008.0274046551613</v>
      </c>
      <c r="H3555" t="s">
        <v>12</v>
      </c>
      <c r="I3555">
        <v>-2.5</v>
      </c>
      <c r="J3555">
        <v>0</v>
      </c>
      <c r="K3555">
        <v>0</v>
      </c>
      <c r="L3555">
        <v>0</v>
      </c>
      <c r="M3555" t="s">
        <v>187</v>
      </c>
      <c r="N3555">
        <v>3786.7837365923901</v>
      </c>
      <c r="O3555" t="s">
        <v>12</v>
      </c>
      <c r="P3555" t="b">
        <v>1</v>
      </c>
      <c r="Q3555">
        <v>5179.0813960994074</v>
      </c>
      <c r="R3555">
        <v>25316.617528068062</v>
      </c>
      <c r="S3555">
        <v>-3.4959567499061852</v>
      </c>
      <c r="T3555">
        <v>70.307572020559746</v>
      </c>
      <c r="U3555">
        <v>0</v>
      </c>
      <c r="V3555">
        <v>0</v>
      </c>
    </row>
    <row r="3556" spans="1:22" x14ac:dyDescent="0.2">
      <c r="A3556"/>
      <c r="B3556">
        <v>74385</v>
      </c>
      <c r="C3556" t="s">
        <v>1752</v>
      </c>
      <c r="D3556" t="s">
        <v>1045</v>
      </c>
      <c r="E3556" t="s">
        <v>1048</v>
      </c>
      <c r="F3556" t="s">
        <v>87</v>
      </c>
      <c r="G3556">
        <v>3008.0274046551613</v>
      </c>
      <c r="H3556" t="s">
        <v>1270</v>
      </c>
      <c r="I3556">
        <v>2.5</v>
      </c>
      <c r="J3556">
        <v>0</v>
      </c>
      <c r="K3556">
        <v>0</v>
      </c>
      <c r="L3556">
        <v>0</v>
      </c>
      <c r="M3556" t="s">
        <v>187</v>
      </c>
      <c r="N3556">
        <v>3786.7837365923901</v>
      </c>
      <c r="O3556" t="s">
        <v>12</v>
      </c>
      <c r="P3556" t="b">
        <v>0</v>
      </c>
      <c r="Q3556">
        <v>5179.0813960994074</v>
      </c>
      <c r="R3556">
        <v>25316.617528068062</v>
      </c>
      <c r="S3556">
        <v>-3.4959567499061852</v>
      </c>
      <c r="T3556">
        <v>-109.69242797944025</v>
      </c>
      <c r="U3556">
        <v>0</v>
      </c>
      <c r="V3556">
        <v>0</v>
      </c>
    </row>
    <row r="3557" spans="1:22" x14ac:dyDescent="0.2">
      <c r="A3557"/>
      <c r="B3557">
        <v>74386</v>
      </c>
      <c r="C3557" t="s">
        <v>1753</v>
      </c>
      <c r="D3557" t="s">
        <v>1045</v>
      </c>
      <c r="E3557" t="s">
        <v>1048</v>
      </c>
      <c r="F3557" t="s">
        <v>87</v>
      </c>
      <c r="G3557">
        <v>3186.917450059741</v>
      </c>
      <c r="H3557" t="s">
        <v>12</v>
      </c>
      <c r="I3557">
        <v>-2.5</v>
      </c>
      <c r="J3557">
        <v>0</v>
      </c>
      <c r="K3557">
        <v>0</v>
      </c>
      <c r="L3557">
        <v>0</v>
      </c>
      <c r="M3557" t="s">
        <v>187</v>
      </c>
      <c r="N3557">
        <v>3965.6737819969699</v>
      </c>
      <c r="O3557" t="s">
        <v>12</v>
      </c>
      <c r="P3557" t="b">
        <v>1</v>
      </c>
      <c r="Q3557">
        <v>5222.0817609415317</v>
      </c>
      <c r="R3557">
        <v>25489.269066453075</v>
      </c>
      <c r="S3557">
        <v>-6.6272117536594841</v>
      </c>
      <c r="T3557">
        <v>81.927314243992996</v>
      </c>
      <c r="U3557">
        <v>0</v>
      </c>
      <c r="V3557">
        <v>0</v>
      </c>
    </row>
    <row r="3558" spans="1:22" x14ac:dyDescent="0.2">
      <c r="A3558"/>
      <c r="B3558">
        <v>74387</v>
      </c>
      <c r="C3558" t="s">
        <v>1754</v>
      </c>
      <c r="D3558" t="s">
        <v>1045</v>
      </c>
      <c r="E3558" t="s">
        <v>1049</v>
      </c>
      <c r="F3558" t="s">
        <v>87</v>
      </c>
      <c r="G3558">
        <v>3186.917450059741</v>
      </c>
      <c r="H3558" t="s">
        <v>1270</v>
      </c>
      <c r="I3558">
        <v>2.5</v>
      </c>
      <c r="J3558">
        <v>0</v>
      </c>
      <c r="K3558">
        <v>0</v>
      </c>
      <c r="L3558">
        <v>0</v>
      </c>
      <c r="M3558" t="s">
        <v>187</v>
      </c>
      <c r="N3558">
        <v>3965.6737819969699</v>
      </c>
      <c r="O3558" t="s">
        <v>12</v>
      </c>
      <c r="P3558" t="b">
        <v>0</v>
      </c>
      <c r="Q3558">
        <v>5222.0817609415317</v>
      </c>
      <c r="R3558">
        <v>25489.269066453075</v>
      </c>
      <c r="S3558">
        <v>-6.6272117536594841</v>
      </c>
      <c r="T3558">
        <v>-98.072685756007004</v>
      </c>
      <c r="U3558">
        <v>0</v>
      </c>
      <c r="V3558">
        <v>0</v>
      </c>
    </row>
    <row r="3559" spans="1:22" x14ac:dyDescent="0.2">
      <c r="A3559"/>
      <c r="B3559">
        <v>74388</v>
      </c>
      <c r="C3559" t="s">
        <v>1755</v>
      </c>
      <c r="D3559" t="s">
        <v>1045</v>
      </c>
      <c r="E3559" t="s">
        <v>1048</v>
      </c>
      <c r="F3559" t="s">
        <v>87</v>
      </c>
      <c r="G3559">
        <v>3444.2164223460909</v>
      </c>
      <c r="H3559" t="s">
        <v>12</v>
      </c>
      <c r="I3559">
        <v>-2.5</v>
      </c>
      <c r="J3559">
        <v>0</v>
      </c>
      <c r="K3559">
        <v>0</v>
      </c>
      <c r="L3559">
        <v>0</v>
      </c>
      <c r="M3559" t="s">
        <v>187</v>
      </c>
      <c r="N3559">
        <v>4222.9727542833198</v>
      </c>
      <c r="O3559" t="s">
        <v>12</v>
      </c>
      <c r="P3559" t="b">
        <v>1</v>
      </c>
      <c r="Q3559">
        <v>5257.9450806065479</v>
      </c>
      <c r="R3559">
        <v>25744.030846116628</v>
      </c>
      <c r="S3559">
        <v>-9.155844193368381</v>
      </c>
      <c r="T3559">
        <v>81.849912499950719</v>
      </c>
      <c r="U3559">
        <v>0</v>
      </c>
      <c r="V3559">
        <v>0</v>
      </c>
    </row>
    <row r="3560" spans="1:22" x14ac:dyDescent="0.2">
      <c r="A3560"/>
      <c r="B3560">
        <v>74389</v>
      </c>
      <c r="C3560" t="s">
        <v>1756</v>
      </c>
      <c r="D3560" t="s">
        <v>1045</v>
      </c>
      <c r="E3560" t="s">
        <v>1048</v>
      </c>
      <c r="F3560" t="s">
        <v>87</v>
      </c>
      <c r="G3560">
        <v>3444.2164223460909</v>
      </c>
      <c r="H3560" t="s">
        <v>1270</v>
      </c>
      <c r="I3560">
        <v>2.5</v>
      </c>
      <c r="J3560">
        <v>0</v>
      </c>
      <c r="K3560">
        <v>0</v>
      </c>
      <c r="L3560">
        <v>0</v>
      </c>
      <c r="M3560" t="s">
        <v>187</v>
      </c>
      <c r="N3560">
        <v>4222.9727542833198</v>
      </c>
      <c r="O3560" t="s">
        <v>12</v>
      </c>
      <c r="P3560" t="b">
        <v>0</v>
      </c>
      <c r="Q3560">
        <v>5257.9450806065479</v>
      </c>
      <c r="R3560">
        <v>25744.030846116628</v>
      </c>
      <c r="S3560">
        <v>-9.155844193368381</v>
      </c>
      <c r="T3560">
        <v>-98.15008750004931</v>
      </c>
      <c r="U3560">
        <v>0</v>
      </c>
      <c r="V3560">
        <v>0</v>
      </c>
    </row>
    <row r="3561" spans="1:22" x14ac:dyDescent="0.2">
      <c r="A3561"/>
      <c r="B3561">
        <v>74390</v>
      </c>
      <c r="C3561" t="s">
        <v>1757</v>
      </c>
      <c r="D3561" t="s">
        <v>1045</v>
      </c>
      <c r="E3561" t="s">
        <v>1048</v>
      </c>
      <c r="F3561" t="s">
        <v>87</v>
      </c>
      <c r="G3561">
        <v>3529.0019788236709</v>
      </c>
      <c r="H3561" t="s">
        <v>12</v>
      </c>
      <c r="I3561">
        <v>-2.5</v>
      </c>
      <c r="J3561">
        <v>0</v>
      </c>
      <c r="K3561">
        <v>0</v>
      </c>
      <c r="L3561">
        <v>0</v>
      </c>
      <c r="M3561" t="s">
        <v>187</v>
      </c>
      <c r="N3561">
        <v>4307.7583107608998</v>
      </c>
      <c r="O3561" t="s">
        <v>12</v>
      </c>
      <c r="P3561" t="b">
        <v>1</v>
      </c>
      <c r="Q3561">
        <v>5270.1227306205947</v>
      </c>
      <c r="R3561">
        <v>25827.926951891488</v>
      </c>
      <c r="S3561">
        <v>-7.3163091235061515</v>
      </c>
      <c r="T3561">
        <v>81.625462277357684</v>
      </c>
      <c r="U3561">
        <v>0</v>
      </c>
      <c r="V3561">
        <v>0</v>
      </c>
    </row>
    <row r="3562" spans="1:22" x14ac:dyDescent="0.2">
      <c r="A3562"/>
      <c r="B3562">
        <v>74391</v>
      </c>
      <c r="C3562" t="s">
        <v>1758</v>
      </c>
      <c r="D3562" t="s">
        <v>1045</v>
      </c>
      <c r="E3562" t="s">
        <v>1048</v>
      </c>
      <c r="F3562" t="s">
        <v>87</v>
      </c>
      <c r="G3562">
        <v>3529.0019788236709</v>
      </c>
      <c r="H3562" t="s">
        <v>1270</v>
      </c>
      <c r="I3562">
        <v>2.5</v>
      </c>
      <c r="J3562">
        <v>0</v>
      </c>
      <c r="K3562">
        <v>0</v>
      </c>
      <c r="L3562">
        <v>0</v>
      </c>
      <c r="M3562" t="s">
        <v>187</v>
      </c>
      <c r="N3562">
        <v>4307.7583107608998</v>
      </c>
      <c r="O3562" t="s">
        <v>12</v>
      </c>
      <c r="P3562" t="b">
        <v>0</v>
      </c>
      <c r="Q3562">
        <v>5270.1227306205947</v>
      </c>
      <c r="R3562">
        <v>25827.926951891488</v>
      </c>
      <c r="S3562">
        <v>-7.3163091235061515</v>
      </c>
      <c r="T3562">
        <v>-98.37453772264233</v>
      </c>
      <c r="U3562">
        <v>0</v>
      </c>
      <c r="V3562">
        <v>0</v>
      </c>
    </row>
    <row r="3563" spans="1:22" x14ac:dyDescent="0.2">
      <c r="A3563"/>
      <c r="B3563">
        <v>74392</v>
      </c>
      <c r="C3563" t="s">
        <v>1759</v>
      </c>
      <c r="D3563" t="s">
        <v>1045</v>
      </c>
      <c r="E3563" t="s">
        <v>1048</v>
      </c>
      <c r="F3563" t="s">
        <v>87</v>
      </c>
      <c r="G3563">
        <v>3633.7046623103715</v>
      </c>
      <c r="H3563" t="s">
        <v>12</v>
      </c>
      <c r="I3563">
        <v>-2.5</v>
      </c>
      <c r="J3563">
        <v>0</v>
      </c>
      <c r="K3563">
        <v>0</v>
      </c>
      <c r="L3563">
        <v>0</v>
      </c>
      <c r="M3563" t="s">
        <v>187</v>
      </c>
      <c r="N3563">
        <v>4412.4609942476</v>
      </c>
      <c r="O3563" t="s">
        <v>12</v>
      </c>
      <c r="P3563" t="b">
        <v>1</v>
      </c>
      <c r="Q3563">
        <v>5285.5196622578351</v>
      </c>
      <c r="R3563">
        <v>25931.469389143804</v>
      </c>
      <c r="S3563">
        <v>-5.0640565692536654</v>
      </c>
      <c r="T3563">
        <v>81.567672417854766</v>
      </c>
      <c r="U3563">
        <v>0</v>
      </c>
      <c r="V3563">
        <v>0</v>
      </c>
    </row>
    <row r="3564" spans="1:22" x14ac:dyDescent="0.2">
      <c r="A3564"/>
      <c r="B3564">
        <v>74393</v>
      </c>
      <c r="C3564" t="s">
        <v>1760</v>
      </c>
      <c r="D3564" t="s">
        <v>1045</v>
      </c>
      <c r="E3564" t="s">
        <v>1048</v>
      </c>
      <c r="F3564" t="s">
        <v>87</v>
      </c>
      <c r="G3564">
        <v>3633.7046623103715</v>
      </c>
      <c r="H3564" t="s">
        <v>1270</v>
      </c>
      <c r="I3564">
        <v>2.5</v>
      </c>
      <c r="J3564">
        <v>0</v>
      </c>
      <c r="K3564">
        <v>0</v>
      </c>
      <c r="L3564">
        <v>0</v>
      </c>
      <c r="M3564" t="s">
        <v>187</v>
      </c>
      <c r="N3564">
        <v>4412.4609942476</v>
      </c>
      <c r="O3564" t="s">
        <v>12</v>
      </c>
      <c r="P3564" t="b">
        <v>0</v>
      </c>
      <c r="Q3564">
        <v>5285.5196622578351</v>
      </c>
      <c r="R3564">
        <v>25931.469389143804</v>
      </c>
      <c r="S3564">
        <v>-5.0640565692536654</v>
      </c>
      <c r="T3564">
        <v>-98.432327582145248</v>
      </c>
      <c r="U3564">
        <v>0</v>
      </c>
      <c r="V3564">
        <v>0</v>
      </c>
    </row>
    <row r="3565" spans="1:22" x14ac:dyDescent="0.2">
      <c r="A3565"/>
      <c r="B3565">
        <v>74394</v>
      </c>
      <c r="C3565" t="s">
        <v>1761</v>
      </c>
      <c r="D3565" t="s">
        <v>1045</v>
      </c>
      <c r="E3565" t="s">
        <v>1048</v>
      </c>
      <c r="F3565" t="s">
        <v>87</v>
      </c>
      <c r="G3565">
        <v>3720.8617739308324</v>
      </c>
      <c r="H3565" t="s">
        <v>12</v>
      </c>
      <c r="I3565">
        <v>-2.5</v>
      </c>
      <c r="J3565">
        <v>0</v>
      </c>
      <c r="K3565">
        <v>0</v>
      </c>
      <c r="L3565">
        <v>0</v>
      </c>
      <c r="M3565" t="s">
        <v>187</v>
      </c>
      <c r="N3565">
        <v>4499.6181058680604</v>
      </c>
      <c r="O3565" t="s">
        <v>12</v>
      </c>
      <c r="P3565" t="b">
        <v>1</v>
      </c>
      <c r="Q3565">
        <v>5297.7492969580189</v>
      </c>
      <c r="R3565">
        <v>26017.707962678127</v>
      </c>
      <c r="S3565">
        <v>-3.1802042594702482</v>
      </c>
      <c r="T3565">
        <v>82.360044243146419</v>
      </c>
      <c r="U3565">
        <v>0</v>
      </c>
      <c r="V3565">
        <v>0</v>
      </c>
    </row>
    <row r="3566" spans="1:22" x14ac:dyDescent="0.2">
      <c r="A3566"/>
      <c r="B3566">
        <v>74395</v>
      </c>
      <c r="C3566" t="s">
        <v>1762</v>
      </c>
      <c r="D3566" t="s">
        <v>1045</v>
      </c>
      <c r="E3566" t="s">
        <v>1048</v>
      </c>
      <c r="F3566" t="s">
        <v>87</v>
      </c>
      <c r="G3566">
        <v>3720.8617739308324</v>
      </c>
      <c r="H3566" t="s">
        <v>1270</v>
      </c>
      <c r="I3566">
        <v>2.5</v>
      </c>
      <c r="J3566">
        <v>0</v>
      </c>
      <c r="K3566">
        <v>0</v>
      </c>
      <c r="L3566">
        <v>0</v>
      </c>
      <c r="M3566" t="s">
        <v>187</v>
      </c>
      <c r="N3566">
        <v>4499.6181058680604</v>
      </c>
      <c r="O3566" t="s">
        <v>12</v>
      </c>
      <c r="P3566" t="b">
        <v>0</v>
      </c>
      <c r="Q3566">
        <v>5297.7492969580189</v>
      </c>
      <c r="R3566">
        <v>26017.707962678127</v>
      </c>
      <c r="S3566">
        <v>-3.1802042594702482</v>
      </c>
      <c r="T3566">
        <v>-97.639955756853581</v>
      </c>
      <c r="U3566">
        <v>0</v>
      </c>
      <c r="V3566">
        <v>0</v>
      </c>
    </row>
    <row r="3567" spans="1:22" x14ac:dyDescent="0.2">
      <c r="A3567"/>
      <c r="B3567">
        <v>74396</v>
      </c>
      <c r="C3567" t="s">
        <v>1763</v>
      </c>
      <c r="D3567" t="s">
        <v>1045</v>
      </c>
      <c r="E3567" t="s">
        <v>1048</v>
      </c>
      <c r="F3567" t="s">
        <v>87</v>
      </c>
      <c r="G3567">
        <v>3996.2573848386123</v>
      </c>
      <c r="H3567" t="s">
        <v>12</v>
      </c>
      <c r="I3567">
        <v>-2.5</v>
      </c>
      <c r="J3567">
        <v>0</v>
      </c>
      <c r="K3567">
        <v>0</v>
      </c>
      <c r="L3567">
        <v>0</v>
      </c>
      <c r="M3567" t="s">
        <v>187</v>
      </c>
      <c r="N3567">
        <v>4775.0137167758403</v>
      </c>
      <c r="O3567" t="s">
        <v>12</v>
      </c>
      <c r="P3567" t="b">
        <v>1</v>
      </c>
      <c r="Q3567">
        <v>5334.3446629429809</v>
      </c>
      <c r="R3567">
        <v>26290.654128328275</v>
      </c>
      <c r="S3567">
        <v>-2.3632810849481891</v>
      </c>
      <c r="T3567">
        <v>82.371315912916629</v>
      </c>
      <c r="U3567">
        <v>0</v>
      </c>
      <c r="V3567">
        <v>0</v>
      </c>
    </row>
    <row r="3568" spans="1:22" x14ac:dyDescent="0.2">
      <c r="A3568"/>
      <c r="B3568">
        <v>74397</v>
      </c>
      <c r="C3568" t="s">
        <v>1764</v>
      </c>
      <c r="D3568" t="s">
        <v>1045</v>
      </c>
      <c r="E3568" t="s">
        <v>1048</v>
      </c>
      <c r="F3568" t="s">
        <v>87</v>
      </c>
      <c r="G3568">
        <v>3996.2573848386123</v>
      </c>
      <c r="H3568" t="s">
        <v>1270</v>
      </c>
      <c r="I3568">
        <v>2.5</v>
      </c>
      <c r="J3568">
        <v>0</v>
      </c>
      <c r="K3568">
        <v>0</v>
      </c>
      <c r="L3568">
        <v>0</v>
      </c>
      <c r="M3568" t="s">
        <v>187</v>
      </c>
      <c r="N3568">
        <v>4775.0137167758403</v>
      </c>
      <c r="O3568" t="s">
        <v>12</v>
      </c>
      <c r="P3568" t="b">
        <v>0</v>
      </c>
      <c r="Q3568">
        <v>5334.3446629429809</v>
      </c>
      <c r="R3568">
        <v>26290.654128328275</v>
      </c>
      <c r="S3568">
        <v>-2.3632810849481891</v>
      </c>
      <c r="T3568">
        <v>-97.628684087083371</v>
      </c>
      <c r="U3568">
        <v>0</v>
      </c>
      <c r="V3568">
        <v>0</v>
      </c>
    </row>
    <row r="3569" spans="1:22" x14ac:dyDescent="0.2">
      <c r="A3569"/>
      <c r="B3569">
        <v>74398</v>
      </c>
      <c r="C3569" t="s">
        <v>1765</v>
      </c>
      <c r="D3569" t="s">
        <v>1045</v>
      </c>
      <c r="E3569" t="s">
        <v>1048</v>
      </c>
      <c r="F3569" t="s">
        <v>87</v>
      </c>
      <c r="G3569">
        <v>4163.8505617617329</v>
      </c>
      <c r="H3569" t="s">
        <v>12</v>
      </c>
      <c r="I3569">
        <v>-2.5</v>
      </c>
      <c r="J3569">
        <v>0</v>
      </c>
      <c r="K3569">
        <v>0</v>
      </c>
      <c r="L3569">
        <v>0</v>
      </c>
      <c r="M3569" t="s">
        <v>187</v>
      </c>
      <c r="N3569">
        <v>4942.6068936989604</v>
      </c>
      <c r="O3569" t="s">
        <v>12</v>
      </c>
      <c r="P3569" t="b">
        <v>1</v>
      </c>
      <c r="Q3569">
        <v>5363.0494515331675</v>
      </c>
      <c r="R3569">
        <v>26455.912980635676</v>
      </c>
      <c r="S3569">
        <v>-4.9638867309492207</v>
      </c>
      <c r="T3569">
        <v>77.911751180345647</v>
      </c>
      <c r="U3569">
        <v>0</v>
      </c>
      <c r="V3569">
        <v>0</v>
      </c>
    </row>
    <row r="3570" spans="1:22" x14ac:dyDescent="0.2">
      <c r="A3570"/>
      <c r="B3570">
        <v>74399</v>
      </c>
      <c r="C3570" t="s">
        <v>1766</v>
      </c>
      <c r="D3570" t="s">
        <v>1045</v>
      </c>
      <c r="E3570" t="s">
        <v>1048</v>
      </c>
      <c r="F3570" t="s">
        <v>87</v>
      </c>
      <c r="G3570">
        <v>4163.8505617617329</v>
      </c>
      <c r="H3570" t="s">
        <v>1270</v>
      </c>
      <c r="I3570">
        <v>2.5</v>
      </c>
      <c r="J3570">
        <v>0</v>
      </c>
      <c r="K3570">
        <v>0</v>
      </c>
      <c r="L3570">
        <v>0</v>
      </c>
      <c r="M3570" t="s">
        <v>187</v>
      </c>
      <c r="N3570">
        <v>4942.6068936989604</v>
      </c>
      <c r="O3570" t="s">
        <v>12</v>
      </c>
      <c r="P3570" t="b">
        <v>0</v>
      </c>
      <c r="Q3570">
        <v>5363.0494515331675</v>
      </c>
      <c r="R3570">
        <v>26455.912980635676</v>
      </c>
      <c r="S3570">
        <v>-4.9638867309492207</v>
      </c>
      <c r="T3570">
        <v>-102.08824881965435</v>
      </c>
      <c r="U3570">
        <v>0</v>
      </c>
      <c r="V3570">
        <v>0</v>
      </c>
    </row>
    <row r="3571" spans="1:22" x14ac:dyDescent="0.2">
      <c r="A3571"/>
      <c r="B3571">
        <v>74400</v>
      </c>
      <c r="C3571" t="s">
        <v>1767</v>
      </c>
      <c r="D3571" t="s">
        <v>1045</v>
      </c>
      <c r="E3571" t="s">
        <v>1048</v>
      </c>
      <c r="F3571" t="s">
        <v>87</v>
      </c>
      <c r="G3571">
        <v>4210.5928311754324</v>
      </c>
      <c r="H3571" t="s">
        <v>12</v>
      </c>
      <c r="I3571">
        <v>-2.5</v>
      </c>
      <c r="J3571">
        <v>0</v>
      </c>
      <c r="K3571">
        <v>0</v>
      </c>
      <c r="L3571">
        <v>0</v>
      </c>
      <c r="M3571" t="s">
        <v>187</v>
      </c>
      <c r="N3571">
        <v>4989.3491631126599</v>
      </c>
      <c r="O3571" t="s">
        <v>12</v>
      </c>
      <c r="P3571" t="b">
        <v>1</v>
      </c>
      <c r="Q3571">
        <v>5373.001824079799</v>
      </c>
      <c r="R3571">
        <v>26501.581453983192</v>
      </c>
      <c r="S3571">
        <v>-5.8946111049339232</v>
      </c>
      <c r="T3571">
        <v>77.742750932847741</v>
      </c>
      <c r="U3571">
        <v>0</v>
      </c>
      <c r="V3571">
        <v>0</v>
      </c>
    </row>
    <row r="3572" spans="1:22" x14ac:dyDescent="0.2">
      <c r="A3572"/>
      <c r="B3572">
        <v>74401</v>
      </c>
      <c r="C3572" t="s">
        <v>1768</v>
      </c>
      <c r="D3572" t="s">
        <v>1045</v>
      </c>
      <c r="E3572" t="s">
        <v>1048</v>
      </c>
      <c r="F3572" t="s">
        <v>87</v>
      </c>
      <c r="G3572">
        <v>4210.5928311754324</v>
      </c>
      <c r="H3572" t="s">
        <v>1270</v>
      </c>
      <c r="I3572">
        <v>2.5</v>
      </c>
      <c r="J3572">
        <v>0</v>
      </c>
      <c r="K3572">
        <v>0</v>
      </c>
      <c r="L3572">
        <v>0</v>
      </c>
      <c r="M3572" t="s">
        <v>187</v>
      </c>
      <c r="N3572">
        <v>4989.3491631126599</v>
      </c>
      <c r="O3572" t="s">
        <v>12</v>
      </c>
      <c r="P3572" t="b">
        <v>0</v>
      </c>
      <c r="Q3572">
        <v>5373.001824079799</v>
      </c>
      <c r="R3572">
        <v>26501.581453983192</v>
      </c>
      <c r="S3572">
        <v>-5.8946111049339232</v>
      </c>
      <c r="T3572">
        <v>-102.25724906715227</v>
      </c>
      <c r="U3572">
        <v>0</v>
      </c>
      <c r="V3572">
        <v>0</v>
      </c>
    </row>
    <row r="3573" spans="1:22" x14ac:dyDescent="0.2">
      <c r="A3573"/>
      <c r="B3573">
        <v>74402</v>
      </c>
      <c r="C3573" t="s">
        <v>1769</v>
      </c>
      <c r="D3573" t="s">
        <v>1045</v>
      </c>
      <c r="E3573" t="s">
        <v>1048</v>
      </c>
      <c r="F3573" t="s">
        <v>87</v>
      </c>
      <c r="G3573">
        <v>4301.1744290603128</v>
      </c>
      <c r="H3573" t="s">
        <v>12</v>
      </c>
      <c r="I3573">
        <v>-2.5</v>
      </c>
      <c r="J3573">
        <v>0</v>
      </c>
      <c r="K3573">
        <v>0</v>
      </c>
      <c r="L3573">
        <v>0</v>
      </c>
      <c r="M3573" t="s">
        <v>187</v>
      </c>
      <c r="N3573">
        <v>5079.9307609975403</v>
      </c>
      <c r="O3573" t="s">
        <v>12</v>
      </c>
      <c r="P3573" t="b">
        <v>1</v>
      </c>
      <c r="Q3573">
        <v>5390.8879281683758</v>
      </c>
      <c r="R3573">
        <v>26590.306391910348</v>
      </c>
      <c r="S3573">
        <v>-7.7008608856326921</v>
      </c>
      <c r="T3573">
        <v>78.923429326671283</v>
      </c>
      <c r="U3573">
        <v>0</v>
      </c>
      <c r="V3573">
        <v>0</v>
      </c>
    </row>
    <row r="3574" spans="1:22" x14ac:dyDescent="0.2">
      <c r="A3574"/>
      <c r="B3574">
        <v>74403</v>
      </c>
      <c r="C3574" t="s">
        <v>1770</v>
      </c>
      <c r="D3574" t="s">
        <v>1045</v>
      </c>
      <c r="E3574" t="s">
        <v>1048</v>
      </c>
      <c r="F3574" t="s">
        <v>87</v>
      </c>
      <c r="G3574">
        <v>4301.1744290603128</v>
      </c>
      <c r="H3574" t="s">
        <v>1270</v>
      </c>
      <c r="I3574">
        <v>2.5</v>
      </c>
      <c r="J3574">
        <v>0</v>
      </c>
      <c r="K3574">
        <v>0</v>
      </c>
      <c r="L3574">
        <v>0</v>
      </c>
      <c r="M3574" t="s">
        <v>187</v>
      </c>
      <c r="N3574">
        <v>5079.9307609975403</v>
      </c>
      <c r="O3574" t="s">
        <v>12</v>
      </c>
      <c r="P3574" t="b">
        <v>0</v>
      </c>
      <c r="Q3574">
        <v>5390.8879281683758</v>
      </c>
      <c r="R3574">
        <v>26590.306391910348</v>
      </c>
      <c r="S3574">
        <v>-7.7008608856326921</v>
      </c>
      <c r="T3574">
        <v>-101.07657067332873</v>
      </c>
      <c r="U3574">
        <v>0</v>
      </c>
      <c r="V3574">
        <v>0</v>
      </c>
    </row>
    <row r="3575" spans="1:22" x14ac:dyDescent="0.2">
      <c r="A3575"/>
      <c r="B3575">
        <v>74404</v>
      </c>
      <c r="C3575" t="s">
        <v>1771</v>
      </c>
      <c r="D3575" t="s">
        <v>1045</v>
      </c>
      <c r="E3575" t="s">
        <v>1048</v>
      </c>
      <c r="F3575" t="s">
        <v>87</v>
      </c>
      <c r="G3575">
        <v>4720.8904869620728</v>
      </c>
      <c r="H3575" t="s">
        <v>12</v>
      </c>
      <c r="I3575">
        <v>-2.5</v>
      </c>
      <c r="J3575">
        <v>0</v>
      </c>
      <c r="K3575">
        <v>0</v>
      </c>
      <c r="L3575">
        <v>0</v>
      </c>
      <c r="M3575" t="s">
        <v>187</v>
      </c>
      <c r="N3575">
        <v>5499.6468188993003</v>
      </c>
      <c r="O3575" t="s">
        <v>12</v>
      </c>
      <c r="P3575" t="b">
        <v>1</v>
      </c>
      <c r="Q3575">
        <v>5470.5125947795696</v>
      </c>
      <c r="R3575">
        <v>27002.350064411523</v>
      </c>
      <c r="S3575">
        <v>-6.8829785197010294</v>
      </c>
      <c r="T3575">
        <v>79.158414014070203</v>
      </c>
      <c r="U3575">
        <v>0</v>
      </c>
      <c r="V3575">
        <v>0</v>
      </c>
    </row>
    <row r="3576" spans="1:22" x14ac:dyDescent="0.2">
      <c r="A3576"/>
      <c r="B3576">
        <v>74405</v>
      </c>
      <c r="C3576" t="s">
        <v>1772</v>
      </c>
      <c r="D3576" t="s">
        <v>1045</v>
      </c>
      <c r="E3576" t="s">
        <v>1048</v>
      </c>
      <c r="F3576" t="s">
        <v>87</v>
      </c>
      <c r="G3576">
        <v>4720.8904869620728</v>
      </c>
      <c r="H3576" t="s">
        <v>1270</v>
      </c>
      <c r="I3576">
        <v>2.5</v>
      </c>
      <c r="J3576">
        <v>0</v>
      </c>
      <c r="K3576">
        <v>0</v>
      </c>
      <c r="L3576">
        <v>0</v>
      </c>
      <c r="M3576" t="s">
        <v>187</v>
      </c>
      <c r="N3576">
        <v>5499.6468188993003</v>
      </c>
      <c r="O3576" t="s">
        <v>12</v>
      </c>
      <c r="P3576" t="b">
        <v>0</v>
      </c>
      <c r="Q3576">
        <v>5470.5125947795696</v>
      </c>
      <c r="R3576">
        <v>27002.350064411523</v>
      </c>
      <c r="S3576">
        <v>-6.8829785197010294</v>
      </c>
      <c r="T3576">
        <v>-100.84158598592981</v>
      </c>
      <c r="U3576">
        <v>0</v>
      </c>
      <c r="V3576">
        <v>0</v>
      </c>
    </row>
    <row r="3577" spans="1:22" x14ac:dyDescent="0.2">
      <c r="A3577"/>
      <c r="B3577">
        <v>74406</v>
      </c>
      <c r="C3577" t="s">
        <v>1773</v>
      </c>
      <c r="D3577" t="s">
        <v>1045</v>
      </c>
      <c r="E3577" t="s">
        <v>1048</v>
      </c>
      <c r="F3577" t="s">
        <v>87</v>
      </c>
      <c r="G3577">
        <v>4807.6736604272228</v>
      </c>
      <c r="H3577" t="s">
        <v>12</v>
      </c>
      <c r="I3577">
        <v>-2.5</v>
      </c>
      <c r="J3577">
        <v>0</v>
      </c>
      <c r="K3577">
        <v>0</v>
      </c>
      <c r="L3577">
        <v>0</v>
      </c>
      <c r="M3577" t="s">
        <v>187</v>
      </c>
      <c r="N3577">
        <v>5586.4299923644503</v>
      </c>
      <c r="O3577" t="s">
        <v>12</v>
      </c>
      <c r="P3577" t="b">
        <v>1</v>
      </c>
      <c r="Q3577">
        <v>5485.9857337312196</v>
      </c>
      <c r="R3577">
        <v>27087.687304948129</v>
      </c>
      <c r="S3577">
        <v>-6.0924304736726471</v>
      </c>
      <c r="T3577">
        <v>80.283694665000837</v>
      </c>
      <c r="U3577">
        <v>0</v>
      </c>
      <c r="V3577">
        <v>0</v>
      </c>
    </row>
    <row r="3578" spans="1:22" x14ac:dyDescent="0.2">
      <c r="A3578"/>
      <c r="B3578">
        <v>74407</v>
      </c>
      <c r="C3578" t="s">
        <v>1774</v>
      </c>
      <c r="D3578" t="s">
        <v>1045</v>
      </c>
      <c r="E3578" t="s">
        <v>1048</v>
      </c>
      <c r="F3578" t="s">
        <v>87</v>
      </c>
      <c r="G3578">
        <v>4807.6736604272228</v>
      </c>
      <c r="H3578" t="s">
        <v>1270</v>
      </c>
      <c r="I3578">
        <v>2.5</v>
      </c>
      <c r="J3578">
        <v>0</v>
      </c>
      <c r="K3578">
        <v>0</v>
      </c>
      <c r="L3578">
        <v>0</v>
      </c>
      <c r="M3578" t="s">
        <v>187</v>
      </c>
      <c r="N3578">
        <v>5586.4299923644503</v>
      </c>
      <c r="O3578" t="s">
        <v>12</v>
      </c>
      <c r="P3578" t="b">
        <v>0</v>
      </c>
      <c r="Q3578">
        <v>5485.9857337312196</v>
      </c>
      <c r="R3578">
        <v>27087.687304948129</v>
      </c>
      <c r="S3578">
        <v>-6.0924304736726471</v>
      </c>
      <c r="T3578">
        <v>-99.716305334999177</v>
      </c>
      <c r="U3578">
        <v>0</v>
      </c>
      <c r="V3578">
        <v>0</v>
      </c>
    </row>
    <row r="3579" spans="1:22" x14ac:dyDescent="0.2">
      <c r="A3579"/>
      <c r="B3579">
        <v>74408</v>
      </c>
      <c r="C3579" t="s">
        <v>1775</v>
      </c>
      <c r="D3579" t="s">
        <v>1045</v>
      </c>
      <c r="E3579" t="s">
        <v>1048</v>
      </c>
      <c r="F3579" t="s">
        <v>87</v>
      </c>
      <c r="G3579">
        <v>5195.9395513718928</v>
      </c>
      <c r="H3579" t="s">
        <v>12</v>
      </c>
      <c r="I3579">
        <v>-2.5</v>
      </c>
      <c r="J3579">
        <v>0</v>
      </c>
      <c r="K3579">
        <v>0</v>
      </c>
      <c r="L3579">
        <v>0</v>
      </c>
      <c r="M3579" t="s">
        <v>187</v>
      </c>
      <c r="N3579">
        <v>5974.6958833091203</v>
      </c>
      <c r="O3579" t="s">
        <v>12</v>
      </c>
      <c r="P3579" t="b">
        <v>1</v>
      </c>
      <c r="Q3579">
        <v>5550.6793718763192</v>
      </c>
      <c r="R3579">
        <v>27470.411920537856</v>
      </c>
      <c r="S3579">
        <v>2.4381211995377217</v>
      </c>
      <c r="T3579">
        <v>80.270015733285504</v>
      </c>
      <c r="U3579">
        <v>0</v>
      </c>
      <c r="V3579">
        <v>0</v>
      </c>
    </row>
    <row r="3580" spans="1:22" x14ac:dyDescent="0.2">
      <c r="A3580"/>
      <c r="B3580">
        <v>74409</v>
      </c>
      <c r="C3580" t="s">
        <v>1776</v>
      </c>
      <c r="D3580" t="s">
        <v>1045</v>
      </c>
      <c r="E3580" t="s">
        <v>1048</v>
      </c>
      <c r="F3580" t="s">
        <v>87</v>
      </c>
      <c r="G3580">
        <v>5195.9395513718928</v>
      </c>
      <c r="H3580" t="s">
        <v>1270</v>
      </c>
      <c r="I3580">
        <v>2.5</v>
      </c>
      <c r="J3580">
        <v>0</v>
      </c>
      <c r="K3580">
        <v>0</v>
      </c>
      <c r="L3580">
        <v>0</v>
      </c>
      <c r="M3580" t="s">
        <v>187</v>
      </c>
      <c r="N3580">
        <v>5974.6958833091203</v>
      </c>
      <c r="O3580" t="s">
        <v>12</v>
      </c>
      <c r="P3580" t="b">
        <v>0</v>
      </c>
      <c r="Q3580">
        <v>5550.6793718763192</v>
      </c>
      <c r="R3580">
        <v>27470.411920537856</v>
      </c>
      <c r="S3580">
        <v>2.4381211995377217</v>
      </c>
      <c r="T3580">
        <v>-99.729984266714482</v>
      </c>
      <c r="U3580">
        <v>0</v>
      </c>
      <c r="V3580">
        <v>0</v>
      </c>
    </row>
    <row r="3581" spans="1:22" x14ac:dyDescent="0.2">
      <c r="A3581"/>
      <c r="B3581">
        <v>74410</v>
      </c>
      <c r="C3581" t="s">
        <v>1777</v>
      </c>
      <c r="D3581" t="s">
        <v>1045</v>
      </c>
      <c r="E3581" t="s">
        <v>1048</v>
      </c>
      <c r="F3581" t="s">
        <v>87</v>
      </c>
      <c r="G3581">
        <v>5270.2745204563325</v>
      </c>
      <c r="H3581" t="s">
        <v>12</v>
      </c>
      <c r="I3581">
        <v>-2.5</v>
      </c>
      <c r="J3581">
        <v>0</v>
      </c>
      <c r="K3581">
        <v>0</v>
      </c>
      <c r="L3581">
        <v>0</v>
      </c>
      <c r="M3581" t="s">
        <v>187</v>
      </c>
      <c r="N3581">
        <v>6049.0308523935601</v>
      </c>
      <c r="O3581" t="s">
        <v>12</v>
      </c>
      <c r="P3581" t="b">
        <v>1</v>
      </c>
      <c r="Q3581">
        <v>5563.2756962590074</v>
      </c>
      <c r="R3581">
        <v>27543.643576616359</v>
      </c>
      <c r="S3581">
        <v>4.5616269852166855</v>
      </c>
      <c r="T3581">
        <v>80.208421348279202</v>
      </c>
      <c r="U3581">
        <v>0</v>
      </c>
      <c r="V3581">
        <v>0</v>
      </c>
    </row>
    <row r="3582" spans="1:22" x14ac:dyDescent="0.2">
      <c r="A3582"/>
      <c r="B3582">
        <v>74411</v>
      </c>
      <c r="C3582" t="s">
        <v>1778</v>
      </c>
      <c r="D3582" t="s">
        <v>1045</v>
      </c>
      <c r="E3582" t="s">
        <v>1048</v>
      </c>
      <c r="F3582" t="s">
        <v>87</v>
      </c>
      <c r="G3582">
        <v>5270.2745204563325</v>
      </c>
      <c r="H3582" t="s">
        <v>1270</v>
      </c>
      <c r="I3582">
        <v>2.5</v>
      </c>
      <c r="J3582">
        <v>0</v>
      </c>
      <c r="K3582">
        <v>0</v>
      </c>
      <c r="L3582">
        <v>0</v>
      </c>
      <c r="M3582" t="s">
        <v>187</v>
      </c>
      <c r="N3582">
        <v>6049.0308523935601</v>
      </c>
      <c r="O3582" t="s">
        <v>12</v>
      </c>
      <c r="P3582" t="b">
        <v>0</v>
      </c>
      <c r="Q3582">
        <v>5563.2756962590074</v>
      </c>
      <c r="R3582">
        <v>27543.643576616359</v>
      </c>
      <c r="S3582">
        <v>4.5616269852166855</v>
      </c>
      <c r="T3582">
        <v>-99.791578651720812</v>
      </c>
      <c r="U3582">
        <v>0</v>
      </c>
      <c r="V3582">
        <v>0</v>
      </c>
    </row>
    <row r="3583" spans="1:22" x14ac:dyDescent="0.2">
      <c r="A3583"/>
      <c r="B3583">
        <v>74412</v>
      </c>
      <c r="C3583" t="s">
        <v>1779</v>
      </c>
      <c r="D3583" t="s">
        <v>1045</v>
      </c>
      <c r="E3583" t="s">
        <v>1048</v>
      </c>
      <c r="F3583" t="s">
        <v>87</v>
      </c>
      <c r="G3583">
        <v>5456.3382741562027</v>
      </c>
      <c r="H3583" t="s">
        <v>12</v>
      </c>
      <c r="I3583">
        <v>-2.5</v>
      </c>
      <c r="J3583">
        <v>0</v>
      </c>
      <c r="K3583">
        <v>0</v>
      </c>
      <c r="L3583">
        <v>0</v>
      </c>
      <c r="M3583" t="s">
        <v>187</v>
      </c>
      <c r="N3583">
        <v>6235.0946060934302</v>
      </c>
      <c r="O3583" t="s">
        <v>12</v>
      </c>
      <c r="P3583" t="b">
        <v>1</v>
      </c>
      <c r="Q3583">
        <v>5595.1782427439648</v>
      </c>
      <c r="R3583">
        <v>27726.953541725776</v>
      </c>
      <c r="S3583">
        <v>5.2466056261550253</v>
      </c>
      <c r="T3583">
        <v>80.054881556749976</v>
      </c>
      <c r="U3583">
        <v>0</v>
      </c>
      <c r="V3583">
        <v>0</v>
      </c>
    </row>
    <row r="3584" spans="1:22" x14ac:dyDescent="0.2">
      <c r="A3584"/>
      <c r="B3584">
        <v>74413</v>
      </c>
      <c r="C3584" t="s">
        <v>1780</v>
      </c>
      <c r="D3584" t="s">
        <v>1045</v>
      </c>
      <c r="E3584" t="s">
        <v>1048</v>
      </c>
      <c r="F3584" t="s">
        <v>87</v>
      </c>
      <c r="G3584">
        <v>5456.3382741562027</v>
      </c>
      <c r="H3584" t="s">
        <v>1270</v>
      </c>
      <c r="I3584">
        <v>2.5</v>
      </c>
      <c r="J3584">
        <v>0</v>
      </c>
      <c r="K3584">
        <v>0</v>
      </c>
      <c r="L3584">
        <v>0</v>
      </c>
      <c r="M3584" t="s">
        <v>187</v>
      </c>
      <c r="N3584">
        <v>6235.0946060934302</v>
      </c>
      <c r="O3584" t="s">
        <v>12</v>
      </c>
      <c r="P3584" t="b">
        <v>0</v>
      </c>
      <c r="Q3584">
        <v>5595.1782427439648</v>
      </c>
      <c r="R3584">
        <v>27726.953541725776</v>
      </c>
      <c r="S3584">
        <v>5.2466056261550253</v>
      </c>
      <c r="T3584">
        <v>-99.94511844325001</v>
      </c>
      <c r="U3584">
        <v>0</v>
      </c>
      <c r="V3584">
        <v>0</v>
      </c>
    </row>
    <row r="3585" spans="1:22" x14ac:dyDescent="0.2">
      <c r="A3585"/>
      <c r="B3585">
        <v>74414</v>
      </c>
      <c r="C3585" t="s">
        <v>1781</v>
      </c>
      <c r="D3585" t="s">
        <v>1045</v>
      </c>
      <c r="E3585" t="s">
        <v>1048</v>
      </c>
      <c r="F3585" t="s">
        <v>87</v>
      </c>
      <c r="G3585">
        <v>5530.6142003740224</v>
      </c>
      <c r="H3585" t="s">
        <v>12</v>
      </c>
      <c r="I3585">
        <v>-2.5</v>
      </c>
      <c r="J3585">
        <v>0</v>
      </c>
      <c r="K3585">
        <v>0</v>
      </c>
      <c r="L3585">
        <v>0</v>
      </c>
      <c r="M3585" t="s">
        <v>187</v>
      </c>
      <c r="N3585">
        <v>6309.3705323112499</v>
      </c>
      <c r="O3585" t="s">
        <v>12</v>
      </c>
      <c r="P3585" t="b">
        <v>1</v>
      </c>
      <c r="Q3585">
        <v>5607.8098265782255</v>
      </c>
      <c r="R3585">
        <v>27800.11700426069</v>
      </c>
      <c r="S3585">
        <v>5.2505468217145834</v>
      </c>
      <c r="T3585">
        <v>80.730607479500534</v>
      </c>
      <c r="U3585">
        <v>0</v>
      </c>
      <c r="V3585">
        <v>0</v>
      </c>
    </row>
    <row r="3586" spans="1:22" x14ac:dyDescent="0.2">
      <c r="A3586"/>
      <c r="B3586">
        <v>74415</v>
      </c>
      <c r="C3586" t="s">
        <v>1782</v>
      </c>
      <c r="D3586" t="s">
        <v>1045</v>
      </c>
      <c r="E3586" t="s">
        <v>1048</v>
      </c>
      <c r="F3586" t="s">
        <v>87</v>
      </c>
      <c r="G3586">
        <v>5530.6142003740224</v>
      </c>
      <c r="H3586" t="s">
        <v>1270</v>
      </c>
      <c r="I3586">
        <v>2.5</v>
      </c>
      <c r="J3586">
        <v>0</v>
      </c>
      <c r="K3586">
        <v>0</v>
      </c>
      <c r="L3586">
        <v>0</v>
      </c>
      <c r="M3586" t="s">
        <v>187</v>
      </c>
      <c r="N3586">
        <v>6309.3705323112499</v>
      </c>
      <c r="O3586" t="s">
        <v>12</v>
      </c>
      <c r="P3586" t="b">
        <v>0</v>
      </c>
      <c r="Q3586">
        <v>5607.8098265782255</v>
      </c>
      <c r="R3586">
        <v>27800.11700426069</v>
      </c>
      <c r="S3586">
        <v>5.2505468217145834</v>
      </c>
      <c r="T3586">
        <v>-99.269392520499494</v>
      </c>
      <c r="U3586">
        <v>0</v>
      </c>
      <c r="V3586">
        <v>0</v>
      </c>
    </row>
    <row r="3587" spans="1:22" x14ac:dyDescent="0.2">
      <c r="A3587"/>
      <c r="B3587">
        <v>74416</v>
      </c>
      <c r="C3587" t="s">
        <v>1783</v>
      </c>
      <c r="D3587" t="s">
        <v>1045</v>
      </c>
      <c r="E3587" t="s">
        <v>1048</v>
      </c>
      <c r="F3587" t="s">
        <v>91</v>
      </c>
      <c r="G3587">
        <v>19.091017554714881</v>
      </c>
      <c r="H3587" t="s">
        <v>12</v>
      </c>
      <c r="I3587">
        <v>-2.5</v>
      </c>
      <c r="J3587">
        <v>0</v>
      </c>
      <c r="K3587">
        <v>0</v>
      </c>
      <c r="L3587">
        <v>0</v>
      </c>
      <c r="M3587" t="s">
        <v>187</v>
      </c>
      <c r="N3587">
        <v>6757.5457608835604</v>
      </c>
      <c r="O3587" t="s">
        <v>12</v>
      </c>
      <c r="P3587" t="b">
        <v>1</v>
      </c>
      <c r="Q3587">
        <v>5680.0961768314573</v>
      </c>
      <c r="R3587">
        <v>28242.427286079757</v>
      </c>
      <c r="S3587">
        <v>5.2436883031574819</v>
      </c>
      <c r="T3587">
        <v>80.654505396334713</v>
      </c>
      <c r="U3587">
        <v>0</v>
      </c>
      <c r="V3587">
        <v>0</v>
      </c>
    </row>
    <row r="3588" spans="1:22" x14ac:dyDescent="0.2">
      <c r="A3588"/>
      <c r="B3588">
        <v>74417</v>
      </c>
      <c r="C3588" t="s">
        <v>1784</v>
      </c>
      <c r="D3588" t="s">
        <v>1045</v>
      </c>
      <c r="E3588" t="s">
        <v>1048</v>
      </c>
      <c r="F3588" t="s">
        <v>91</v>
      </c>
      <c r="G3588">
        <v>19.091017554714881</v>
      </c>
      <c r="H3588" t="s">
        <v>1270</v>
      </c>
      <c r="I3588">
        <v>2.5</v>
      </c>
      <c r="J3588">
        <v>0</v>
      </c>
      <c r="K3588">
        <v>0</v>
      </c>
      <c r="L3588">
        <v>0</v>
      </c>
      <c r="M3588" t="s">
        <v>187</v>
      </c>
      <c r="N3588">
        <v>6757.5457608835604</v>
      </c>
      <c r="O3588" t="s">
        <v>12</v>
      </c>
      <c r="P3588" t="b">
        <v>0</v>
      </c>
      <c r="Q3588">
        <v>5680.0961768314573</v>
      </c>
      <c r="R3588">
        <v>28242.427286079757</v>
      </c>
      <c r="S3588">
        <v>5.2436883031574819</v>
      </c>
      <c r="T3588">
        <v>-99.345494603665301</v>
      </c>
      <c r="U3588">
        <v>0</v>
      </c>
      <c r="V3588">
        <v>0</v>
      </c>
    </row>
    <row r="3589" spans="1:22" x14ac:dyDescent="0.2">
      <c r="A3589"/>
      <c r="B3589">
        <v>74418</v>
      </c>
      <c r="C3589" t="s">
        <v>1785</v>
      </c>
      <c r="D3589" t="s">
        <v>1045</v>
      </c>
      <c r="E3589" t="s">
        <v>1048</v>
      </c>
      <c r="F3589" t="s">
        <v>91</v>
      </c>
      <c r="G3589">
        <v>94.876572090164473</v>
      </c>
      <c r="H3589" t="s">
        <v>12</v>
      </c>
      <c r="I3589">
        <v>-2.5</v>
      </c>
      <c r="J3589">
        <v>0</v>
      </c>
      <c r="K3589">
        <v>0</v>
      </c>
      <c r="L3589">
        <v>0</v>
      </c>
      <c r="M3589" t="s">
        <v>187</v>
      </c>
      <c r="N3589">
        <v>6833.33131541901</v>
      </c>
      <c r="O3589" t="s">
        <v>12</v>
      </c>
      <c r="P3589" t="b">
        <v>1</v>
      </c>
      <c r="Q3589">
        <v>5691.5792224121251</v>
      </c>
      <c r="R3589">
        <v>28317.294452691331</v>
      </c>
      <c r="S3589">
        <v>4.9921213702078804</v>
      </c>
      <c r="T3589">
        <v>81.596030762836591</v>
      </c>
      <c r="U3589">
        <v>0</v>
      </c>
      <c r="V3589">
        <v>0</v>
      </c>
    </row>
    <row r="3590" spans="1:22" x14ac:dyDescent="0.2">
      <c r="A3590"/>
      <c r="B3590">
        <v>74419</v>
      </c>
      <c r="C3590" t="s">
        <v>1786</v>
      </c>
      <c r="D3590" t="s">
        <v>1045</v>
      </c>
      <c r="E3590" t="s">
        <v>1048</v>
      </c>
      <c r="F3590" t="s">
        <v>91</v>
      </c>
      <c r="G3590">
        <v>94.876572090164473</v>
      </c>
      <c r="H3590" t="s">
        <v>1270</v>
      </c>
      <c r="I3590">
        <v>2.5</v>
      </c>
      <c r="J3590">
        <v>0</v>
      </c>
      <c r="K3590">
        <v>0</v>
      </c>
      <c r="L3590">
        <v>0</v>
      </c>
      <c r="M3590" t="s">
        <v>187</v>
      </c>
      <c r="N3590">
        <v>6833.33131541901</v>
      </c>
      <c r="O3590" t="s">
        <v>12</v>
      </c>
      <c r="P3590" t="b">
        <v>0</v>
      </c>
      <c r="Q3590">
        <v>5691.5792224121251</v>
      </c>
      <c r="R3590">
        <v>28317.294452691331</v>
      </c>
      <c r="S3590">
        <v>4.9921213702078804</v>
      </c>
      <c r="T3590">
        <v>-98.403969237163423</v>
      </c>
      <c r="U3590">
        <v>0</v>
      </c>
      <c r="V3590">
        <v>0</v>
      </c>
    </row>
    <row r="3591" spans="1:22" x14ac:dyDescent="0.2">
      <c r="A3591"/>
      <c r="B3591">
        <v>74420</v>
      </c>
      <c r="C3591" t="s">
        <v>1787</v>
      </c>
      <c r="D3591" t="s">
        <v>1045</v>
      </c>
      <c r="E3591" t="s">
        <v>1050</v>
      </c>
      <c r="F3591" t="s">
        <v>91</v>
      </c>
      <c r="G3591">
        <v>266.29675374929479</v>
      </c>
      <c r="H3591" t="s">
        <v>12</v>
      </c>
      <c r="I3591">
        <v>-2.5</v>
      </c>
      <c r="J3591">
        <v>0</v>
      </c>
      <c r="K3591">
        <v>0</v>
      </c>
      <c r="L3591">
        <v>0</v>
      </c>
      <c r="M3591" t="s">
        <v>187</v>
      </c>
      <c r="N3591">
        <v>7004.7514970781403</v>
      </c>
      <c r="O3591" t="s">
        <v>12</v>
      </c>
      <c r="P3591" t="b">
        <v>1</v>
      </c>
      <c r="Q3591">
        <v>5716.0026593163166</v>
      </c>
      <c r="R3591">
        <v>28486.936292231614</v>
      </c>
      <c r="S3591">
        <v>5.3019423314701024</v>
      </c>
      <c r="T3591">
        <v>82.073123780424183</v>
      </c>
      <c r="U3591">
        <v>0</v>
      </c>
      <c r="V3591">
        <v>0</v>
      </c>
    </row>
    <row r="3592" spans="1:22" x14ac:dyDescent="0.2">
      <c r="A3592"/>
      <c r="B3592">
        <v>74421</v>
      </c>
      <c r="C3592" t="s">
        <v>1788</v>
      </c>
      <c r="D3592" t="s">
        <v>1045</v>
      </c>
      <c r="E3592" t="s">
        <v>1048</v>
      </c>
      <c r="F3592" t="s">
        <v>91</v>
      </c>
      <c r="G3592">
        <v>266.29675374929479</v>
      </c>
      <c r="H3592" t="s">
        <v>1270</v>
      </c>
      <c r="I3592">
        <v>2.5</v>
      </c>
      <c r="J3592">
        <v>0</v>
      </c>
      <c r="K3592">
        <v>0</v>
      </c>
      <c r="L3592">
        <v>0</v>
      </c>
      <c r="M3592" t="s">
        <v>187</v>
      </c>
      <c r="N3592">
        <v>7004.7514970781403</v>
      </c>
      <c r="O3592" t="s">
        <v>12</v>
      </c>
      <c r="P3592" t="b">
        <v>0</v>
      </c>
      <c r="Q3592">
        <v>5716.0026593163166</v>
      </c>
      <c r="R3592">
        <v>28486.936292231614</v>
      </c>
      <c r="S3592">
        <v>5.3019423314701024</v>
      </c>
      <c r="T3592">
        <v>-97.926876219575803</v>
      </c>
      <c r="U3592">
        <v>0</v>
      </c>
      <c r="V3592">
        <v>0</v>
      </c>
    </row>
    <row r="3593" spans="1:22" x14ac:dyDescent="0.2">
      <c r="A3593"/>
      <c r="B3593">
        <v>74422</v>
      </c>
      <c r="C3593" t="s">
        <v>1789</v>
      </c>
      <c r="D3593" t="s">
        <v>1045</v>
      </c>
      <c r="E3593" t="s">
        <v>1048</v>
      </c>
      <c r="F3593" t="s">
        <v>91</v>
      </c>
      <c r="G3593">
        <v>543.63517752632447</v>
      </c>
      <c r="H3593" t="s">
        <v>12</v>
      </c>
      <c r="I3593">
        <v>-2.5</v>
      </c>
      <c r="J3593">
        <v>0</v>
      </c>
      <c r="K3593">
        <v>0</v>
      </c>
      <c r="L3593">
        <v>0</v>
      </c>
      <c r="M3593" t="s">
        <v>187</v>
      </c>
      <c r="N3593">
        <v>7282.08992085517</v>
      </c>
      <c r="O3593" t="s">
        <v>12</v>
      </c>
      <c r="P3593" t="b">
        <v>1</v>
      </c>
      <c r="Q3593">
        <v>5697.6852231703824</v>
      </c>
      <c r="R3593">
        <v>28759.879811745206</v>
      </c>
      <c r="S3593">
        <v>12.185759143888179</v>
      </c>
      <c r="T3593">
        <v>105.03780561617337</v>
      </c>
      <c r="U3593">
        <v>0</v>
      </c>
      <c r="V3593">
        <v>0</v>
      </c>
    </row>
    <row r="3594" spans="1:22" x14ac:dyDescent="0.2">
      <c r="A3594"/>
      <c r="B3594">
        <v>74423</v>
      </c>
      <c r="C3594" t="s">
        <v>1790</v>
      </c>
      <c r="D3594" t="s">
        <v>1045</v>
      </c>
      <c r="E3594" t="s">
        <v>1050</v>
      </c>
      <c r="F3594" t="s">
        <v>91</v>
      </c>
      <c r="G3594">
        <v>543.63517752632447</v>
      </c>
      <c r="H3594" t="s">
        <v>1270</v>
      </c>
      <c r="I3594">
        <v>2.5</v>
      </c>
      <c r="J3594">
        <v>0</v>
      </c>
      <c r="K3594">
        <v>0</v>
      </c>
      <c r="L3594">
        <v>0</v>
      </c>
      <c r="M3594" t="s">
        <v>187</v>
      </c>
      <c r="N3594">
        <v>7282.08992085517</v>
      </c>
      <c r="O3594" t="s">
        <v>12</v>
      </c>
      <c r="P3594" t="b">
        <v>0</v>
      </c>
      <c r="Q3594">
        <v>5697.6852231703824</v>
      </c>
      <c r="R3594">
        <v>28759.879811745206</v>
      </c>
      <c r="S3594">
        <v>12.185759143888179</v>
      </c>
      <c r="T3594">
        <v>-74.962194383826642</v>
      </c>
      <c r="U3594">
        <v>0</v>
      </c>
      <c r="V3594">
        <v>0</v>
      </c>
    </row>
    <row r="3595" spans="1:22" x14ac:dyDescent="0.2">
      <c r="A3595"/>
      <c r="B3595">
        <v>74424</v>
      </c>
      <c r="C3595" t="s">
        <v>1791</v>
      </c>
      <c r="D3595" t="s">
        <v>1045</v>
      </c>
      <c r="E3595" t="s">
        <v>1050</v>
      </c>
      <c r="F3595" t="s">
        <v>91</v>
      </c>
      <c r="G3595">
        <v>674.08048974197459</v>
      </c>
      <c r="H3595" t="s">
        <v>12</v>
      </c>
      <c r="I3595">
        <v>-2.5</v>
      </c>
      <c r="J3595">
        <v>0</v>
      </c>
      <c r="K3595">
        <v>0</v>
      </c>
      <c r="L3595">
        <v>0</v>
      </c>
      <c r="M3595" t="s">
        <v>187</v>
      </c>
      <c r="N3595">
        <v>7412.5352330708201</v>
      </c>
      <c r="O3595" t="s">
        <v>12</v>
      </c>
      <c r="P3595" t="b">
        <v>1</v>
      </c>
      <c r="Q3595">
        <v>5663.8609002588873</v>
      </c>
      <c r="R3595">
        <v>28885.835166639896</v>
      </c>
      <c r="S3595">
        <v>15.42846909573675</v>
      </c>
      <c r="T3595">
        <v>104.73646755683662</v>
      </c>
      <c r="U3595">
        <v>0</v>
      </c>
      <c r="V3595">
        <v>0</v>
      </c>
    </row>
    <row r="3596" spans="1:22" x14ac:dyDescent="0.2">
      <c r="A3596"/>
      <c r="B3596">
        <v>74425</v>
      </c>
      <c r="C3596" t="s">
        <v>1792</v>
      </c>
      <c r="D3596" t="s">
        <v>1045</v>
      </c>
      <c r="E3596" t="s">
        <v>1048</v>
      </c>
      <c r="F3596" t="s">
        <v>91</v>
      </c>
      <c r="G3596">
        <v>674.08048974197459</v>
      </c>
      <c r="H3596" t="s">
        <v>1270</v>
      </c>
      <c r="I3596">
        <v>2.5</v>
      </c>
      <c r="J3596">
        <v>0</v>
      </c>
      <c r="K3596">
        <v>0</v>
      </c>
      <c r="L3596">
        <v>0</v>
      </c>
      <c r="M3596" t="s">
        <v>187</v>
      </c>
      <c r="N3596">
        <v>7412.5352330708201</v>
      </c>
      <c r="O3596" t="s">
        <v>12</v>
      </c>
      <c r="P3596" t="b">
        <v>0</v>
      </c>
      <c r="Q3596">
        <v>5663.8609002588873</v>
      </c>
      <c r="R3596">
        <v>28885.835166639896</v>
      </c>
      <c r="S3596">
        <v>15.42846909573675</v>
      </c>
      <c r="T3596">
        <v>-75.263532443163413</v>
      </c>
      <c r="U3596">
        <v>0</v>
      </c>
      <c r="V3596">
        <v>0</v>
      </c>
    </row>
    <row r="3597" spans="1:22" x14ac:dyDescent="0.2">
      <c r="A3597"/>
      <c r="B3597">
        <v>74426</v>
      </c>
      <c r="C3597" t="s">
        <v>1793</v>
      </c>
      <c r="D3597" t="s">
        <v>1045</v>
      </c>
      <c r="E3597" t="s">
        <v>1048</v>
      </c>
      <c r="F3597" t="s">
        <v>91</v>
      </c>
      <c r="G3597">
        <v>852.19349939443487</v>
      </c>
      <c r="H3597" t="s">
        <v>12</v>
      </c>
      <c r="I3597">
        <v>-2.5</v>
      </c>
      <c r="J3597">
        <v>0</v>
      </c>
      <c r="K3597">
        <v>0</v>
      </c>
      <c r="L3597">
        <v>0</v>
      </c>
      <c r="M3597" t="s">
        <v>187</v>
      </c>
      <c r="N3597">
        <v>7590.6482427232804</v>
      </c>
      <c r="O3597" t="s">
        <v>12</v>
      </c>
      <c r="P3597" t="b">
        <v>1</v>
      </c>
      <c r="Q3597">
        <v>5646.6451111823235</v>
      </c>
      <c r="R3597">
        <v>29062.768893771983</v>
      </c>
      <c r="S3597">
        <v>17.311534748410839</v>
      </c>
      <c r="T3597">
        <v>88.111698227394427</v>
      </c>
      <c r="U3597">
        <v>0</v>
      </c>
      <c r="V3597">
        <v>0</v>
      </c>
    </row>
    <row r="3598" spans="1:22" x14ac:dyDescent="0.2">
      <c r="A3598"/>
      <c r="B3598">
        <v>74427</v>
      </c>
      <c r="C3598" t="s">
        <v>1794</v>
      </c>
      <c r="D3598" t="s">
        <v>1045</v>
      </c>
      <c r="E3598" t="s">
        <v>1050</v>
      </c>
      <c r="F3598" t="s">
        <v>91</v>
      </c>
      <c r="G3598">
        <v>852.19349939443487</v>
      </c>
      <c r="H3598" t="s">
        <v>1270</v>
      </c>
      <c r="I3598">
        <v>2.5</v>
      </c>
      <c r="J3598">
        <v>0</v>
      </c>
      <c r="K3598">
        <v>0</v>
      </c>
      <c r="L3598">
        <v>0</v>
      </c>
      <c r="M3598" t="s">
        <v>187</v>
      </c>
      <c r="N3598">
        <v>7590.6482427232804</v>
      </c>
      <c r="O3598" t="s">
        <v>12</v>
      </c>
      <c r="P3598" t="b">
        <v>0</v>
      </c>
      <c r="Q3598">
        <v>5646.6451111823235</v>
      </c>
      <c r="R3598">
        <v>29062.768893771983</v>
      </c>
      <c r="S3598">
        <v>17.311534748410839</v>
      </c>
      <c r="T3598">
        <v>-91.888301772605587</v>
      </c>
      <c r="U3598">
        <v>0</v>
      </c>
      <c r="V3598">
        <v>0</v>
      </c>
    </row>
    <row r="3599" spans="1:22" x14ac:dyDescent="0.2">
      <c r="A3599"/>
      <c r="B3599">
        <v>74428</v>
      </c>
      <c r="C3599" t="s">
        <v>1795</v>
      </c>
      <c r="D3599" t="s">
        <v>1045</v>
      </c>
      <c r="E3599" t="s">
        <v>1049</v>
      </c>
      <c r="F3599" t="s">
        <v>91</v>
      </c>
      <c r="G3599">
        <v>1040.7596889828144</v>
      </c>
      <c r="H3599" t="s">
        <v>12</v>
      </c>
      <c r="I3599">
        <v>-2.5</v>
      </c>
      <c r="J3599">
        <v>0</v>
      </c>
      <c r="K3599">
        <v>0</v>
      </c>
      <c r="L3599">
        <v>0</v>
      </c>
      <c r="M3599" t="s">
        <v>187</v>
      </c>
      <c r="N3599">
        <v>7779.2144323116599</v>
      </c>
      <c r="O3599" t="s">
        <v>12</v>
      </c>
      <c r="P3599" t="b">
        <v>1</v>
      </c>
      <c r="Q3599">
        <v>5653.8291781638618</v>
      </c>
      <c r="R3599">
        <v>29251.218089161997</v>
      </c>
      <c r="S3599">
        <v>17.317225027890277</v>
      </c>
      <c r="T3599">
        <v>87.641635357970785</v>
      </c>
      <c r="U3599">
        <v>0</v>
      </c>
      <c r="V3599">
        <v>0</v>
      </c>
    </row>
    <row r="3600" spans="1:22" x14ac:dyDescent="0.2">
      <c r="A3600"/>
      <c r="B3600">
        <v>74429</v>
      </c>
      <c r="C3600" t="s">
        <v>1796</v>
      </c>
      <c r="D3600" t="s">
        <v>1045</v>
      </c>
      <c r="E3600" t="s">
        <v>1048</v>
      </c>
      <c r="F3600" t="s">
        <v>91</v>
      </c>
      <c r="G3600">
        <v>1040.7596889828144</v>
      </c>
      <c r="H3600" t="s">
        <v>1270</v>
      </c>
      <c r="I3600">
        <v>2.5</v>
      </c>
      <c r="J3600">
        <v>0</v>
      </c>
      <c r="K3600">
        <v>0</v>
      </c>
      <c r="L3600">
        <v>0</v>
      </c>
      <c r="M3600" t="s">
        <v>187</v>
      </c>
      <c r="N3600">
        <v>7779.2144323116599</v>
      </c>
      <c r="O3600" t="s">
        <v>12</v>
      </c>
      <c r="P3600" t="b">
        <v>0</v>
      </c>
      <c r="Q3600">
        <v>5653.8291781638618</v>
      </c>
      <c r="R3600">
        <v>29251.218089161997</v>
      </c>
      <c r="S3600">
        <v>17.317225027890277</v>
      </c>
      <c r="T3600">
        <v>-92.35836464202923</v>
      </c>
      <c r="U3600">
        <v>0</v>
      </c>
      <c r="V3600">
        <v>0</v>
      </c>
    </row>
    <row r="3601" spans="1:22" x14ac:dyDescent="0.2">
      <c r="A3601"/>
      <c r="B3601">
        <v>74430</v>
      </c>
      <c r="C3601" t="s">
        <v>1797</v>
      </c>
      <c r="D3601" t="s">
        <v>1045</v>
      </c>
      <c r="E3601" t="s">
        <v>1048</v>
      </c>
      <c r="F3601" t="s">
        <v>91</v>
      </c>
      <c r="G3601">
        <v>1138.6585067987342</v>
      </c>
      <c r="H3601" t="s">
        <v>12</v>
      </c>
      <c r="I3601">
        <v>-2.5</v>
      </c>
      <c r="J3601">
        <v>0</v>
      </c>
      <c r="K3601">
        <v>0</v>
      </c>
      <c r="L3601">
        <v>0</v>
      </c>
      <c r="M3601" t="s">
        <v>187</v>
      </c>
      <c r="N3601">
        <v>7877.1132501275797</v>
      </c>
      <c r="O3601" t="s">
        <v>12</v>
      </c>
      <c r="P3601" t="b">
        <v>1</v>
      </c>
      <c r="Q3601">
        <v>5663.0903288703712</v>
      </c>
      <c r="R3601">
        <v>29348.839378427085</v>
      </c>
      <c r="S3601">
        <v>17.311358524529222</v>
      </c>
      <c r="T3601">
        <v>82.643764016167182</v>
      </c>
      <c r="U3601">
        <v>0</v>
      </c>
      <c r="V3601">
        <v>0</v>
      </c>
    </row>
    <row r="3602" spans="1:22" x14ac:dyDescent="0.2">
      <c r="A3602"/>
      <c r="B3602">
        <v>74431</v>
      </c>
      <c r="C3602" t="s">
        <v>1798</v>
      </c>
      <c r="D3602" t="s">
        <v>1045</v>
      </c>
      <c r="E3602" t="s">
        <v>1049</v>
      </c>
      <c r="F3602" t="s">
        <v>91</v>
      </c>
      <c r="G3602">
        <v>1138.6585067987342</v>
      </c>
      <c r="H3602" t="s">
        <v>1270</v>
      </c>
      <c r="I3602">
        <v>2.5</v>
      </c>
      <c r="J3602">
        <v>0</v>
      </c>
      <c r="K3602">
        <v>0</v>
      </c>
      <c r="L3602">
        <v>0</v>
      </c>
      <c r="M3602" t="s">
        <v>187</v>
      </c>
      <c r="N3602">
        <v>7877.1132501275797</v>
      </c>
      <c r="O3602" t="s">
        <v>12</v>
      </c>
      <c r="P3602" t="b">
        <v>0</v>
      </c>
      <c r="Q3602">
        <v>5663.0903288703712</v>
      </c>
      <c r="R3602">
        <v>29348.839378427085</v>
      </c>
      <c r="S3602">
        <v>17.311358524529222</v>
      </c>
      <c r="T3602">
        <v>-97.356235983832818</v>
      </c>
      <c r="U3602">
        <v>0</v>
      </c>
      <c r="V3602">
        <v>0</v>
      </c>
    </row>
    <row r="3603" spans="1:22" x14ac:dyDescent="0.2">
      <c r="A3603"/>
      <c r="B3603">
        <v>74432</v>
      </c>
      <c r="C3603" t="s">
        <v>1799</v>
      </c>
      <c r="D3603" t="s">
        <v>1045</v>
      </c>
      <c r="E3603" t="s">
        <v>1049</v>
      </c>
      <c r="F3603" t="s">
        <v>91</v>
      </c>
      <c r="G3603">
        <v>1164.1730433217142</v>
      </c>
      <c r="H3603" t="s">
        <v>12</v>
      </c>
      <c r="I3603">
        <v>-2.5</v>
      </c>
      <c r="J3603">
        <v>0</v>
      </c>
      <c r="K3603">
        <v>0</v>
      </c>
      <c r="L3603">
        <v>0</v>
      </c>
      <c r="M3603" t="s">
        <v>187</v>
      </c>
      <c r="N3603">
        <v>7902.6277866505598</v>
      </c>
      <c r="O3603" t="s">
        <v>12</v>
      </c>
      <c r="P3603" t="b">
        <v>1</v>
      </c>
      <c r="Q3603">
        <v>5666.2503409962965</v>
      </c>
      <c r="R3603">
        <v>29374.131333021232</v>
      </c>
      <c r="S3603">
        <v>17.313629808297446</v>
      </c>
      <c r="T3603">
        <v>83.235410337900433</v>
      </c>
      <c r="U3603">
        <v>0</v>
      </c>
      <c r="V3603">
        <v>0</v>
      </c>
    </row>
    <row r="3604" spans="1:22" x14ac:dyDescent="0.2">
      <c r="A3604"/>
      <c r="B3604">
        <v>74433</v>
      </c>
      <c r="C3604" t="s">
        <v>1800</v>
      </c>
      <c r="D3604" t="s">
        <v>1045</v>
      </c>
      <c r="E3604" t="s">
        <v>1048</v>
      </c>
      <c r="F3604" t="s">
        <v>91</v>
      </c>
      <c r="G3604">
        <v>1164.1730433217142</v>
      </c>
      <c r="H3604" t="s">
        <v>1270</v>
      </c>
      <c r="I3604">
        <v>2.5</v>
      </c>
      <c r="J3604">
        <v>0</v>
      </c>
      <c r="K3604">
        <v>0</v>
      </c>
      <c r="L3604">
        <v>0</v>
      </c>
      <c r="M3604" t="s">
        <v>187</v>
      </c>
      <c r="N3604">
        <v>7902.6277866505598</v>
      </c>
      <c r="O3604" t="s">
        <v>12</v>
      </c>
      <c r="P3604" t="b">
        <v>0</v>
      </c>
      <c r="Q3604">
        <v>5666.2503409962965</v>
      </c>
      <c r="R3604">
        <v>29374.131333021232</v>
      </c>
      <c r="S3604">
        <v>17.313629808297446</v>
      </c>
      <c r="T3604">
        <v>-96.764589662099596</v>
      </c>
      <c r="U3604">
        <v>0</v>
      </c>
      <c r="V3604">
        <v>0</v>
      </c>
    </row>
    <row r="3605" spans="1:22" x14ac:dyDescent="0.2">
      <c r="A3605"/>
      <c r="B3605">
        <v>74434</v>
      </c>
      <c r="C3605" t="s">
        <v>1801</v>
      </c>
      <c r="D3605" t="s">
        <v>1045</v>
      </c>
      <c r="E3605" t="s">
        <v>1048</v>
      </c>
      <c r="F3605" t="s">
        <v>91</v>
      </c>
      <c r="G3605">
        <v>1256.466243652914</v>
      </c>
      <c r="H3605" t="s">
        <v>12</v>
      </c>
      <c r="I3605">
        <v>-2.5</v>
      </c>
      <c r="J3605">
        <v>0</v>
      </c>
      <c r="K3605">
        <v>0</v>
      </c>
      <c r="L3605">
        <v>0</v>
      </c>
      <c r="M3605" t="s">
        <v>187</v>
      </c>
      <c r="N3605">
        <v>7994.9209869817596</v>
      </c>
      <c r="O3605" t="s">
        <v>12</v>
      </c>
      <c r="P3605" t="b">
        <v>1</v>
      </c>
      <c r="Q3605">
        <v>5673.3694478276248</v>
      </c>
      <c r="R3605">
        <v>29465.937888771052</v>
      </c>
      <c r="S3605">
        <v>15.924493341230875</v>
      </c>
      <c r="T3605">
        <v>87.230892717670301</v>
      </c>
      <c r="U3605">
        <v>0</v>
      </c>
      <c r="V3605">
        <v>0</v>
      </c>
    </row>
    <row r="3606" spans="1:22" x14ac:dyDescent="0.2">
      <c r="A3606"/>
      <c r="B3606">
        <v>74435</v>
      </c>
      <c r="C3606" t="s">
        <v>1802</v>
      </c>
      <c r="D3606" t="s">
        <v>1045</v>
      </c>
      <c r="E3606" t="s">
        <v>1049</v>
      </c>
      <c r="F3606" t="s">
        <v>91</v>
      </c>
      <c r="G3606">
        <v>1256.466243652914</v>
      </c>
      <c r="H3606" t="s">
        <v>1270</v>
      </c>
      <c r="I3606">
        <v>2.5</v>
      </c>
      <c r="J3606">
        <v>0</v>
      </c>
      <c r="K3606">
        <v>0</v>
      </c>
      <c r="L3606">
        <v>0</v>
      </c>
      <c r="M3606" t="s">
        <v>187</v>
      </c>
      <c r="N3606">
        <v>7994.9209869817596</v>
      </c>
      <c r="O3606" t="s">
        <v>12</v>
      </c>
      <c r="P3606" t="b">
        <v>0</v>
      </c>
      <c r="Q3606">
        <v>5673.3694478276248</v>
      </c>
      <c r="R3606">
        <v>29465.937888771052</v>
      </c>
      <c r="S3606">
        <v>15.924493341230875</v>
      </c>
      <c r="T3606">
        <v>-92.769107282329713</v>
      </c>
      <c r="U3606">
        <v>0</v>
      </c>
      <c r="V3606">
        <v>0</v>
      </c>
    </row>
    <row r="3607" spans="1:22" x14ac:dyDescent="0.2">
      <c r="A3607"/>
      <c r="B3607">
        <v>74436</v>
      </c>
      <c r="C3607" t="s">
        <v>1803</v>
      </c>
      <c r="D3607" t="s">
        <v>1045</v>
      </c>
      <c r="E3607" t="s">
        <v>1050</v>
      </c>
      <c r="F3607" t="s">
        <v>92</v>
      </c>
      <c r="G3607">
        <v>108.75673390460156</v>
      </c>
      <c r="H3607" t="s">
        <v>12</v>
      </c>
      <c r="I3607">
        <v>-2.5</v>
      </c>
      <c r="J3607">
        <v>0</v>
      </c>
      <c r="K3607">
        <v>0</v>
      </c>
      <c r="L3607">
        <v>0</v>
      </c>
      <c r="M3607" t="s">
        <v>187</v>
      </c>
      <c r="N3607">
        <v>8125.1825452583698</v>
      </c>
      <c r="O3607" t="s">
        <v>12</v>
      </c>
      <c r="P3607" t="b">
        <v>1</v>
      </c>
      <c r="Q3607">
        <v>5679.9776803468476</v>
      </c>
      <c r="R3607">
        <v>29596.026894079612</v>
      </c>
      <c r="S3607">
        <v>13.446846495753235</v>
      </c>
      <c r="T3607">
        <v>86.775085310508373</v>
      </c>
      <c r="U3607">
        <v>0</v>
      </c>
      <c r="V3607">
        <v>0</v>
      </c>
    </row>
    <row r="3608" spans="1:22" x14ac:dyDescent="0.2">
      <c r="A3608"/>
      <c r="B3608">
        <v>74437</v>
      </c>
      <c r="C3608" t="s">
        <v>1804</v>
      </c>
      <c r="D3608" t="s">
        <v>1045</v>
      </c>
      <c r="E3608" t="s">
        <v>1048</v>
      </c>
      <c r="F3608" t="s">
        <v>92</v>
      </c>
      <c r="G3608">
        <v>108.75673390460156</v>
      </c>
      <c r="H3608" t="s">
        <v>1270</v>
      </c>
      <c r="I3608">
        <v>2.5</v>
      </c>
      <c r="J3608">
        <v>0</v>
      </c>
      <c r="K3608">
        <v>0</v>
      </c>
      <c r="L3608">
        <v>0</v>
      </c>
      <c r="M3608" t="s">
        <v>187</v>
      </c>
      <c r="N3608">
        <v>8125.1825452583698</v>
      </c>
      <c r="O3608" t="s">
        <v>12</v>
      </c>
      <c r="P3608" t="b">
        <v>0</v>
      </c>
      <c r="Q3608">
        <v>5679.9776803468476</v>
      </c>
      <c r="R3608">
        <v>29596.026894079612</v>
      </c>
      <c r="S3608">
        <v>13.446846495753235</v>
      </c>
      <c r="T3608">
        <v>-93.224914689491655</v>
      </c>
      <c r="U3608">
        <v>0</v>
      </c>
      <c r="V3608">
        <v>0</v>
      </c>
    </row>
    <row r="3609" spans="1:22" x14ac:dyDescent="0.2">
      <c r="A3609"/>
      <c r="B3609">
        <v>74438</v>
      </c>
      <c r="C3609" t="s">
        <v>1805</v>
      </c>
      <c r="D3609" t="s">
        <v>1045</v>
      </c>
      <c r="E3609" t="s">
        <v>1049</v>
      </c>
      <c r="F3609" t="s">
        <v>92</v>
      </c>
      <c r="G3609">
        <v>220.35017323326133</v>
      </c>
      <c r="H3609" t="s">
        <v>12</v>
      </c>
      <c r="I3609">
        <v>-2.5</v>
      </c>
      <c r="J3609">
        <v>0</v>
      </c>
      <c r="K3609">
        <v>0</v>
      </c>
      <c r="L3609">
        <v>0</v>
      </c>
      <c r="M3609" t="s">
        <v>187</v>
      </c>
      <c r="N3609">
        <v>8236.7759845870296</v>
      </c>
      <c r="O3609" t="s">
        <v>12</v>
      </c>
      <c r="P3609" t="b">
        <v>1</v>
      </c>
      <c r="Q3609">
        <v>5694.9784072531438</v>
      </c>
      <c r="R3609">
        <v>29706.753644090328</v>
      </c>
      <c r="S3609">
        <v>11.323810355009011</v>
      </c>
      <c r="T3609">
        <v>80.002024214240578</v>
      </c>
      <c r="U3609">
        <v>0</v>
      </c>
      <c r="V3609">
        <v>0</v>
      </c>
    </row>
    <row r="3610" spans="1:22" x14ac:dyDescent="0.2">
      <c r="A3610"/>
      <c r="B3610">
        <v>74439</v>
      </c>
      <c r="C3610" t="s">
        <v>1806</v>
      </c>
      <c r="D3610" t="s">
        <v>1045</v>
      </c>
      <c r="E3610" t="s">
        <v>1050</v>
      </c>
      <c r="F3610" t="s">
        <v>92</v>
      </c>
      <c r="G3610">
        <v>220.35017323326133</v>
      </c>
      <c r="H3610" t="s">
        <v>1270</v>
      </c>
      <c r="I3610">
        <v>2.5</v>
      </c>
      <c r="J3610">
        <v>0</v>
      </c>
      <c r="K3610">
        <v>0</v>
      </c>
      <c r="L3610">
        <v>0</v>
      </c>
      <c r="M3610" t="s">
        <v>187</v>
      </c>
      <c r="N3610">
        <v>8236.7759845870296</v>
      </c>
      <c r="O3610" t="s">
        <v>12</v>
      </c>
      <c r="P3610" t="b">
        <v>0</v>
      </c>
      <c r="Q3610">
        <v>5694.9784072531438</v>
      </c>
      <c r="R3610">
        <v>29706.753644090328</v>
      </c>
      <c r="S3610">
        <v>11.323810355009011</v>
      </c>
      <c r="T3610">
        <v>-99.997975785759436</v>
      </c>
      <c r="U3610">
        <v>0</v>
      </c>
      <c r="V3610">
        <v>0</v>
      </c>
    </row>
    <row r="3611" spans="1:22" x14ac:dyDescent="0.2">
      <c r="A3611"/>
      <c r="B3611">
        <v>74440</v>
      </c>
      <c r="C3611" t="s">
        <v>1807</v>
      </c>
      <c r="D3611" t="s">
        <v>1045</v>
      </c>
      <c r="E3611" t="s">
        <v>1048</v>
      </c>
      <c r="F3611" t="s">
        <v>92</v>
      </c>
      <c r="G3611">
        <v>356.8752104064813</v>
      </c>
      <c r="H3611" t="s">
        <v>12</v>
      </c>
      <c r="I3611">
        <v>-2.5</v>
      </c>
      <c r="J3611">
        <v>0</v>
      </c>
      <c r="K3611">
        <v>0</v>
      </c>
      <c r="L3611">
        <v>0</v>
      </c>
      <c r="M3611" t="s">
        <v>187</v>
      </c>
      <c r="N3611">
        <v>8373.3010217602496</v>
      </c>
      <c r="O3611" t="s">
        <v>12</v>
      </c>
      <c r="P3611" t="b">
        <v>1</v>
      </c>
      <c r="Q3611">
        <v>5707.438625205963</v>
      </c>
      <c r="R3611">
        <v>29842.181367032867</v>
      </c>
      <c r="S3611">
        <v>8.934453041728263</v>
      </c>
      <c r="T3611">
        <v>87.875242370886312</v>
      </c>
      <c r="U3611">
        <v>0</v>
      </c>
      <c r="V3611">
        <v>0</v>
      </c>
    </row>
    <row r="3612" spans="1:22" x14ac:dyDescent="0.2">
      <c r="A3612"/>
      <c r="B3612">
        <v>74441</v>
      </c>
      <c r="C3612" t="s">
        <v>1808</v>
      </c>
      <c r="D3612" t="s">
        <v>1045</v>
      </c>
      <c r="E3612" t="s">
        <v>1049</v>
      </c>
      <c r="F3612" t="s">
        <v>92</v>
      </c>
      <c r="G3612">
        <v>356.8752104064813</v>
      </c>
      <c r="H3612" t="s">
        <v>1270</v>
      </c>
      <c r="I3612">
        <v>2.5</v>
      </c>
      <c r="J3612">
        <v>0</v>
      </c>
      <c r="K3612">
        <v>0</v>
      </c>
      <c r="L3612">
        <v>0</v>
      </c>
      <c r="M3612" t="s">
        <v>187</v>
      </c>
      <c r="N3612">
        <v>8373.3010217602496</v>
      </c>
      <c r="O3612" t="s">
        <v>12</v>
      </c>
      <c r="P3612" t="b">
        <v>0</v>
      </c>
      <c r="Q3612">
        <v>5707.438625205963</v>
      </c>
      <c r="R3612">
        <v>29842.181367032867</v>
      </c>
      <c r="S3612">
        <v>8.934453041728263</v>
      </c>
      <c r="T3612">
        <v>-92.124757629113702</v>
      </c>
      <c r="U3612">
        <v>0</v>
      </c>
      <c r="V3612">
        <v>0</v>
      </c>
    </row>
    <row r="3613" spans="1:22" x14ac:dyDescent="0.2">
      <c r="A3613"/>
      <c r="B3613">
        <v>74442</v>
      </c>
      <c r="C3613" t="s">
        <v>1809</v>
      </c>
      <c r="D3613" t="s">
        <v>1045</v>
      </c>
      <c r="E3613" t="s">
        <v>1050</v>
      </c>
      <c r="F3613" t="s">
        <v>92</v>
      </c>
      <c r="G3613">
        <v>630.22956803370084</v>
      </c>
      <c r="H3613" t="s">
        <v>12</v>
      </c>
      <c r="I3613">
        <v>-2.5</v>
      </c>
      <c r="J3613">
        <v>0</v>
      </c>
      <c r="K3613">
        <v>0</v>
      </c>
      <c r="L3613">
        <v>0</v>
      </c>
      <c r="M3613" t="s">
        <v>187</v>
      </c>
      <c r="N3613">
        <v>8646.65537938747</v>
      </c>
      <c r="O3613" t="s">
        <v>12</v>
      </c>
      <c r="P3613" t="b">
        <v>1</v>
      </c>
      <c r="Q3613">
        <v>5716.7745139907338</v>
      </c>
      <c r="R3613">
        <v>30115.351408699767</v>
      </c>
      <c r="S3613">
        <v>7.7416863243515905</v>
      </c>
      <c r="T3613">
        <v>88.202720916827317</v>
      </c>
      <c r="U3613">
        <v>0</v>
      </c>
      <c r="V3613">
        <v>0</v>
      </c>
    </row>
    <row r="3614" spans="1:22" x14ac:dyDescent="0.2">
      <c r="A3614"/>
      <c r="B3614">
        <v>74443</v>
      </c>
      <c r="C3614" t="s">
        <v>1810</v>
      </c>
      <c r="D3614" t="s">
        <v>1045</v>
      </c>
      <c r="E3614" t="s">
        <v>1048</v>
      </c>
      <c r="F3614" t="s">
        <v>92</v>
      </c>
      <c r="G3614">
        <v>630.22956803370084</v>
      </c>
      <c r="H3614" t="s">
        <v>1270</v>
      </c>
      <c r="I3614">
        <v>2.5</v>
      </c>
      <c r="J3614">
        <v>0</v>
      </c>
      <c r="K3614">
        <v>0</v>
      </c>
      <c r="L3614">
        <v>0</v>
      </c>
      <c r="M3614" t="s">
        <v>187</v>
      </c>
      <c r="N3614">
        <v>8646.65537938747</v>
      </c>
      <c r="O3614" t="s">
        <v>12</v>
      </c>
      <c r="P3614" t="b">
        <v>0</v>
      </c>
      <c r="Q3614">
        <v>5716.7745139907338</v>
      </c>
      <c r="R3614">
        <v>30115.351408699767</v>
      </c>
      <c r="S3614">
        <v>7.7416863243515905</v>
      </c>
      <c r="T3614">
        <v>-91.797279083172711</v>
      </c>
      <c r="U3614">
        <v>0</v>
      </c>
      <c r="V3614">
        <v>0</v>
      </c>
    </row>
    <row r="3615" spans="1:22" x14ac:dyDescent="0.2">
      <c r="A3615"/>
      <c r="B3615">
        <v>74444</v>
      </c>
      <c r="C3615" t="s">
        <v>1811</v>
      </c>
      <c r="D3615" t="s">
        <v>1045</v>
      </c>
      <c r="E3615" t="s">
        <v>1050</v>
      </c>
      <c r="F3615" t="s">
        <v>92</v>
      </c>
      <c r="G3615">
        <v>742.59843894887103</v>
      </c>
      <c r="H3615" t="s">
        <v>12</v>
      </c>
      <c r="I3615">
        <v>-2.5</v>
      </c>
      <c r="J3615">
        <v>0</v>
      </c>
      <c r="K3615">
        <v>0</v>
      </c>
      <c r="L3615">
        <v>0</v>
      </c>
      <c r="M3615" t="s">
        <v>187</v>
      </c>
      <c r="N3615">
        <v>8759.0242503026402</v>
      </c>
      <c r="O3615" t="s">
        <v>12</v>
      </c>
      <c r="P3615" t="b">
        <v>1</v>
      </c>
      <c r="Q3615">
        <v>5709.6777677442215</v>
      </c>
      <c r="R3615">
        <v>30226.960374724586</v>
      </c>
      <c r="S3615">
        <v>5.1665805819001482</v>
      </c>
      <c r="T3615">
        <v>96.244098781776785</v>
      </c>
      <c r="U3615">
        <v>0</v>
      </c>
      <c r="V3615">
        <v>0</v>
      </c>
    </row>
    <row r="3616" spans="1:22" x14ac:dyDescent="0.2">
      <c r="A3616"/>
      <c r="B3616">
        <v>74445</v>
      </c>
      <c r="C3616" t="s">
        <v>1812</v>
      </c>
      <c r="D3616" t="s">
        <v>1045</v>
      </c>
      <c r="E3616" t="s">
        <v>1050</v>
      </c>
      <c r="F3616" t="s">
        <v>92</v>
      </c>
      <c r="G3616">
        <v>742.59843894887103</v>
      </c>
      <c r="H3616" t="s">
        <v>1270</v>
      </c>
      <c r="I3616">
        <v>2.5</v>
      </c>
      <c r="J3616">
        <v>0</v>
      </c>
      <c r="K3616">
        <v>0</v>
      </c>
      <c r="L3616">
        <v>0</v>
      </c>
      <c r="M3616" t="s">
        <v>187</v>
      </c>
      <c r="N3616">
        <v>8759.0242503026402</v>
      </c>
      <c r="O3616" t="s">
        <v>12</v>
      </c>
      <c r="P3616" t="b">
        <v>0</v>
      </c>
      <c r="Q3616">
        <v>5709.6777677442215</v>
      </c>
      <c r="R3616">
        <v>30226.960374724586</v>
      </c>
      <c r="S3616">
        <v>5.1665805819001482</v>
      </c>
      <c r="T3616">
        <v>-83.755901218223215</v>
      </c>
      <c r="U3616">
        <v>0</v>
      </c>
      <c r="V3616">
        <v>0</v>
      </c>
    </row>
    <row r="3617" spans="1:22" x14ac:dyDescent="0.2">
      <c r="A3617"/>
      <c r="B3617">
        <v>74446</v>
      </c>
      <c r="C3617" t="s">
        <v>1813</v>
      </c>
      <c r="D3617" t="s">
        <v>1045</v>
      </c>
      <c r="E3617" t="s">
        <v>1048</v>
      </c>
      <c r="F3617" t="s">
        <v>92</v>
      </c>
      <c r="G3617">
        <v>859.12911989793065</v>
      </c>
      <c r="H3617" t="s">
        <v>12</v>
      </c>
      <c r="I3617">
        <v>-2.5</v>
      </c>
      <c r="J3617">
        <v>0</v>
      </c>
      <c r="K3617">
        <v>0</v>
      </c>
      <c r="L3617">
        <v>0</v>
      </c>
      <c r="M3617" t="s">
        <v>187</v>
      </c>
      <c r="N3617">
        <v>8875.5549312516996</v>
      </c>
      <c r="O3617" t="s">
        <v>12</v>
      </c>
      <c r="P3617" t="b">
        <v>1</v>
      </c>
      <c r="Q3617">
        <v>5707.6329760604285</v>
      </c>
      <c r="R3617">
        <v>30343.674868678692</v>
      </c>
      <c r="S3617">
        <v>4.8766141058175014</v>
      </c>
      <c r="T3617">
        <v>87.363987145579031</v>
      </c>
      <c r="U3617">
        <v>0</v>
      </c>
      <c r="V3617">
        <v>0</v>
      </c>
    </row>
    <row r="3618" spans="1:22" x14ac:dyDescent="0.2">
      <c r="A3618"/>
      <c r="B3618">
        <v>74447</v>
      </c>
      <c r="C3618" t="s">
        <v>1814</v>
      </c>
      <c r="D3618" t="s">
        <v>1045</v>
      </c>
      <c r="E3618" t="s">
        <v>1050</v>
      </c>
      <c r="F3618" t="s">
        <v>92</v>
      </c>
      <c r="G3618">
        <v>859.12911989793065</v>
      </c>
      <c r="H3618" t="s">
        <v>1270</v>
      </c>
      <c r="I3618">
        <v>2.5</v>
      </c>
      <c r="J3618">
        <v>0</v>
      </c>
      <c r="K3618">
        <v>0</v>
      </c>
      <c r="L3618">
        <v>0</v>
      </c>
      <c r="M3618" t="s">
        <v>187</v>
      </c>
      <c r="N3618">
        <v>8875.5549312516996</v>
      </c>
      <c r="O3618" t="s">
        <v>12</v>
      </c>
      <c r="P3618" t="b">
        <v>0</v>
      </c>
      <c r="Q3618">
        <v>5707.6329760604285</v>
      </c>
      <c r="R3618">
        <v>30343.674868678692</v>
      </c>
      <c r="S3618">
        <v>4.8766141058175014</v>
      </c>
      <c r="T3618">
        <v>-92.636012854420997</v>
      </c>
      <c r="U3618">
        <v>0</v>
      </c>
      <c r="V3618">
        <v>0</v>
      </c>
    </row>
    <row r="3619" spans="1:22" x14ac:dyDescent="0.2">
      <c r="A3619"/>
      <c r="B3619">
        <v>74448</v>
      </c>
      <c r="C3619" t="s">
        <v>1815</v>
      </c>
      <c r="D3619" t="s">
        <v>1045</v>
      </c>
      <c r="E3619" t="s">
        <v>1046</v>
      </c>
      <c r="F3619" t="s">
        <v>92</v>
      </c>
      <c r="G3619">
        <v>885.03246112304078</v>
      </c>
      <c r="H3619" t="s">
        <v>12</v>
      </c>
      <c r="I3619">
        <v>-2.5</v>
      </c>
      <c r="J3619">
        <v>0</v>
      </c>
      <c r="K3619">
        <v>0</v>
      </c>
      <c r="L3619">
        <v>0</v>
      </c>
      <c r="M3619" t="s">
        <v>187</v>
      </c>
      <c r="N3619">
        <v>8901.4582724768097</v>
      </c>
      <c r="O3619" t="s">
        <v>12</v>
      </c>
      <c r="P3619" t="b">
        <v>1</v>
      </c>
      <c r="Q3619">
        <v>5708.8835406934959</v>
      </c>
      <c r="R3619">
        <v>30369.559276878066</v>
      </c>
      <c r="S3619">
        <v>5.0153548825781877</v>
      </c>
      <c r="T3619">
        <v>87.096864427239709</v>
      </c>
      <c r="U3619">
        <v>0</v>
      </c>
      <c r="V3619">
        <v>0</v>
      </c>
    </row>
    <row r="3620" spans="1:22" x14ac:dyDescent="0.2">
      <c r="A3620"/>
      <c r="B3620">
        <v>74449</v>
      </c>
      <c r="C3620" t="s">
        <v>1816</v>
      </c>
      <c r="D3620" t="s">
        <v>1045</v>
      </c>
      <c r="E3620" t="s">
        <v>1048</v>
      </c>
      <c r="F3620" t="s">
        <v>92</v>
      </c>
      <c r="G3620">
        <v>885.03246112304078</v>
      </c>
      <c r="H3620" t="s">
        <v>1270</v>
      </c>
      <c r="I3620">
        <v>2.5</v>
      </c>
      <c r="J3620">
        <v>0</v>
      </c>
      <c r="K3620">
        <v>0</v>
      </c>
      <c r="L3620">
        <v>0</v>
      </c>
      <c r="M3620" t="s">
        <v>187</v>
      </c>
      <c r="N3620">
        <v>8901.4582724768097</v>
      </c>
      <c r="O3620" t="s">
        <v>12</v>
      </c>
      <c r="P3620" t="b">
        <v>0</v>
      </c>
      <c r="Q3620">
        <v>5708.8835406934959</v>
      </c>
      <c r="R3620">
        <v>30369.559276878066</v>
      </c>
      <c r="S3620">
        <v>5.0153548825781877</v>
      </c>
      <c r="T3620">
        <v>-92.903135572760306</v>
      </c>
      <c r="U3620">
        <v>0</v>
      </c>
      <c r="V3620">
        <v>0</v>
      </c>
    </row>
    <row r="3621" spans="1:22" x14ac:dyDescent="0.2">
      <c r="A3621"/>
      <c r="B3621">
        <v>74450</v>
      </c>
      <c r="C3621" t="s">
        <v>1817</v>
      </c>
      <c r="D3621" t="s">
        <v>1045</v>
      </c>
      <c r="E3621" t="s">
        <v>1048</v>
      </c>
      <c r="F3621" t="s">
        <v>92</v>
      </c>
      <c r="G3621">
        <v>1050.5527502776904</v>
      </c>
      <c r="H3621" t="s">
        <v>12</v>
      </c>
      <c r="I3621">
        <v>-2.5</v>
      </c>
      <c r="J3621">
        <v>0</v>
      </c>
      <c r="K3621">
        <v>0</v>
      </c>
      <c r="L3621">
        <v>0</v>
      </c>
      <c r="M3621" t="s">
        <v>187</v>
      </c>
      <c r="N3621">
        <v>9066.9785616314603</v>
      </c>
      <c r="O3621" t="s">
        <v>12</v>
      </c>
      <c r="P3621" t="b">
        <v>1</v>
      </c>
      <c r="Q3621">
        <v>5767.8071861964727</v>
      </c>
      <c r="R3621">
        <v>30522.480312247757</v>
      </c>
      <c r="S3621">
        <v>7.4564653864622894</v>
      </c>
      <c r="T3621">
        <v>56.181399566876685</v>
      </c>
      <c r="U3621">
        <v>0</v>
      </c>
      <c r="V3621">
        <v>0</v>
      </c>
    </row>
    <row r="3622" spans="1:22" x14ac:dyDescent="0.2">
      <c r="A3622"/>
      <c r="B3622">
        <v>74451</v>
      </c>
      <c r="C3622" t="s">
        <v>1818</v>
      </c>
      <c r="D3622" t="s">
        <v>1045</v>
      </c>
      <c r="E3622" t="s">
        <v>1046</v>
      </c>
      <c r="F3622" t="s">
        <v>92</v>
      </c>
      <c r="G3622">
        <v>1050.5527502776904</v>
      </c>
      <c r="H3622" t="s">
        <v>1270</v>
      </c>
      <c r="I3622">
        <v>2.5</v>
      </c>
      <c r="J3622">
        <v>0</v>
      </c>
      <c r="K3622">
        <v>0</v>
      </c>
      <c r="L3622">
        <v>0</v>
      </c>
      <c r="M3622" t="s">
        <v>187</v>
      </c>
      <c r="N3622">
        <v>9066.9785616314603</v>
      </c>
      <c r="O3622" t="s">
        <v>12</v>
      </c>
      <c r="P3622" t="b">
        <v>0</v>
      </c>
      <c r="Q3622">
        <v>5767.8071861964727</v>
      </c>
      <c r="R3622">
        <v>30522.480312247757</v>
      </c>
      <c r="S3622">
        <v>7.4564653864622894</v>
      </c>
      <c r="T3622">
        <v>-123.81860043312332</v>
      </c>
      <c r="U3622">
        <v>0</v>
      </c>
      <c r="V3622">
        <v>0</v>
      </c>
    </row>
    <row r="3623" spans="1:22" x14ac:dyDescent="0.2">
      <c r="A3623"/>
      <c r="B3623">
        <v>74452</v>
      </c>
      <c r="C3623" t="s">
        <v>1819</v>
      </c>
      <c r="D3623" t="s">
        <v>1045</v>
      </c>
      <c r="E3623" t="s">
        <v>1049</v>
      </c>
      <c r="F3623" t="s">
        <v>92</v>
      </c>
      <c r="G3623">
        <v>1143.6241718375795</v>
      </c>
      <c r="H3623" t="s">
        <v>12</v>
      </c>
      <c r="I3623">
        <v>-2.5</v>
      </c>
      <c r="J3623">
        <v>0</v>
      </c>
      <c r="K3623">
        <v>0</v>
      </c>
      <c r="L3623">
        <v>0</v>
      </c>
      <c r="M3623" t="s">
        <v>187</v>
      </c>
      <c r="N3623">
        <v>9160.0499831913494</v>
      </c>
      <c r="O3623" t="s">
        <v>12</v>
      </c>
      <c r="P3623" t="b">
        <v>1</v>
      </c>
      <c r="Q3623">
        <v>5819.8713352098448</v>
      </c>
      <c r="R3623">
        <v>30599.624578890478</v>
      </c>
      <c r="S3623">
        <v>9.2939952892743829</v>
      </c>
      <c r="T3623">
        <v>55.808154042198694</v>
      </c>
      <c r="U3623">
        <v>0</v>
      </c>
      <c r="V3623">
        <v>0</v>
      </c>
    </row>
    <row r="3624" spans="1:22" x14ac:dyDescent="0.2">
      <c r="A3624"/>
      <c r="B3624">
        <v>74453</v>
      </c>
      <c r="C3624" t="s">
        <v>1820</v>
      </c>
      <c r="D3624" t="s">
        <v>1045</v>
      </c>
      <c r="E3624" t="s">
        <v>1048</v>
      </c>
      <c r="F3624" t="s">
        <v>92</v>
      </c>
      <c r="G3624">
        <v>1143.6241718375795</v>
      </c>
      <c r="H3624" t="s">
        <v>1270</v>
      </c>
      <c r="I3624">
        <v>2.5</v>
      </c>
      <c r="J3624">
        <v>0</v>
      </c>
      <c r="K3624">
        <v>0</v>
      </c>
      <c r="L3624">
        <v>0</v>
      </c>
      <c r="M3624" t="s">
        <v>187</v>
      </c>
      <c r="N3624">
        <v>9160.0499831913494</v>
      </c>
      <c r="O3624" t="s">
        <v>12</v>
      </c>
      <c r="P3624" t="b">
        <v>0</v>
      </c>
      <c r="Q3624">
        <v>5819.8713352098448</v>
      </c>
      <c r="R3624">
        <v>30599.624578890478</v>
      </c>
      <c r="S3624">
        <v>9.2939952892743829</v>
      </c>
      <c r="T3624">
        <v>-124.19184595780129</v>
      </c>
      <c r="U3624">
        <v>0</v>
      </c>
      <c r="V3624">
        <v>0</v>
      </c>
    </row>
    <row r="3625" spans="1:22" x14ac:dyDescent="0.2">
      <c r="A3625"/>
      <c r="B3625">
        <v>74454</v>
      </c>
      <c r="C3625" t="s">
        <v>1821</v>
      </c>
      <c r="D3625" t="s">
        <v>1045</v>
      </c>
      <c r="E3625" t="s">
        <v>1048</v>
      </c>
      <c r="F3625" t="s">
        <v>92</v>
      </c>
      <c r="G3625">
        <v>1387.3256329733003</v>
      </c>
      <c r="H3625" t="s">
        <v>12</v>
      </c>
      <c r="I3625">
        <v>-2.5</v>
      </c>
      <c r="J3625">
        <v>0</v>
      </c>
      <c r="K3625">
        <v>0</v>
      </c>
      <c r="L3625">
        <v>0</v>
      </c>
      <c r="M3625" t="s">
        <v>187</v>
      </c>
      <c r="N3625">
        <v>9403.7514443270702</v>
      </c>
      <c r="O3625" t="s">
        <v>12</v>
      </c>
      <c r="P3625" t="b">
        <v>1</v>
      </c>
      <c r="Q3625">
        <v>5915.4997439944609</v>
      </c>
      <c r="R3625">
        <v>30821.10088530997</v>
      </c>
      <c r="S3625">
        <v>9.8188199794841005</v>
      </c>
      <c r="T3625">
        <v>75.006247933615697</v>
      </c>
      <c r="U3625">
        <v>0</v>
      </c>
      <c r="V3625">
        <v>0</v>
      </c>
    </row>
    <row r="3626" spans="1:22" x14ac:dyDescent="0.2">
      <c r="A3626"/>
      <c r="B3626">
        <v>74455</v>
      </c>
      <c r="C3626" t="s">
        <v>1822</v>
      </c>
      <c r="D3626" t="s">
        <v>1045</v>
      </c>
      <c r="E3626" t="s">
        <v>1049</v>
      </c>
      <c r="F3626" t="s">
        <v>92</v>
      </c>
      <c r="G3626">
        <v>1387.3256329733003</v>
      </c>
      <c r="H3626" t="s">
        <v>1270</v>
      </c>
      <c r="I3626">
        <v>2.5</v>
      </c>
      <c r="J3626">
        <v>0</v>
      </c>
      <c r="K3626">
        <v>0</v>
      </c>
      <c r="L3626">
        <v>0</v>
      </c>
      <c r="M3626" t="s">
        <v>187</v>
      </c>
      <c r="N3626">
        <v>9403.7514443270702</v>
      </c>
      <c r="O3626" t="s">
        <v>12</v>
      </c>
      <c r="P3626" t="b">
        <v>0</v>
      </c>
      <c r="Q3626">
        <v>5915.4997439944609</v>
      </c>
      <c r="R3626">
        <v>30821.10088530997</v>
      </c>
      <c r="S3626">
        <v>9.8188199794841005</v>
      </c>
      <c r="T3626">
        <v>-104.99375206638432</v>
      </c>
      <c r="U3626">
        <v>0</v>
      </c>
      <c r="V3626">
        <v>0</v>
      </c>
    </row>
    <row r="3627" spans="1:22" x14ac:dyDescent="0.2">
      <c r="A3627"/>
      <c r="B3627">
        <v>74456</v>
      </c>
      <c r="C3627" t="s">
        <v>1823</v>
      </c>
      <c r="D3627" t="s">
        <v>1045</v>
      </c>
      <c r="E3627" t="s">
        <v>1048</v>
      </c>
      <c r="F3627" t="s">
        <v>92</v>
      </c>
      <c r="G3627">
        <v>1554.6225438641204</v>
      </c>
      <c r="H3627" t="s">
        <v>12</v>
      </c>
      <c r="I3627">
        <v>-2.5</v>
      </c>
      <c r="J3627">
        <v>0</v>
      </c>
      <c r="K3627">
        <v>0</v>
      </c>
      <c r="L3627">
        <v>0</v>
      </c>
      <c r="M3627" t="s">
        <v>187</v>
      </c>
      <c r="N3627">
        <v>9571.0483552178903</v>
      </c>
      <c r="O3627" t="s">
        <v>12</v>
      </c>
      <c r="P3627" t="b">
        <v>1</v>
      </c>
      <c r="Q3627">
        <v>5958.036965018262</v>
      </c>
      <c r="R3627">
        <v>30982.866532997406</v>
      </c>
      <c r="S3627">
        <v>9.0389308770313832</v>
      </c>
      <c r="T3627">
        <v>75.606930358292175</v>
      </c>
      <c r="U3627">
        <v>0</v>
      </c>
      <c r="V3627">
        <v>0</v>
      </c>
    </row>
    <row r="3628" spans="1:22" x14ac:dyDescent="0.2">
      <c r="A3628"/>
      <c r="B3628">
        <v>74457</v>
      </c>
      <c r="C3628" t="s">
        <v>1824</v>
      </c>
      <c r="D3628" t="s">
        <v>1045</v>
      </c>
      <c r="E3628" t="s">
        <v>1048</v>
      </c>
      <c r="F3628" t="s">
        <v>92</v>
      </c>
      <c r="G3628">
        <v>1554.6225438641204</v>
      </c>
      <c r="H3628" t="s">
        <v>1270</v>
      </c>
      <c r="I3628">
        <v>2.5</v>
      </c>
      <c r="J3628">
        <v>0</v>
      </c>
      <c r="K3628">
        <v>0</v>
      </c>
      <c r="L3628">
        <v>0</v>
      </c>
      <c r="M3628" t="s">
        <v>187</v>
      </c>
      <c r="N3628">
        <v>9571.0483552178903</v>
      </c>
      <c r="O3628" t="s">
        <v>12</v>
      </c>
      <c r="P3628" t="b">
        <v>0</v>
      </c>
      <c r="Q3628">
        <v>5958.036965018262</v>
      </c>
      <c r="R3628">
        <v>30982.866532997406</v>
      </c>
      <c r="S3628">
        <v>9.0389308770313832</v>
      </c>
      <c r="T3628">
        <v>-104.39306964170784</v>
      </c>
      <c r="U3628">
        <v>0</v>
      </c>
      <c r="V3628">
        <v>0</v>
      </c>
    </row>
    <row r="3629" spans="1:22" x14ac:dyDescent="0.2">
      <c r="A3629"/>
      <c r="B3629">
        <v>74458</v>
      </c>
      <c r="C3629" t="s">
        <v>1825</v>
      </c>
      <c r="D3629" t="s">
        <v>1045</v>
      </c>
      <c r="E3629" t="s">
        <v>1048</v>
      </c>
      <c r="F3629" t="s">
        <v>92</v>
      </c>
      <c r="G3629">
        <v>1638.3102616683309</v>
      </c>
      <c r="H3629" t="s">
        <v>12</v>
      </c>
      <c r="I3629">
        <v>-2.5</v>
      </c>
      <c r="J3629">
        <v>0</v>
      </c>
      <c r="K3629">
        <v>0</v>
      </c>
      <c r="L3629">
        <v>0</v>
      </c>
      <c r="M3629" t="s">
        <v>187</v>
      </c>
      <c r="N3629">
        <v>9654.7360730221008</v>
      </c>
      <c r="O3629" t="s">
        <v>12</v>
      </c>
      <c r="P3629" t="b">
        <v>1</v>
      </c>
      <c r="Q3629">
        <v>5977.9934251360246</v>
      </c>
      <c r="R3629">
        <v>31064.089413531077</v>
      </c>
      <c r="S3629">
        <v>9.0483347101535667</v>
      </c>
      <c r="T3629">
        <v>76.701899988655242</v>
      </c>
      <c r="U3629">
        <v>0</v>
      </c>
      <c r="V3629">
        <v>0</v>
      </c>
    </row>
    <row r="3630" spans="1:22" x14ac:dyDescent="0.2">
      <c r="A3630"/>
      <c r="B3630">
        <v>74459</v>
      </c>
      <c r="C3630" t="s">
        <v>1826</v>
      </c>
      <c r="D3630" t="s">
        <v>1045</v>
      </c>
      <c r="E3630" t="s">
        <v>1048</v>
      </c>
      <c r="F3630" t="s">
        <v>92</v>
      </c>
      <c r="G3630">
        <v>1638.3102616683309</v>
      </c>
      <c r="H3630" t="s">
        <v>1270</v>
      </c>
      <c r="I3630">
        <v>2.5</v>
      </c>
      <c r="J3630">
        <v>0</v>
      </c>
      <c r="K3630">
        <v>0</v>
      </c>
      <c r="L3630">
        <v>0</v>
      </c>
      <c r="M3630" t="s">
        <v>187</v>
      </c>
      <c r="N3630">
        <v>9654.7360730221008</v>
      </c>
      <c r="O3630" t="s">
        <v>12</v>
      </c>
      <c r="P3630" t="b">
        <v>0</v>
      </c>
      <c r="Q3630">
        <v>5977.9934251360246</v>
      </c>
      <c r="R3630">
        <v>31064.089413531077</v>
      </c>
      <c r="S3630">
        <v>9.0483347101535667</v>
      </c>
      <c r="T3630">
        <v>-103.29810001134479</v>
      </c>
      <c r="U3630">
        <v>0</v>
      </c>
      <c r="V3630">
        <v>0</v>
      </c>
    </row>
    <row r="3631" spans="1:22" x14ac:dyDescent="0.2">
      <c r="A3631"/>
      <c r="B3631">
        <v>74460</v>
      </c>
      <c r="C3631" t="s">
        <v>1827</v>
      </c>
      <c r="D3631" t="s">
        <v>1045</v>
      </c>
      <c r="E3631" t="s">
        <v>1050</v>
      </c>
      <c r="F3631" t="s">
        <v>92</v>
      </c>
      <c r="G3631">
        <v>1856.9721534727605</v>
      </c>
      <c r="H3631" t="s">
        <v>12</v>
      </c>
      <c r="I3631">
        <v>-2.5</v>
      </c>
      <c r="J3631">
        <v>0</v>
      </c>
      <c r="K3631">
        <v>0</v>
      </c>
      <c r="L3631">
        <v>0</v>
      </c>
      <c r="M3631" t="s">
        <v>187</v>
      </c>
      <c r="N3631">
        <v>9873.3979648265304</v>
      </c>
      <c r="O3631" t="s">
        <v>12</v>
      </c>
      <c r="P3631" t="b">
        <v>1</v>
      </c>
      <c r="Q3631">
        <v>6027.3300576024649</v>
      </c>
      <c r="R3631">
        <v>31277.121618852303</v>
      </c>
      <c r="S3631">
        <v>9.0451831840568939</v>
      </c>
      <c r="T3631">
        <v>76.477676738562565</v>
      </c>
      <c r="U3631">
        <v>0</v>
      </c>
      <c r="V3631">
        <v>0</v>
      </c>
    </row>
    <row r="3632" spans="1:22" x14ac:dyDescent="0.2">
      <c r="A3632"/>
      <c r="B3632">
        <v>74461</v>
      </c>
      <c r="C3632" t="s">
        <v>1828</v>
      </c>
      <c r="D3632" t="s">
        <v>1045</v>
      </c>
      <c r="E3632" t="s">
        <v>1048</v>
      </c>
      <c r="F3632" t="s">
        <v>92</v>
      </c>
      <c r="G3632">
        <v>1856.9721534727605</v>
      </c>
      <c r="H3632" t="s">
        <v>1270</v>
      </c>
      <c r="I3632">
        <v>2.5</v>
      </c>
      <c r="J3632">
        <v>0</v>
      </c>
      <c r="K3632">
        <v>0</v>
      </c>
      <c r="L3632">
        <v>0</v>
      </c>
      <c r="M3632" t="s">
        <v>187</v>
      </c>
      <c r="N3632">
        <v>9873.3979648265304</v>
      </c>
      <c r="O3632" t="s">
        <v>12</v>
      </c>
      <c r="P3632" t="b">
        <v>0</v>
      </c>
      <c r="Q3632">
        <v>6027.3300576024649</v>
      </c>
      <c r="R3632">
        <v>31277.121618852303</v>
      </c>
      <c r="S3632">
        <v>9.0451831840568939</v>
      </c>
      <c r="T3632">
        <v>-103.52232326143742</v>
      </c>
      <c r="U3632">
        <v>0</v>
      </c>
      <c r="V3632">
        <v>0</v>
      </c>
    </row>
    <row r="3633" spans="1:22" x14ac:dyDescent="0.2">
      <c r="A3633"/>
      <c r="B3633">
        <v>74462</v>
      </c>
      <c r="C3633" t="s">
        <v>1829</v>
      </c>
      <c r="D3633" t="s">
        <v>1045</v>
      </c>
      <c r="E3633" t="s">
        <v>1048</v>
      </c>
      <c r="F3633" t="s">
        <v>92</v>
      </c>
      <c r="G3633">
        <v>1975.5542926696608</v>
      </c>
      <c r="H3633" t="s">
        <v>12</v>
      </c>
      <c r="I3633">
        <v>-2.5</v>
      </c>
      <c r="J3633">
        <v>0</v>
      </c>
      <c r="K3633">
        <v>0</v>
      </c>
      <c r="L3633">
        <v>0</v>
      </c>
      <c r="M3633" t="s">
        <v>187</v>
      </c>
      <c r="N3633">
        <v>9991.9801040234306</v>
      </c>
      <c r="O3633" t="s">
        <v>12</v>
      </c>
      <c r="P3633" t="b">
        <v>1</v>
      </c>
      <c r="Q3633">
        <v>6065.2514998905444</v>
      </c>
      <c r="R3633">
        <v>31389.662718864787</v>
      </c>
      <c r="S3633">
        <v>6.8044950036605645</v>
      </c>
      <c r="T3633">
        <v>67.789572533863478</v>
      </c>
      <c r="U3633">
        <v>0</v>
      </c>
      <c r="V3633">
        <v>0</v>
      </c>
    </row>
    <row r="3634" spans="1:22" x14ac:dyDescent="0.2">
      <c r="A3634"/>
      <c r="B3634">
        <v>74463</v>
      </c>
      <c r="C3634" t="s">
        <v>1830</v>
      </c>
      <c r="D3634" t="s">
        <v>1045</v>
      </c>
      <c r="E3634" t="s">
        <v>1050</v>
      </c>
      <c r="F3634" t="s">
        <v>92</v>
      </c>
      <c r="G3634">
        <v>1975.5542926696608</v>
      </c>
      <c r="H3634" t="s">
        <v>1270</v>
      </c>
      <c r="I3634">
        <v>2.5</v>
      </c>
      <c r="J3634">
        <v>0</v>
      </c>
      <c r="K3634">
        <v>0</v>
      </c>
      <c r="L3634">
        <v>0</v>
      </c>
      <c r="M3634" t="s">
        <v>187</v>
      </c>
      <c r="N3634">
        <v>9991.9801040234306</v>
      </c>
      <c r="O3634" t="s">
        <v>12</v>
      </c>
      <c r="P3634" t="b">
        <v>0</v>
      </c>
      <c r="Q3634">
        <v>6065.2514998905444</v>
      </c>
      <c r="R3634">
        <v>31389.662718864787</v>
      </c>
      <c r="S3634">
        <v>6.8044950036605645</v>
      </c>
      <c r="T3634">
        <v>-112.21042746613652</v>
      </c>
      <c r="U3634">
        <v>0</v>
      </c>
      <c r="V3634">
        <v>0</v>
      </c>
    </row>
    <row r="3635" spans="1:22" x14ac:dyDescent="0.2">
      <c r="A3635"/>
      <c r="B3635">
        <v>74464</v>
      </c>
      <c r="C3635" t="s">
        <v>1831</v>
      </c>
      <c r="D3635" t="s">
        <v>1045</v>
      </c>
      <c r="E3635" t="s">
        <v>1050</v>
      </c>
      <c r="F3635" t="s">
        <v>92</v>
      </c>
      <c r="G3635">
        <v>2037.8440249222303</v>
      </c>
      <c r="H3635" t="s">
        <v>12</v>
      </c>
      <c r="I3635">
        <v>-2.5</v>
      </c>
      <c r="J3635">
        <v>0</v>
      </c>
      <c r="K3635">
        <v>0</v>
      </c>
      <c r="L3635">
        <v>0</v>
      </c>
      <c r="M3635" t="s">
        <v>187</v>
      </c>
      <c r="N3635">
        <v>10054.269836276</v>
      </c>
      <c r="O3635" t="s">
        <v>12</v>
      </c>
      <c r="P3635" t="b">
        <v>1</v>
      </c>
      <c r="Q3635">
        <v>6089.0430448611705</v>
      </c>
      <c r="R3635">
        <v>31447.227070229852</v>
      </c>
      <c r="S3635">
        <v>5.0998737722689897</v>
      </c>
      <c r="T3635">
        <v>67.309514220393851</v>
      </c>
      <c r="U3635">
        <v>0</v>
      </c>
      <c r="V3635">
        <v>0</v>
      </c>
    </row>
    <row r="3636" spans="1:22" x14ac:dyDescent="0.2">
      <c r="A3636"/>
      <c r="B3636">
        <v>74465</v>
      </c>
      <c r="C3636" t="s">
        <v>1832</v>
      </c>
      <c r="D3636" t="s">
        <v>1045</v>
      </c>
      <c r="E3636" t="s">
        <v>1048</v>
      </c>
      <c r="F3636" t="s">
        <v>92</v>
      </c>
      <c r="G3636">
        <v>2037.8440249222303</v>
      </c>
      <c r="H3636" t="s">
        <v>1270</v>
      </c>
      <c r="I3636">
        <v>2.5</v>
      </c>
      <c r="J3636">
        <v>0</v>
      </c>
      <c r="K3636">
        <v>0</v>
      </c>
      <c r="L3636">
        <v>0</v>
      </c>
      <c r="M3636" t="s">
        <v>187</v>
      </c>
      <c r="N3636">
        <v>10054.269836276</v>
      </c>
      <c r="O3636" t="s">
        <v>12</v>
      </c>
      <c r="P3636" t="b">
        <v>0</v>
      </c>
      <c r="Q3636">
        <v>6089.0430448611705</v>
      </c>
      <c r="R3636">
        <v>31447.227070229852</v>
      </c>
      <c r="S3636">
        <v>5.0998737722689897</v>
      </c>
      <c r="T3636">
        <v>-112.69048577960615</v>
      </c>
      <c r="U3636">
        <v>0</v>
      </c>
      <c r="V3636">
        <v>0</v>
      </c>
    </row>
    <row r="3637" spans="1:22" x14ac:dyDescent="0.2">
      <c r="A3637"/>
      <c r="B3637">
        <v>74466</v>
      </c>
      <c r="C3637" t="s">
        <v>1833</v>
      </c>
      <c r="D3637" t="s">
        <v>1045</v>
      </c>
      <c r="E3637" t="s">
        <v>1048</v>
      </c>
      <c r="F3637" t="s">
        <v>92</v>
      </c>
      <c r="G3637">
        <v>2184.0766803113302</v>
      </c>
      <c r="H3637" t="s">
        <v>12</v>
      </c>
      <c r="I3637">
        <v>-2.5</v>
      </c>
      <c r="J3637">
        <v>0</v>
      </c>
      <c r="K3637">
        <v>0</v>
      </c>
      <c r="L3637">
        <v>0</v>
      </c>
      <c r="M3637" t="s">
        <v>187</v>
      </c>
      <c r="N3637">
        <v>10200.5024916651</v>
      </c>
      <c r="O3637" t="s">
        <v>12</v>
      </c>
      <c r="P3637" t="b">
        <v>1</v>
      </c>
      <c r="Q3637">
        <v>6159.9721681456485</v>
      </c>
      <c r="R3637">
        <v>31575.191240864515</v>
      </c>
      <c r="S3637">
        <v>1.3571075887771218</v>
      </c>
      <c r="T3637">
        <v>56.239821055805663</v>
      </c>
      <c r="U3637">
        <v>0</v>
      </c>
      <c r="V3637">
        <v>0</v>
      </c>
    </row>
    <row r="3638" spans="1:22" x14ac:dyDescent="0.2">
      <c r="A3638"/>
      <c r="B3638">
        <v>74467</v>
      </c>
      <c r="C3638" t="s">
        <v>1834</v>
      </c>
      <c r="D3638" t="s">
        <v>1045</v>
      </c>
      <c r="E3638" t="s">
        <v>1050</v>
      </c>
      <c r="F3638" t="s">
        <v>92</v>
      </c>
      <c r="G3638">
        <v>2184.0766803113302</v>
      </c>
      <c r="H3638" t="s">
        <v>1270</v>
      </c>
      <c r="I3638">
        <v>2.5</v>
      </c>
      <c r="J3638">
        <v>0</v>
      </c>
      <c r="K3638">
        <v>0</v>
      </c>
      <c r="L3638">
        <v>0</v>
      </c>
      <c r="M3638" t="s">
        <v>187</v>
      </c>
      <c r="N3638">
        <v>10200.5024916651</v>
      </c>
      <c r="O3638" t="s">
        <v>12</v>
      </c>
      <c r="P3638" t="b">
        <v>0</v>
      </c>
      <c r="Q3638">
        <v>6159.9721681456485</v>
      </c>
      <c r="R3638">
        <v>31575.191240864515</v>
      </c>
      <c r="S3638">
        <v>1.3571075887771218</v>
      </c>
      <c r="T3638">
        <v>-123.76017894419437</v>
      </c>
      <c r="U3638">
        <v>0</v>
      </c>
      <c r="V3638">
        <v>0</v>
      </c>
    </row>
    <row r="3639" spans="1:22" x14ac:dyDescent="0.2">
      <c r="A3639"/>
      <c r="B3639">
        <v>74468</v>
      </c>
      <c r="C3639" t="s">
        <v>1835</v>
      </c>
      <c r="D3639" t="s">
        <v>1045</v>
      </c>
      <c r="E3639" t="s">
        <v>1050</v>
      </c>
      <c r="F3639" t="s">
        <v>92</v>
      </c>
      <c r="G3639">
        <v>2230.8381496544307</v>
      </c>
      <c r="H3639" t="s">
        <v>12</v>
      </c>
      <c r="I3639">
        <v>-2.5</v>
      </c>
      <c r="J3639">
        <v>0</v>
      </c>
      <c r="K3639">
        <v>0</v>
      </c>
      <c r="L3639">
        <v>0</v>
      </c>
      <c r="M3639" t="s">
        <v>187</v>
      </c>
      <c r="N3639">
        <v>10247.263961008201</v>
      </c>
      <c r="O3639" t="s">
        <v>12</v>
      </c>
      <c r="P3639" t="b">
        <v>1</v>
      </c>
      <c r="Q3639">
        <v>6186.26365156666</v>
      </c>
      <c r="R3639">
        <v>31613.906393553425</v>
      </c>
      <c r="S3639">
        <v>0.99327036830632098</v>
      </c>
      <c r="T3639">
        <v>55.334576600053495</v>
      </c>
      <c r="U3639">
        <v>0</v>
      </c>
      <c r="V3639">
        <v>0</v>
      </c>
    </row>
    <row r="3640" spans="1:22" x14ac:dyDescent="0.2">
      <c r="A3640"/>
      <c r="B3640">
        <v>74469</v>
      </c>
      <c r="C3640" t="s">
        <v>1836</v>
      </c>
      <c r="D3640" t="s">
        <v>1045</v>
      </c>
      <c r="E3640" t="s">
        <v>1048</v>
      </c>
      <c r="F3640" t="s">
        <v>92</v>
      </c>
      <c r="G3640">
        <v>2230.8381496544307</v>
      </c>
      <c r="H3640" t="s">
        <v>1270</v>
      </c>
      <c r="I3640">
        <v>2.5</v>
      </c>
      <c r="J3640">
        <v>0</v>
      </c>
      <c r="K3640">
        <v>0</v>
      </c>
      <c r="L3640">
        <v>0</v>
      </c>
      <c r="M3640" t="s">
        <v>187</v>
      </c>
      <c r="N3640">
        <v>10247.263961008201</v>
      </c>
      <c r="O3640" t="s">
        <v>12</v>
      </c>
      <c r="P3640" t="b">
        <v>0</v>
      </c>
      <c r="Q3640">
        <v>6186.26365156666</v>
      </c>
      <c r="R3640">
        <v>31613.906393553425</v>
      </c>
      <c r="S3640">
        <v>0.99327036830632098</v>
      </c>
      <c r="T3640">
        <v>-124.6654233999465</v>
      </c>
      <c r="U3640">
        <v>0</v>
      </c>
      <c r="V3640">
        <v>0</v>
      </c>
    </row>
    <row r="3641" spans="1:22" x14ac:dyDescent="0.2">
      <c r="A3641"/>
      <c r="B3641">
        <v>74470</v>
      </c>
      <c r="C3641" t="s">
        <v>1837</v>
      </c>
      <c r="D3641" t="s">
        <v>1045</v>
      </c>
      <c r="E3641" t="s">
        <v>1048</v>
      </c>
      <c r="F3641" t="s">
        <v>92</v>
      </c>
      <c r="G3641">
        <v>2337.8771553610304</v>
      </c>
      <c r="H3641" t="s">
        <v>12</v>
      </c>
      <c r="I3641">
        <v>-2.5</v>
      </c>
      <c r="J3641">
        <v>0</v>
      </c>
      <c r="K3641">
        <v>0</v>
      </c>
      <c r="L3641">
        <v>0</v>
      </c>
      <c r="M3641" t="s">
        <v>187</v>
      </c>
      <c r="N3641">
        <v>10354.3029667148</v>
      </c>
      <c r="O3641" t="s">
        <v>12</v>
      </c>
      <c r="P3641" t="b">
        <v>1</v>
      </c>
      <c r="Q3641">
        <v>6256.6433991683452</v>
      </c>
      <c r="R3641">
        <v>31694.81334432495</v>
      </c>
      <c r="S3641">
        <v>0.99030252921016748</v>
      </c>
      <c r="T3641">
        <v>44.484734920156122</v>
      </c>
      <c r="U3641">
        <v>0</v>
      </c>
      <c r="V3641">
        <v>0</v>
      </c>
    </row>
    <row r="3642" spans="1:22" x14ac:dyDescent="0.2">
      <c r="A3642"/>
      <c r="B3642">
        <v>74471</v>
      </c>
      <c r="C3642" t="s">
        <v>1838</v>
      </c>
      <c r="D3642" t="s">
        <v>1045</v>
      </c>
      <c r="E3642" t="s">
        <v>1050</v>
      </c>
      <c r="F3642" t="s">
        <v>92</v>
      </c>
      <c r="G3642">
        <v>2337.8771553610304</v>
      </c>
      <c r="H3642" t="s">
        <v>1270</v>
      </c>
      <c r="I3642">
        <v>2.5</v>
      </c>
      <c r="J3642">
        <v>0</v>
      </c>
      <c r="K3642">
        <v>0</v>
      </c>
      <c r="L3642">
        <v>0</v>
      </c>
      <c r="M3642" t="s">
        <v>187</v>
      </c>
      <c r="N3642">
        <v>10354.3029667148</v>
      </c>
      <c r="O3642" t="s">
        <v>12</v>
      </c>
      <c r="P3642" t="b">
        <v>0</v>
      </c>
      <c r="Q3642">
        <v>6256.6433991683452</v>
      </c>
      <c r="R3642">
        <v>31694.81334432495</v>
      </c>
      <c r="S3642">
        <v>0.99030252921016748</v>
      </c>
      <c r="T3642">
        <v>-135.51526507984389</v>
      </c>
      <c r="U3642">
        <v>0</v>
      </c>
      <c r="V3642">
        <v>0</v>
      </c>
    </row>
    <row r="3643" spans="1:22" x14ac:dyDescent="0.2">
      <c r="A3643"/>
      <c r="B3643">
        <v>74472</v>
      </c>
      <c r="C3643" t="s">
        <v>1839</v>
      </c>
      <c r="D3643" t="s">
        <v>1045</v>
      </c>
      <c r="E3643" t="s">
        <v>1048</v>
      </c>
      <c r="F3643" t="s">
        <v>92</v>
      </c>
      <c r="G3643">
        <v>2766.86750331243</v>
      </c>
      <c r="H3643" t="s">
        <v>12</v>
      </c>
      <c r="I3643">
        <v>-2.5</v>
      </c>
      <c r="J3643">
        <v>0</v>
      </c>
      <c r="K3643">
        <v>0</v>
      </c>
      <c r="L3643">
        <v>0</v>
      </c>
      <c r="M3643" t="s">
        <v>187</v>
      </c>
      <c r="N3643">
        <v>10783.2933146662</v>
      </c>
      <c r="O3643" t="s">
        <v>12</v>
      </c>
      <c r="P3643" t="b">
        <v>1</v>
      </c>
      <c r="Q3643">
        <v>6563.2392536609659</v>
      </c>
      <c r="R3643">
        <v>31994.825741029392</v>
      </c>
      <c r="S3643">
        <v>-3.6018184535104649</v>
      </c>
      <c r="T3643">
        <v>44.117392643913107</v>
      </c>
      <c r="U3643">
        <v>0</v>
      </c>
      <c r="V3643">
        <v>0</v>
      </c>
    </row>
    <row r="3644" spans="1:22" x14ac:dyDescent="0.2">
      <c r="A3644"/>
      <c r="B3644">
        <v>74473</v>
      </c>
      <c r="C3644" t="s">
        <v>1840</v>
      </c>
      <c r="D3644" t="s">
        <v>1045</v>
      </c>
      <c r="E3644" t="s">
        <v>1048</v>
      </c>
      <c r="F3644" t="s">
        <v>92</v>
      </c>
      <c r="G3644">
        <v>2766.86750331243</v>
      </c>
      <c r="H3644" t="s">
        <v>1270</v>
      </c>
      <c r="I3644">
        <v>2.5</v>
      </c>
      <c r="J3644">
        <v>0</v>
      </c>
      <c r="K3644">
        <v>0</v>
      </c>
      <c r="L3644">
        <v>0</v>
      </c>
      <c r="M3644" t="s">
        <v>187</v>
      </c>
      <c r="N3644">
        <v>10783.2933146662</v>
      </c>
      <c r="O3644" t="s">
        <v>12</v>
      </c>
      <c r="P3644" t="b">
        <v>0</v>
      </c>
      <c r="Q3644">
        <v>6563.2392536609659</v>
      </c>
      <c r="R3644">
        <v>31994.825741029392</v>
      </c>
      <c r="S3644">
        <v>-3.6018184535104649</v>
      </c>
      <c r="T3644">
        <v>-135.88260735608688</v>
      </c>
      <c r="U3644">
        <v>0</v>
      </c>
      <c r="V3644">
        <v>0</v>
      </c>
    </row>
    <row r="3645" spans="1:22" x14ac:dyDescent="0.2">
      <c r="A3645"/>
      <c r="B3645">
        <v>74474</v>
      </c>
      <c r="C3645" t="s">
        <v>1841</v>
      </c>
      <c r="D3645" t="s">
        <v>1045</v>
      </c>
      <c r="E3645" t="s">
        <v>1048</v>
      </c>
      <c r="F3645" t="s">
        <v>92</v>
      </c>
      <c r="G3645">
        <v>2841.9665801268302</v>
      </c>
      <c r="H3645" t="s">
        <v>12</v>
      </c>
      <c r="I3645">
        <v>-2.5</v>
      </c>
      <c r="J3645">
        <v>0</v>
      </c>
      <c r="K3645">
        <v>0</v>
      </c>
      <c r="L3645">
        <v>0</v>
      </c>
      <c r="M3645" t="s">
        <v>187</v>
      </c>
      <c r="N3645">
        <v>10858.3923914806</v>
      </c>
      <c r="O3645" t="s">
        <v>12</v>
      </c>
      <c r="P3645" t="b">
        <v>1</v>
      </c>
      <c r="Q3645">
        <v>6617.8022672514653</v>
      </c>
      <c r="R3645">
        <v>32046.476118813669</v>
      </c>
      <c r="S3645">
        <v>-4.9583140505005039</v>
      </c>
      <c r="T3645">
        <v>43.035916147928496</v>
      </c>
      <c r="U3645">
        <v>0</v>
      </c>
      <c r="V3645">
        <v>0</v>
      </c>
    </row>
    <row r="3646" spans="1:22" x14ac:dyDescent="0.2">
      <c r="A3646"/>
      <c r="B3646">
        <v>74475</v>
      </c>
      <c r="C3646" t="s">
        <v>1842</v>
      </c>
      <c r="D3646" t="s">
        <v>1045</v>
      </c>
      <c r="E3646" t="s">
        <v>1048</v>
      </c>
      <c r="F3646" t="s">
        <v>92</v>
      </c>
      <c r="G3646">
        <v>2841.9665801268302</v>
      </c>
      <c r="H3646" t="s">
        <v>1270</v>
      </c>
      <c r="I3646">
        <v>2.5</v>
      </c>
      <c r="J3646">
        <v>0</v>
      </c>
      <c r="K3646">
        <v>0</v>
      </c>
      <c r="L3646">
        <v>0</v>
      </c>
      <c r="M3646" t="s">
        <v>187</v>
      </c>
      <c r="N3646">
        <v>10858.3923914806</v>
      </c>
      <c r="O3646" t="s">
        <v>12</v>
      </c>
      <c r="P3646" t="b">
        <v>0</v>
      </c>
      <c r="Q3646">
        <v>6617.8022672514653</v>
      </c>
      <c r="R3646">
        <v>32046.476118813669</v>
      </c>
      <c r="S3646">
        <v>-4.9583140505005039</v>
      </c>
      <c r="T3646">
        <v>-136.9640838520715</v>
      </c>
      <c r="U3646">
        <v>0</v>
      </c>
      <c r="V3646">
        <v>0</v>
      </c>
    </row>
    <row r="3647" spans="1:22" x14ac:dyDescent="0.2">
      <c r="A3647"/>
      <c r="B3647">
        <v>74476</v>
      </c>
      <c r="C3647" t="s">
        <v>1843</v>
      </c>
      <c r="D3647" t="s">
        <v>1045</v>
      </c>
      <c r="E3647" t="s">
        <v>1047</v>
      </c>
      <c r="F3647" t="s">
        <v>92</v>
      </c>
      <c r="G3647">
        <v>2881.3958039621293</v>
      </c>
      <c r="H3647" t="s">
        <v>12</v>
      </c>
      <c r="I3647">
        <v>-2.5</v>
      </c>
      <c r="J3647">
        <v>0</v>
      </c>
      <c r="K3647">
        <v>0</v>
      </c>
      <c r="L3647">
        <v>0</v>
      </c>
      <c r="M3647" t="s">
        <v>187</v>
      </c>
      <c r="N3647">
        <v>10897.821615315899</v>
      </c>
      <c r="O3647" t="s">
        <v>12</v>
      </c>
      <c r="P3647" t="b">
        <v>1</v>
      </c>
      <c r="Q3647">
        <v>6646.5578502351627</v>
      </c>
      <c r="R3647">
        <v>32073.430380406113</v>
      </c>
      <c r="S3647">
        <v>-5.0802855620604346</v>
      </c>
      <c r="T3647">
        <v>43.385950467940162</v>
      </c>
      <c r="U3647">
        <v>0</v>
      </c>
      <c r="V3647">
        <v>0</v>
      </c>
    </row>
    <row r="3648" spans="1:22" x14ac:dyDescent="0.2">
      <c r="A3648"/>
      <c r="B3648">
        <v>74477</v>
      </c>
      <c r="C3648" t="s">
        <v>1844</v>
      </c>
      <c r="D3648" t="s">
        <v>1045</v>
      </c>
      <c r="E3648" t="s">
        <v>1048</v>
      </c>
      <c r="F3648" t="s">
        <v>92</v>
      </c>
      <c r="G3648">
        <v>2881.3958039621293</v>
      </c>
      <c r="H3648" t="s">
        <v>1270</v>
      </c>
      <c r="I3648">
        <v>2.5</v>
      </c>
      <c r="J3648">
        <v>0</v>
      </c>
      <c r="K3648">
        <v>0</v>
      </c>
      <c r="L3648">
        <v>0</v>
      </c>
      <c r="M3648" t="s">
        <v>187</v>
      </c>
      <c r="N3648">
        <v>10897.821615315899</v>
      </c>
      <c r="O3648" t="s">
        <v>12</v>
      </c>
      <c r="P3648" t="b">
        <v>0</v>
      </c>
      <c r="Q3648">
        <v>6646.5578502351627</v>
      </c>
      <c r="R3648">
        <v>32073.430380406113</v>
      </c>
      <c r="S3648">
        <v>-5.0802855620604346</v>
      </c>
      <c r="T3648">
        <v>-136.61404953205985</v>
      </c>
      <c r="U3648">
        <v>0</v>
      </c>
      <c r="V3648">
        <v>0</v>
      </c>
    </row>
    <row r="3649" spans="1:22" x14ac:dyDescent="0.2">
      <c r="A3649"/>
      <c r="B3649">
        <v>74478</v>
      </c>
      <c r="C3649" t="s">
        <v>1845</v>
      </c>
      <c r="D3649" t="s">
        <v>1045</v>
      </c>
      <c r="E3649" t="s">
        <v>1047</v>
      </c>
      <c r="F3649" t="s">
        <v>92</v>
      </c>
      <c r="G3649">
        <v>3046.4645759905297</v>
      </c>
      <c r="H3649" t="s">
        <v>12</v>
      </c>
      <c r="I3649">
        <v>-2.5</v>
      </c>
      <c r="J3649">
        <v>0</v>
      </c>
      <c r="K3649">
        <v>0</v>
      </c>
      <c r="L3649">
        <v>0</v>
      </c>
      <c r="M3649" t="s">
        <v>187</v>
      </c>
      <c r="N3649">
        <v>11062.8903873443</v>
      </c>
      <c r="O3649" t="s">
        <v>12</v>
      </c>
      <c r="P3649" t="b">
        <v>1</v>
      </c>
      <c r="Q3649">
        <v>6754.1293066921244</v>
      </c>
      <c r="R3649">
        <v>32197.569488696601</v>
      </c>
      <c r="S3649">
        <v>-4.7682972705728872</v>
      </c>
      <c r="T3649">
        <v>54.167125894061471</v>
      </c>
      <c r="U3649">
        <v>0</v>
      </c>
      <c r="V3649">
        <v>0</v>
      </c>
    </row>
    <row r="3650" spans="1:22" x14ac:dyDescent="0.2">
      <c r="A3650"/>
      <c r="B3650">
        <v>74479</v>
      </c>
      <c r="C3650" t="s">
        <v>1846</v>
      </c>
      <c r="D3650" t="s">
        <v>1045</v>
      </c>
      <c r="E3650" t="s">
        <v>1047</v>
      </c>
      <c r="F3650" t="s">
        <v>92</v>
      </c>
      <c r="G3650">
        <v>3046.4645759905297</v>
      </c>
      <c r="H3650" t="s">
        <v>1270</v>
      </c>
      <c r="I3650">
        <v>2.5</v>
      </c>
      <c r="J3650">
        <v>0</v>
      </c>
      <c r="K3650">
        <v>0</v>
      </c>
      <c r="L3650">
        <v>0</v>
      </c>
      <c r="M3650" t="s">
        <v>187</v>
      </c>
      <c r="N3650">
        <v>11062.8903873443</v>
      </c>
      <c r="O3650" t="s">
        <v>12</v>
      </c>
      <c r="P3650" t="b">
        <v>0</v>
      </c>
      <c r="Q3650">
        <v>6754.1293066921244</v>
      </c>
      <c r="R3650">
        <v>32197.569488696601</v>
      </c>
      <c r="S3650">
        <v>-4.7682972705728872</v>
      </c>
      <c r="T3650">
        <v>-125.83287410593853</v>
      </c>
      <c r="U3650">
        <v>0</v>
      </c>
      <c r="V3650">
        <v>0</v>
      </c>
    </row>
    <row r="3651" spans="1:22" x14ac:dyDescent="0.2">
      <c r="A3651"/>
      <c r="B3651">
        <v>74480</v>
      </c>
      <c r="C3651" t="s">
        <v>1847</v>
      </c>
      <c r="D3651" t="s">
        <v>1045</v>
      </c>
      <c r="E3651" t="s">
        <v>1047</v>
      </c>
      <c r="F3651" t="s">
        <v>92</v>
      </c>
      <c r="G3651">
        <v>3397.8430561635296</v>
      </c>
      <c r="H3651" t="s">
        <v>12</v>
      </c>
      <c r="I3651">
        <v>-2.5</v>
      </c>
      <c r="J3651">
        <v>0</v>
      </c>
      <c r="K3651">
        <v>0</v>
      </c>
      <c r="L3651">
        <v>0</v>
      </c>
      <c r="M3651" t="s">
        <v>187</v>
      </c>
      <c r="N3651">
        <v>11414.268867517299</v>
      </c>
      <c r="O3651" t="s">
        <v>12</v>
      </c>
      <c r="P3651" t="b">
        <v>1</v>
      </c>
      <c r="Q3651">
        <v>6868.0430435448379</v>
      </c>
      <c r="R3651">
        <v>32522.677659387271</v>
      </c>
      <c r="S3651">
        <v>-3.4755887142205224</v>
      </c>
      <c r="T3651">
        <v>86.126225575967382</v>
      </c>
      <c r="U3651">
        <v>0</v>
      </c>
      <c r="V3651">
        <v>0</v>
      </c>
    </row>
    <row r="3652" spans="1:22" x14ac:dyDescent="0.2">
      <c r="A3652"/>
      <c r="B3652">
        <v>74481</v>
      </c>
      <c r="C3652" t="s">
        <v>1848</v>
      </c>
      <c r="D3652" t="s">
        <v>1045</v>
      </c>
      <c r="E3652" t="s">
        <v>1047</v>
      </c>
      <c r="F3652" t="s">
        <v>92</v>
      </c>
      <c r="G3652">
        <v>3397.8430561635296</v>
      </c>
      <c r="H3652" t="s">
        <v>1270</v>
      </c>
      <c r="I3652">
        <v>2.5</v>
      </c>
      <c r="J3652">
        <v>0</v>
      </c>
      <c r="K3652">
        <v>0</v>
      </c>
      <c r="L3652">
        <v>0</v>
      </c>
      <c r="M3652" t="s">
        <v>187</v>
      </c>
      <c r="N3652">
        <v>11414.268867517299</v>
      </c>
      <c r="O3652" t="s">
        <v>12</v>
      </c>
      <c r="P3652" t="b">
        <v>0</v>
      </c>
      <c r="Q3652">
        <v>6868.0430435448379</v>
      </c>
      <c r="R3652">
        <v>32522.677659387271</v>
      </c>
      <c r="S3652">
        <v>-3.4755887142205224</v>
      </c>
      <c r="T3652">
        <v>-93.873774424032618</v>
      </c>
      <c r="U3652">
        <v>0</v>
      </c>
      <c r="V3652">
        <v>0</v>
      </c>
    </row>
    <row r="3653" spans="1:22" x14ac:dyDescent="0.2">
      <c r="A3653"/>
      <c r="B3653">
        <v>74482</v>
      </c>
      <c r="C3653" t="s">
        <v>1849</v>
      </c>
      <c r="D3653" t="s">
        <v>1045</v>
      </c>
      <c r="E3653" t="s">
        <v>1048</v>
      </c>
      <c r="F3653" t="s">
        <v>92</v>
      </c>
      <c r="G3653">
        <v>3658.7806928170294</v>
      </c>
      <c r="H3653" t="s">
        <v>12</v>
      </c>
      <c r="I3653">
        <v>-2.5</v>
      </c>
      <c r="J3653">
        <v>0</v>
      </c>
      <c r="K3653">
        <v>0</v>
      </c>
      <c r="L3653">
        <v>0</v>
      </c>
      <c r="M3653" t="s">
        <v>187</v>
      </c>
      <c r="N3653">
        <v>11675.206504170799</v>
      </c>
      <c r="O3653" t="s">
        <v>12</v>
      </c>
      <c r="P3653" t="b">
        <v>1</v>
      </c>
      <c r="Q3653">
        <v>6839.9772283555967</v>
      </c>
      <c r="R3653">
        <v>32779.662118896318</v>
      </c>
      <c r="S3653">
        <v>-0.83105832999695406</v>
      </c>
      <c r="T3653">
        <v>105.28068141951384</v>
      </c>
      <c r="U3653">
        <v>0</v>
      </c>
      <c r="V3653">
        <v>0</v>
      </c>
    </row>
    <row r="3654" spans="1:22" x14ac:dyDescent="0.2">
      <c r="A3654"/>
      <c r="B3654">
        <v>74483</v>
      </c>
      <c r="C3654" t="s">
        <v>1850</v>
      </c>
      <c r="D3654" t="s">
        <v>1045</v>
      </c>
      <c r="E3654" t="s">
        <v>1047</v>
      </c>
      <c r="F3654" t="s">
        <v>92</v>
      </c>
      <c r="G3654">
        <v>3658.7806928170294</v>
      </c>
      <c r="H3654" t="s">
        <v>1270</v>
      </c>
      <c r="I3654">
        <v>2.5</v>
      </c>
      <c r="J3654">
        <v>0</v>
      </c>
      <c r="K3654">
        <v>0</v>
      </c>
      <c r="L3654">
        <v>0</v>
      </c>
      <c r="M3654" t="s">
        <v>187</v>
      </c>
      <c r="N3654">
        <v>11675.206504170799</v>
      </c>
      <c r="O3654" t="s">
        <v>12</v>
      </c>
      <c r="P3654" t="b">
        <v>0</v>
      </c>
      <c r="Q3654">
        <v>6839.9772283555967</v>
      </c>
      <c r="R3654">
        <v>32779.662118896318</v>
      </c>
      <c r="S3654">
        <v>-0.83105832999695406</v>
      </c>
      <c r="T3654">
        <v>-74.719318580486146</v>
      </c>
      <c r="U3654">
        <v>0</v>
      </c>
      <c r="V3654">
        <v>0</v>
      </c>
    </row>
    <row r="3655" spans="1:22" x14ac:dyDescent="0.2">
      <c r="A3655"/>
      <c r="B3655">
        <v>74484</v>
      </c>
      <c r="C3655" t="s">
        <v>1851</v>
      </c>
      <c r="D3655" t="s">
        <v>1045</v>
      </c>
      <c r="E3655" t="s">
        <v>1048</v>
      </c>
      <c r="F3655" t="s">
        <v>92</v>
      </c>
      <c r="G3655">
        <v>3760.3425994696308</v>
      </c>
      <c r="H3655" t="s">
        <v>12</v>
      </c>
      <c r="I3655">
        <v>-2.5</v>
      </c>
      <c r="J3655">
        <v>0</v>
      </c>
      <c r="K3655">
        <v>0</v>
      </c>
      <c r="L3655">
        <v>0</v>
      </c>
      <c r="M3655" t="s">
        <v>187</v>
      </c>
      <c r="N3655">
        <v>11776.768410823401</v>
      </c>
      <c r="O3655" t="s">
        <v>12</v>
      </c>
      <c r="P3655" t="b">
        <v>1</v>
      </c>
      <c r="Q3655">
        <v>6812.9851293827787</v>
      </c>
      <c r="R3655">
        <v>32877.571839726006</v>
      </c>
      <c r="S3655">
        <v>0.22085786891722498</v>
      </c>
      <c r="T3655">
        <v>105.14530190573819</v>
      </c>
      <c r="U3655">
        <v>0</v>
      </c>
      <c r="V3655">
        <v>0</v>
      </c>
    </row>
    <row r="3656" spans="1:22" x14ac:dyDescent="0.2">
      <c r="A3656"/>
      <c r="B3656">
        <v>74485</v>
      </c>
      <c r="C3656" t="s">
        <v>1852</v>
      </c>
      <c r="D3656" t="s">
        <v>1045</v>
      </c>
      <c r="E3656" t="s">
        <v>1048</v>
      </c>
      <c r="F3656" t="s">
        <v>92</v>
      </c>
      <c r="G3656">
        <v>3760.3425994696308</v>
      </c>
      <c r="H3656" t="s">
        <v>1270</v>
      </c>
      <c r="I3656">
        <v>2.5</v>
      </c>
      <c r="J3656">
        <v>0</v>
      </c>
      <c r="K3656">
        <v>0</v>
      </c>
      <c r="L3656">
        <v>0</v>
      </c>
      <c r="M3656" t="s">
        <v>187</v>
      </c>
      <c r="N3656">
        <v>11776.768410823401</v>
      </c>
      <c r="O3656" t="s">
        <v>12</v>
      </c>
      <c r="P3656" t="b">
        <v>0</v>
      </c>
      <c r="Q3656">
        <v>6812.9851293827787</v>
      </c>
      <c r="R3656">
        <v>32877.571839726006</v>
      </c>
      <c r="S3656">
        <v>0.22085786891722498</v>
      </c>
      <c r="T3656">
        <v>-74.854698094261806</v>
      </c>
      <c r="U3656">
        <v>0</v>
      </c>
      <c r="V3656">
        <v>0</v>
      </c>
    </row>
    <row r="3657" spans="1:22" x14ac:dyDescent="0.2">
      <c r="A3657"/>
      <c r="B3657">
        <v>74486</v>
      </c>
      <c r="C3657" t="s">
        <v>1853</v>
      </c>
      <c r="D3657" t="s">
        <v>1045</v>
      </c>
      <c r="E3657" t="s">
        <v>1048</v>
      </c>
      <c r="F3657" t="s">
        <v>92</v>
      </c>
      <c r="G3657">
        <v>3843.5002754299303</v>
      </c>
      <c r="H3657" t="s">
        <v>12</v>
      </c>
      <c r="I3657">
        <v>-2.5</v>
      </c>
      <c r="J3657">
        <v>0</v>
      </c>
      <c r="K3657">
        <v>0</v>
      </c>
      <c r="L3657">
        <v>0</v>
      </c>
      <c r="M3657" t="s">
        <v>187</v>
      </c>
      <c r="N3657">
        <v>11859.9260867837</v>
      </c>
      <c r="O3657" t="s">
        <v>12</v>
      </c>
      <c r="P3657" t="b">
        <v>1</v>
      </c>
      <c r="Q3657">
        <v>6792.0582543592182</v>
      </c>
      <c r="R3657">
        <v>32958.08838025618</v>
      </c>
      <c r="S3657">
        <v>1.0795820022925464</v>
      </c>
      <c r="T3657">
        <v>104.24082987405545</v>
      </c>
      <c r="U3657">
        <v>0</v>
      </c>
      <c r="V3657">
        <v>0</v>
      </c>
    </row>
    <row r="3658" spans="1:22" x14ac:dyDescent="0.2">
      <c r="A3658"/>
      <c r="B3658">
        <v>74487</v>
      </c>
      <c r="C3658" t="s">
        <v>1854</v>
      </c>
      <c r="D3658" t="s">
        <v>1045</v>
      </c>
      <c r="E3658" t="s">
        <v>1048</v>
      </c>
      <c r="F3658" t="s">
        <v>92</v>
      </c>
      <c r="G3658">
        <v>3843.5002754299303</v>
      </c>
      <c r="H3658" t="s">
        <v>1270</v>
      </c>
      <c r="I3658">
        <v>2.5</v>
      </c>
      <c r="J3658">
        <v>0</v>
      </c>
      <c r="K3658">
        <v>0</v>
      </c>
      <c r="L3658">
        <v>0</v>
      </c>
      <c r="M3658" t="s">
        <v>187</v>
      </c>
      <c r="N3658">
        <v>11859.9260867837</v>
      </c>
      <c r="O3658" t="s">
        <v>12</v>
      </c>
      <c r="P3658" t="b">
        <v>0</v>
      </c>
      <c r="Q3658">
        <v>6792.0582543592182</v>
      </c>
      <c r="R3658">
        <v>32958.08838025618</v>
      </c>
      <c r="S3658">
        <v>1.0795820022925464</v>
      </c>
      <c r="T3658">
        <v>-75.75917012594455</v>
      </c>
      <c r="U3658">
        <v>0</v>
      </c>
      <c r="V3658">
        <v>0</v>
      </c>
    </row>
    <row r="3659" spans="1:22" x14ac:dyDescent="0.2">
      <c r="A3659"/>
      <c r="B3659">
        <v>74488</v>
      </c>
      <c r="C3659" t="s">
        <v>1855</v>
      </c>
      <c r="D3659" t="s">
        <v>1045</v>
      </c>
      <c r="E3659" t="s">
        <v>1048</v>
      </c>
      <c r="F3659" t="s">
        <v>92</v>
      </c>
      <c r="G3659">
        <v>3869.8943961401301</v>
      </c>
      <c r="H3659" t="s">
        <v>12</v>
      </c>
      <c r="I3659">
        <v>-2.5</v>
      </c>
      <c r="J3659">
        <v>0</v>
      </c>
      <c r="K3659">
        <v>0</v>
      </c>
      <c r="L3659">
        <v>0</v>
      </c>
      <c r="M3659" t="s">
        <v>187</v>
      </c>
      <c r="N3659">
        <v>11886.3202074939</v>
      </c>
      <c r="O3659" t="s">
        <v>12</v>
      </c>
      <c r="P3659" t="b">
        <v>1</v>
      </c>
      <c r="Q3659">
        <v>6785.549951324123</v>
      </c>
      <c r="R3659">
        <v>32983.662200787563</v>
      </c>
      <c r="S3659">
        <v>1.3500750490805795</v>
      </c>
      <c r="T3659">
        <v>104.32680509322617</v>
      </c>
      <c r="U3659">
        <v>0</v>
      </c>
      <c r="V3659">
        <v>0</v>
      </c>
    </row>
    <row r="3660" spans="1:22" x14ac:dyDescent="0.2">
      <c r="A3660"/>
      <c r="B3660">
        <v>74489</v>
      </c>
      <c r="C3660" t="s">
        <v>1856</v>
      </c>
      <c r="D3660" t="s">
        <v>1045</v>
      </c>
      <c r="E3660" t="s">
        <v>1048</v>
      </c>
      <c r="F3660" t="s">
        <v>92</v>
      </c>
      <c r="G3660">
        <v>3869.8943961401301</v>
      </c>
      <c r="H3660" t="s">
        <v>1270</v>
      </c>
      <c r="I3660">
        <v>2.5</v>
      </c>
      <c r="J3660">
        <v>0</v>
      </c>
      <c r="K3660">
        <v>0</v>
      </c>
      <c r="L3660">
        <v>0</v>
      </c>
      <c r="M3660" t="s">
        <v>187</v>
      </c>
      <c r="N3660">
        <v>11886.3202074939</v>
      </c>
      <c r="O3660" t="s">
        <v>12</v>
      </c>
      <c r="P3660" t="b">
        <v>0</v>
      </c>
      <c r="Q3660">
        <v>6785.549951324123</v>
      </c>
      <c r="R3660">
        <v>32983.662200787563</v>
      </c>
      <c r="S3660">
        <v>1.3500750490805795</v>
      </c>
      <c r="T3660">
        <v>-75.67319490677383</v>
      </c>
      <c r="U3660">
        <v>0</v>
      </c>
      <c r="V3660">
        <v>0</v>
      </c>
    </row>
    <row r="3661" spans="1:22" x14ac:dyDescent="0.2">
      <c r="A3661"/>
      <c r="B3661">
        <v>74490</v>
      </c>
      <c r="C3661" t="s">
        <v>1857</v>
      </c>
      <c r="D3661" t="s">
        <v>1045</v>
      </c>
      <c r="E3661" t="s">
        <v>1048</v>
      </c>
      <c r="F3661" t="s">
        <v>92</v>
      </c>
      <c r="G3661">
        <v>3977.914960817031</v>
      </c>
      <c r="H3661" t="s">
        <v>12</v>
      </c>
      <c r="I3661">
        <v>-2.5</v>
      </c>
      <c r="J3661">
        <v>0</v>
      </c>
      <c r="K3661">
        <v>0</v>
      </c>
      <c r="L3661">
        <v>0</v>
      </c>
      <c r="M3661" t="s">
        <v>187</v>
      </c>
      <c r="N3661">
        <v>11994.340772170801</v>
      </c>
      <c r="O3661" t="s">
        <v>12</v>
      </c>
      <c r="P3661" t="b">
        <v>1</v>
      </c>
      <c r="Q3661">
        <v>6757.9205117652173</v>
      </c>
      <c r="R3661">
        <v>33088.035462683612</v>
      </c>
      <c r="S3661">
        <v>1.8918119618289215</v>
      </c>
      <c r="T3661">
        <v>105.41990857557782</v>
      </c>
      <c r="U3661">
        <v>0</v>
      </c>
      <c r="V3661">
        <v>0</v>
      </c>
    </row>
    <row r="3662" spans="1:22" x14ac:dyDescent="0.2">
      <c r="A3662"/>
      <c r="B3662">
        <v>74491</v>
      </c>
      <c r="C3662" t="s">
        <v>1858</v>
      </c>
      <c r="D3662" t="s">
        <v>1045</v>
      </c>
      <c r="E3662" t="s">
        <v>1048</v>
      </c>
      <c r="F3662" t="s">
        <v>92</v>
      </c>
      <c r="G3662">
        <v>3977.914960817031</v>
      </c>
      <c r="H3662" t="s">
        <v>1270</v>
      </c>
      <c r="I3662">
        <v>2.5</v>
      </c>
      <c r="J3662">
        <v>0</v>
      </c>
      <c r="K3662">
        <v>0</v>
      </c>
      <c r="L3662">
        <v>0</v>
      </c>
      <c r="M3662" t="s">
        <v>187</v>
      </c>
      <c r="N3662">
        <v>11994.340772170801</v>
      </c>
      <c r="O3662" t="s">
        <v>12</v>
      </c>
      <c r="P3662" t="b">
        <v>0</v>
      </c>
      <c r="Q3662">
        <v>6757.9205117652173</v>
      </c>
      <c r="R3662">
        <v>33088.035462683612</v>
      </c>
      <c r="S3662">
        <v>1.8918119618289215</v>
      </c>
      <c r="T3662">
        <v>-74.580091424422179</v>
      </c>
      <c r="U3662">
        <v>0</v>
      </c>
      <c r="V3662">
        <v>0</v>
      </c>
    </row>
    <row r="3663" spans="1:22" x14ac:dyDescent="0.2">
      <c r="A3663"/>
      <c r="B3663">
        <v>74492</v>
      </c>
      <c r="C3663" t="s">
        <v>1859</v>
      </c>
      <c r="D3663" t="s">
        <v>1045</v>
      </c>
      <c r="E3663" t="s">
        <v>1047</v>
      </c>
      <c r="F3663" t="s">
        <v>92</v>
      </c>
      <c r="G3663">
        <v>4171.4587585725303</v>
      </c>
      <c r="H3663" t="s">
        <v>12</v>
      </c>
      <c r="I3663">
        <v>-2.5</v>
      </c>
      <c r="J3663">
        <v>0</v>
      </c>
      <c r="K3663">
        <v>0</v>
      </c>
      <c r="L3663">
        <v>0</v>
      </c>
      <c r="M3663" t="s">
        <v>187</v>
      </c>
      <c r="N3663">
        <v>12187.8845699263</v>
      </c>
      <c r="O3663" t="s">
        <v>12</v>
      </c>
      <c r="P3663" t="b">
        <v>1</v>
      </c>
      <c r="Q3663">
        <v>6706.1933636865197</v>
      </c>
      <c r="R3663">
        <v>33274.517866057999</v>
      </c>
      <c r="S3663">
        <v>1.9021893686632836</v>
      </c>
      <c r="T3663">
        <v>105.87869854672803</v>
      </c>
      <c r="U3663">
        <v>0</v>
      </c>
      <c r="V3663">
        <v>0</v>
      </c>
    </row>
    <row r="3664" spans="1:22" x14ac:dyDescent="0.2">
      <c r="A3664"/>
      <c r="B3664">
        <v>74493</v>
      </c>
      <c r="C3664" t="s">
        <v>1860</v>
      </c>
      <c r="D3664" t="s">
        <v>1045</v>
      </c>
      <c r="E3664" t="s">
        <v>1048</v>
      </c>
      <c r="F3664" t="s">
        <v>92</v>
      </c>
      <c r="G3664">
        <v>4171.4587585725303</v>
      </c>
      <c r="H3664" t="s">
        <v>1270</v>
      </c>
      <c r="I3664">
        <v>2.5</v>
      </c>
      <c r="J3664">
        <v>0</v>
      </c>
      <c r="K3664">
        <v>0</v>
      </c>
      <c r="L3664">
        <v>0</v>
      </c>
      <c r="M3664" t="s">
        <v>187</v>
      </c>
      <c r="N3664">
        <v>12187.8845699263</v>
      </c>
      <c r="O3664" t="s">
        <v>12</v>
      </c>
      <c r="P3664" t="b">
        <v>0</v>
      </c>
      <c r="Q3664">
        <v>6706.1933636865197</v>
      </c>
      <c r="R3664">
        <v>33274.517866057999</v>
      </c>
      <c r="S3664">
        <v>1.9021893686632836</v>
      </c>
      <c r="T3664">
        <v>-74.121301453271997</v>
      </c>
      <c r="U3664">
        <v>0</v>
      </c>
      <c r="V3664">
        <v>0</v>
      </c>
    </row>
    <row r="3665" spans="1:22" x14ac:dyDescent="0.2">
      <c r="A3665"/>
      <c r="B3665">
        <v>74494</v>
      </c>
      <c r="C3665" t="s">
        <v>1861</v>
      </c>
      <c r="D3665" t="s">
        <v>1045</v>
      </c>
      <c r="E3665" t="s">
        <v>1047</v>
      </c>
      <c r="F3665" t="s">
        <v>92</v>
      </c>
      <c r="G3665">
        <v>4246.7737783605307</v>
      </c>
      <c r="H3665" t="s">
        <v>12</v>
      </c>
      <c r="I3665">
        <v>-2.5</v>
      </c>
      <c r="J3665">
        <v>0</v>
      </c>
      <c r="K3665">
        <v>0</v>
      </c>
      <c r="L3665">
        <v>0</v>
      </c>
      <c r="M3665" t="s">
        <v>187</v>
      </c>
      <c r="N3665">
        <v>12263.199589714301</v>
      </c>
      <c r="O3665" t="s">
        <v>12</v>
      </c>
      <c r="P3665" t="b">
        <v>1</v>
      </c>
      <c r="Q3665">
        <v>6683.6708981874608</v>
      </c>
      <c r="R3665">
        <v>33346.246921958387</v>
      </c>
      <c r="S3665">
        <v>1.3783582080222836</v>
      </c>
      <c r="T3665">
        <v>108.63841644072976</v>
      </c>
      <c r="U3665">
        <v>0</v>
      </c>
      <c r="V3665">
        <v>0</v>
      </c>
    </row>
    <row r="3666" spans="1:22" x14ac:dyDescent="0.2">
      <c r="A3666"/>
      <c r="B3666">
        <v>74495</v>
      </c>
      <c r="C3666" t="s">
        <v>1862</v>
      </c>
      <c r="D3666" t="s">
        <v>1045</v>
      </c>
      <c r="E3666" t="s">
        <v>1047</v>
      </c>
      <c r="F3666" t="s">
        <v>92</v>
      </c>
      <c r="G3666">
        <v>4246.7737783605307</v>
      </c>
      <c r="H3666" t="s">
        <v>1270</v>
      </c>
      <c r="I3666">
        <v>2.5</v>
      </c>
      <c r="J3666">
        <v>0</v>
      </c>
      <c r="K3666">
        <v>0</v>
      </c>
      <c r="L3666">
        <v>0</v>
      </c>
      <c r="M3666" t="s">
        <v>187</v>
      </c>
      <c r="N3666">
        <v>12263.199589714301</v>
      </c>
      <c r="O3666" t="s">
        <v>12</v>
      </c>
      <c r="P3666" t="b">
        <v>0</v>
      </c>
      <c r="Q3666">
        <v>6683.6708981874608</v>
      </c>
      <c r="R3666">
        <v>33346.246921958387</v>
      </c>
      <c r="S3666">
        <v>1.3783582080222836</v>
      </c>
      <c r="T3666">
        <v>-71.361583559270258</v>
      </c>
      <c r="U3666">
        <v>0</v>
      </c>
      <c r="V3666">
        <v>0</v>
      </c>
    </row>
    <row r="3667" spans="1:22" x14ac:dyDescent="0.2">
      <c r="A3667"/>
      <c r="B3667">
        <v>74496</v>
      </c>
      <c r="C3667" t="s">
        <v>1863</v>
      </c>
      <c r="D3667" t="s">
        <v>1045</v>
      </c>
      <c r="E3667" t="s">
        <v>1048</v>
      </c>
      <c r="F3667" t="s">
        <v>92</v>
      </c>
      <c r="G3667">
        <v>4331.7866007745297</v>
      </c>
      <c r="H3667" t="s">
        <v>12</v>
      </c>
      <c r="I3667">
        <v>-2.5</v>
      </c>
      <c r="J3667">
        <v>0</v>
      </c>
      <c r="K3667">
        <v>0</v>
      </c>
      <c r="L3667">
        <v>0</v>
      </c>
      <c r="M3667" t="s">
        <v>187</v>
      </c>
      <c r="N3667">
        <v>12348.2124121283</v>
      </c>
      <c r="O3667" t="s">
        <v>12</v>
      </c>
      <c r="P3667" t="b">
        <v>1</v>
      </c>
      <c r="Q3667">
        <v>6659.399167667214</v>
      </c>
      <c r="R3667">
        <v>33427.853863530712</v>
      </c>
      <c r="S3667">
        <v>0.54166724455436466</v>
      </c>
      <c r="T3667">
        <v>105.11082137301105</v>
      </c>
      <c r="U3667">
        <v>0</v>
      </c>
      <c r="V3667">
        <v>0</v>
      </c>
    </row>
    <row r="3668" spans="1:22" x14ac:dyDescent="0.2">
      <c r="A3668"/>
      <c r="B3668">
        <v>74497</v>
      </c>
      <c r="C3668" t="s">
        <v>1864</v>
      </c>
      <c r="D3668" t="s">
        <v>1045</v>
      </c>
      <c r="E3668" t="s">
        <v>1047</v>
      </c>
      <c r="F3668" t="s">
        <v>92</v>
      </c>
      <c r="G3668">
        <v>4331.7866007745297</v>
      </c>
      <c r="H3668" t="s">
        <v>1270</v>
      </c>
      <c r="I3668">
        <v>2.5</v>
      </c>
      <c r="J3668">
        <v>0</v>
      </c>
      <c r="K3668">
        <v>0</v>
      </c>
      <c r="L3668">
        <v>0</v>
      </c>
      <c r="M3668" t="s">
        <v>187</v>
      </c>
      <c r="N3668">
        <v>12348.2124121283</v>
      </c>
      <c r="O3668" t="s">
        <v>12</v>
      </c>
      <c r="P3668" t="b">
        <v>0</v>
      </c>
      <c r="Q3668">
        <v>6659.399167667214</v>
      </c>
      <c r="R3668">
        <v>33427.853863530712</v>
      </c>
      <c r="S3668">
        <v>0.54166724455436466</v>
      </c>
      <c r="T3668">
        <v>-74.889178626988951</v>
      </c>
      <c r="U3668">
        <v>0</v>
      </c>
      <c r="V3668">
        <v>0</v>
      </c>
    </row>
    <row r="3669" spans="1:22" x14ac:dyDescent="0.2">
      <c r="A3669"/>
      <c r="B3669">
        <v>74498</v>
      </c>
      <c r="C3669" t="s">
        <v>1865</v>
      </c>
      <c r="D3669" t="s">
        <v>1045</v>
      </c>
      <c r="E3669" t="s">
        <v>1048</v>
      </c>
      <c r="F3669" t="s">
        <v>92</v>
      </c>
      <c r="G3669">
        <v>4515.0632917011308</v>
      </c>
      <c r="H3669" t="s">
        <v>12</v>
      </c>
      <c r="I3669">
        <v>-2.5</v>
      </c>
      <c r="J3669">
        <v>0</v>
      </c>
      <c r="K3669">
        <v>0</v>
      </c>
      <c r="L3669">
        <v>0</v>
      </c>
      <c r="M3669" t="s">
        <v>187</v>
      </c>
      <c r="N3669">
        <v>12531.489103054901</v>
      </c>
      <c r="O3669" t="s">
        <v>12</v>
      </c>
      <c r="P3669" t="b">
        <v>1</v>
      </c>
      <c r="Q3669">
        <v>6612.0294963523129</v>
      </c>
      <c r="R3669">
        <v>33604.889672952486</v>
      </c>
      <c r="S3669">
        <v>1.0814561530124525</v>
      </c>
      <c r="T3669">
        <v>105.15544526194127</v>
      </c>
      <c r="U3669">
        <v>0</v>
      </c>
      <c r="V3669">
        <v>0</v>
      </c>
    </row>
    <row r="3670" spans="1:22" x14ac:dyDescent="0.2">
      <c r="A3670"/>
      <c r="B3670">
        <v>74499</v>
      </c>
      <c r="C3670" t="s">
        <v>1866</v>
      </c>
      <c r="D3670" t="s">
        <v>1045</v>
      </c>
      <c r="E3670" t="s">
        <v>1048</v>
      </c>
      <c r="F3670" t="s">
        <v>92</v>
      </c>
      <c r="G3670">
        <v>4515.0632917011308</v>
      </c>
      <c r="H3670" t="s">
        <v>1270</v>
      </c>
      <c r="I3670">
        <v>2.5</v>
      </c>
      <c r="J3670">
        <v>0</v>
      </c>
      <c r="K3670">
        <v>0</v>
      </c>
      <c r="L3670">
        <v>0</v>
      </c>
      <c r="M3670" t="s">
        <v>187</v>
      </c>
      <c r="N3670">
        <v>12531.489103054901</v>
      </c>
      <c r="O3670" t="s">
        <v>12</v>
      </c>
      <c r="P3670" t="b">
        <v>0</v>
      </c>
      <c r="Q3670">
        <v>6612.0294963523129</v>
      </c>
      <c r="R3670">
        <v>33604.889672952486</v>
      </c>
      <c r="S3670">
        <v>1.0814561530124525</v>
      </c>
      <c r="T3670">
        <v>-74.844554738058733</v>
      </c>
      <c r="U3670">
        <v>0</v>
      </c>
      <c r="V3670">
        <v>0</v>
      </c>
    </row>
    <row r="3671" spans="1:22" x14ac:dyDescent="0.2">
      <c r="A3671"/>
      <c r="B3671">
        <v>74500</v>
      </c>
      <c r="C3671" t="s">
        <v>1867</v>
      </c>
      <c r="D3671" t="s">
        <v>1045</v>
      </c>
      <c r="E3671" t="s">
        <v>1048</v>
      </c>
      <c r="F3671" t="s">
        <v>92</v>
      </c>
      <c r="G3671">
        <v>4593.1953857337294</v>
      </c>
      <c r="H3671" t="s">
        <v>12</v>
      </c>
      <c r="I3671">
        <v>-2.5</v>
      </c>
      <c r="J3671">
        <v>0</v>
      </c>
      <c r="K3671">
        <v>0</v>
      </c>
      <c r="L3671">
        <v>0</v>
      </c>
      <c r="M3671" t="s">
        <v>187</v>
      </c>
      <c r="N3671">
        <v>12609.621197087499</v>
      </c>
      <c r="O3671" t="s">
        <v>12</v>
      </c>
      <c r="P3671" t="b">
        <v>1</v>
      </c>
      <c r="Q3671">
        <v>6591.1363081456775</v>
      </c>
      <c r="R3671">
        <v>33680.122924760391</v>
      </c>
      <c r="S3671">
        <v>2.2047251307253095</v>
      </c>
      <c r="T3671">
        <v>106.13077013764868</v>
      </c>
      <c r="U3671">
        <v>0</v>
      </c>
      <c r="V3671">
        <v>0</v>
      </c>
    </row>
    <row r="3672" spans="1:22" x14ac:dyDescent="0.2">
      <c r="A3672"/>
      <c r="B3672">
        <v>74501</v>
      </c>
      <c r="C3672" t="s">
        <v>1868</v>
      </c>
      <c r="D3672" t="s">
        <v>1045</v>
      </c>
      <c r="E3672" t="s">
        <v>1048</v>
      </c>
      <c r="F3672" t="s">
        <v>92</v>
      </c>
      <c r="G3672">
        <v>4593.1953857337294</v>
      </c>
      <c r="H3672" t="s">
        <v>1270</v>
      </c>
      <c r="I3672">
        <v>2.5</v>
      </c>
      <c r="J3672">
        <v>0</v>
      </c>
      <c r="K3672">
        <v>0</v>
      </c>
      <c r="L3672">
        <v>0</v>
      </c>
      <c r="M3672" t="s">
        <v>187</v>
      </c>
      <c r="N3672">
        <v>12609.621197087499</v>
      </c>
      <c r="O3672" t="s">
        <v>12</v>
      </c>
      <c r="P3672" t="b">
        <v>0</v>
      </c>
      <c r="Q3672">
        <v>6591.1363081456775</v>
      </c>
      <c r="R3672">
        <v>33680.122924760391</v>
      </c>
      <c r="S3672">
        <v>2.2047251307253095</v>
      </c>
      <c r="T3672">
        <v>-73.869229862351332</v>
      </c>
      <c r="U3672">
        <v>0</v>
      </c>
      <c r="V3672">
        <v>0</v>
      </c>
    </row>
    <row r="3673" spans="1:22" x14ac:dyDescent="0.2">
      <c r="A3673"/>
      <c r="B3673">
        <v>74502</v>
      </c>
      <c r="C3673" t="s">
        <v>1869</v>
      </c>
      <c r="D3673" t="s">
        <v>1045</v>
      </c>
      <c r="E3673" t="s">
        <v>1048</v>
      </c>
      <c r="F3673" t="s">
        <v>92</v>
      </c>
      <c r="G3673">
        <v>4656.8004070064299</v>
      </c>
      <c r="H3673" t="s">
        <v>12</v>
      </c>
      <c r="I3673">
        <v>-2.5</v>
      </c>
      <c r="J3673">
        <v>0</v>
      </c>
      <c r="K3673">
        <v>0</v>
      </c>
      <c r="L3673">
        <v>0</v>
      </c>
      <c r="M3673" t="s">
        <v>187</v>
      </c>
      <c r="N3673">
        <v>12673.2262183602</v>
      </c>
      <c r="O3673" t="s">
        <v>12</v>
      </c>
      <c r="P3673" t="b">
        <v>1</v>
      </c>
      <c r="Q3673">
        <v>6573.2140775717035</v>
      </c>
      <c r="R3673">
        <v>33741.138069917237</v>
      </c>
      <c r="S3673">
        <v>3.1319199116282466</v>
      </c>
      <c r="T3673">
        <v>106.25247887079304</v>
      </c>
      <c r="U3673">
        <v>0</v>
      </c>
      <c r="V3673">
        <v>0</v>
      </c>
    </row>
    <row r="3674" spans="1:22" x14ac:dyDescent="0.2">
      <c r="A3674"/>
      <c r="B3674">
        <v>74503</v>
      </c>
      <c r="C3674" t="s">
        <v>1870</v>
      </c>
      <c r="D3674" t="s">
        <v>1045</v>
      </c>
      <c r="E3674" t="s">
        <v>1048</v>
      </c>
      <c r="F3674" t="s">
        <v>92</v>
      </c>
      <c r="G3674">
        <v>4656.8004070064299</v>
      </c>
      <c r="H3674" t="s">
        <v>1270</v>
      </c>
      <c r="I3674">
        <v>2.5</v>
      </c>
      <c r="J3674">
        <v>0</v>
      </c>
      <c r="K3674">
        <v>0</v>
      </c>
      <c r="L3674">
        <v>0</v>
      </c>
      <c r="M3674" t="s">
        <v>187</v>
      </c>
      <c r="N3674">
        <v>12673.2262183602</v>
      </c>
      <c r="O3674" t="s">
        <v>12</v>
      </c>
      <c r="P3674" t="b">
        <v>0</v>
      </c>
      <c r="Q3674">
        <v>6573.2140775717035</v>
      </c>
      <c r="R3674">
        <v>33741.138069917237</v>
      </c>
      <c r="S3674">
        <v>3.1319199116282466</v>
      </c>
      <c r="T3674">
        <v>-73.747521129206973</v>
      </c>
      <c r="U3674">
        <v>0</v>
      </c>
      <c r="V3674">
        <v>0</v>
      </c>
    </row>
    <row r="3675" spans="1:22" x14ac:dyDescent="0.2">
      <c r="A3675"/>
      <c r="B3675">
        <v>74504</v>
      </c>
      <c r="C3675" t="s">
        <v>1871</v>
      </c>
      <c r="D3675" t="s">
        <v>1045</v>
      </c>
      <c r="E3675" t="s">
        <v>1048</v>
      </c>
      <c r="F3675" t="s">
        <v>92</v>
      </c>
      <c r="G3675">
        <v>4734.3631968362306</v>
      </c>
      <c r="H3675" t="s">
        <v>12</v>
      </c>
      <c r="I3675">
        <v>-2.5</v>
      </c>
      <c r="J3675">
        <v>0</v>
      </c>
      <c r="K3675">
        <v>0</v>
      </c>
      <c r="L3675">
        <v>0</v>
      </c>
      <c r="M3675" t="s">
        <v>187</v>
      </c>
      <c r="N3675">
        <v>12750.78900819</v>
      </c>
      <c r="O3675" t="s">
        <v>12</v>
      </c>
      <c r="P3675" t="b">
        <v>1</v>
      </c>
      <c r="Q3675">
        <v>6552.4795668726711</v>
      </c>
      <c r="R3675">
        <v>33815.927544607854</v>
      </c>
      <c r="S3675">
        <v>4.2250765081553556</v>
      </c>
      <c r="T3675">
        <v>104.93116261563837</v>
      </c>
      <c r="U3675">
        <v>0</v>
      </c>
      <c r="V3675">
        <v>0</v>
      </c>
    </row>
    <row r="3676" spans="1:22" x14ac:dyDescent="0.2">
      <c r="A3676"/>
      <c r="B3676">
        <v>74505</v>
      </c>
      <c r="C3676" t="s">
        <v>1872</v>
      </c>
      <c r="D3676" t="s">
        <v>1045</v>
      </c>
      <c r="E3676" t="s">
        <v>1048</v>
      </c>
      <c r="F3676" t="s">
        <v>92</v>
      </c>
      <c r="G3676">
        <v>4734.3631968362306</v>
      </c>
      <c r="H3676" t="s">
        <v>1270</v>
      </c>
      <c r="I3676">
        <v>2.5</v>
      </c>
      <c r="J3676">
        <v>0</v>
      </c>
      <c r="K3676">
        <v>0</v>
      </c>
      <c r="L3676">
        <v>0</v>
      </c>
      <c r="M3676" t="s">
        <v>187</v>
      </c>
      <c r="N3676">
        <v>12750.78900819</v>
      </c>
      <c r="O3676" t="s">
        <v>12</v>
      </c>
      <c r="P3676" t="b">
        <v>0</v>
      </c>
      <c r="Q3676">
        <v>6552.4795668726711</v>
      </c>
      <c r="R3676">
        <v>33815.927544607854</v>
      </c>
      <c r="S3676">
        <v>4.2250765081553556</v>
      </c>
      <c r="T3676">
        <v>-75.068837384361629</v>
      </c>
      <c r="U3676">
        <v>0</v>
      </c>
      <c r="V3676">
        <v>0</v>
      </c>
    </row>
    <row r="3677" spans="1:22" x14ac:dyDescent="0.2">
      <c r="A3677"/>
      <c r="B3677">
        <v>74506</v>
      </c>
      <c r="C3677" t="s">
        <v>1873</v>
      </c>
      <c r="D3677" t="s">
        <v>1045</v>
      </c>
      <c r="E3677" t="s">
        <v>1050</v>
      </c>
      <c r="F3677" t="s">
        <v>92</v>
      </c>
      <c r="G3677">
        <v>5119.1441287672305</v>
      </c>
      <c r="H3677" t="s">
        <v>12</v>
      </c>
      <c r="I3677">
        <v>-2.5</v>
      </c>
      <c r="J3677">
        <v>0</v>
      </c>
      <c r="K3677">
        <v>0</v>
      </c>
      <c r="L3677">
        <v>0</v>
      </c>
      <c r="M3677" t="s">
        <v>187</v>
      </c>
      <c r="N3677">
        <v>13135.569940121</v>
      </c>
      <c r="O3677" t="s">
        <v>12</v>
      </c>
      <c r="P3677" t="b">
        <v>1</v>
      </c>
      <c r="Q3677">
        <v>6453.1517120987619</v>
      </c>
      <c r="R3677">
        <v>34187.667265357573</v>
      </c>
      <c r="S3677">
        <v>5.166920666561448</v>
      </c>
      <c r="T3677">
        <v>104.81095456691017</v>
      </c>
      <c r="U3677">
        <v>0</v>
      </c>
      <c r="V3677">
        <v>0</v>
      </c>
    </row>
    <row r="3678" spans="1:22" x14ac:dyDescent="0.2">
      <c r="A3678"/>
      <c r="B3678">
        <v>74507</v>
      </c>
      <c r="C3678" t="s">
        <v>1874</v>
      </c>
      <c r="D3678" t="s">
        <v>1045</v>
      </c>
      <c r="E3678" t="s">
        <v>1048</v>
      </c>
      <c r="F3678" t="s">
        <v>92</v>
      </c>
      <c r="G3678">
        <v>5119.1441287672305</v>
      </c>
      <c r="H3678" t="s">
        <v>1270</v>
      </c>
      <c r="I3678">
        <v>2.5</v>
      </c>
      <c r="J3678">
        <v>0</v>
      </c>
      <c r="K3678">
        <v>0</v>
      </c>
      <c r="L3678">
        <v>0</v>
      </c>
      <c r="M3678" t="s">
        <v>187</v>
      </c>
      <c r="N3678">
        <v>13135.569940121</v>
      </c>
      <c r="O3678" t="s">
        <v>12</v>
      </c>
      <c r="P3678" t="b">
        <v>0</v>
      </c>
      <c r="Q3678">
        <v>6453.1517120987619</v>
      </c>
      <c r="R3678">
        <v>34187.667265357573</v>
      </c>
      <c r="S3678">
        <v>5.166920666561448</v>
      </c>
      <c r="T3678">
        <v>-75.189045433089831</v>
      </c>
      <c r="U3678">
        <v>0</v>
      </c>
      <c r="V3678">
        <v>0</v>
      </c>
    </row>
    <row r="3679" spans="1:22" x14ac:dyDescent="0.2">
      <c r="A3679"/>
      <c r="B3679">
        <v>74508</v>
      </c>
      <c r="C3679" t="s">
        <v>1875</v>
      </c>
      <c r="D3679" t="s">
        <v>1045</v>
      </c>
      <c r="E3679" t="s">
        <v>1048</v>
      </c>
      <c r="F3679" t="s">
        <v>92</v>
      </c>
      <c r="G3679">
        <v>5349.2608137545294</v>
      </c>
      <c r="H3679" t="s">
        <v>12</v>
      </c>
      <c r="I3679">
        <v>-2.5</v>
      </c>
      <c r="J3679">
        <v>0</v>
      </c>
      <c r="K3679">
        <v>0</v>
      </c>
      <c r="L3679">
        <v>0</v>
      </c>
      <c r="M3679" t="s">
        <v>187</v>
      </c>
      <c r="N3679">
        <v>13365.686625108299</v>
      </c>
      <c r="O3679" t="s">
        <v>12</v>
      </c>
      <c r="P3679" t="b">
        <v>1</v>
      </c>
      <c r="Q3679">
        <v>6429.8271160129061</v>
      </c>
      <c r="R3679">
        <v>34415.906789148554</v>
      </c>
      <c r="S3679">
        <v>4.0613336497996269</v>
      </c>
      <c r="T3679">
        <v>87.649758750576353</v>
      </c>
      <c r="U3679">
        <v>0</v>
      </c>
      <c r="V3679">
        <v>0</v>
      </c>
    </row>
    <row r="3680" spans="1:22" x14ac:dyDescent="0.2">
      <c r="A3680"/>
      <c r="B3680">
        <v>74509</v>
      </c>
      <c r="C3680" t="s">
        <v>1876</v>
      </c>
      <c r="D3680" t="s">
        <v>1045</v>
      </c>
      <c r="E3680" t="s">
        <v>1050</v>
      </c>
      <c r="F3680" t="s">
        <v>92</v>
      </c>
      <c r="G3680">
        <v>5349.2608137545294</v>
      </c>
      <c r="H3680" t="s">
        <v>1270</v>
      </c>
      <c r="I3680">
        <v>2.5</v>
      </c>
      <c r="J3680">
        <v>0</v>
      </c>
      <c r="K3680">
        <v>0</v>
      </c>
      <c r="L3680">
        <v>0</v>
      </c>
      <c r="M3680" t="s">
        <v>187</v>
      </c>
      <c r="N3680">
        <v>13365.686625108299</v>
      </c>
      <c r="O3680" t="s">
        <v>12</v>
      </c>
      <c r="P3680" t="b">
        <v>0</v>
      </c>
      <c r="Q3680">
        <v>6429.8271160129061</v>
      </c>
      <c r="R3680">
        <v>34415.906789148554</v>
      </c>
      <c r="S3680">
        <v>4.0613336497996269</v>
      </c>
      <c r="T3680">
        <v>-92.350241249423661</v>
      </c>
      <c r="U3680">
        <v>0</v>
      </c>
      <c r="V3680">
        <v>0</v>
      </c>
    </row>
    <row r="3681" spans="1:22" x14ac:dyDescent="0.2">
      <c r="A3681"/>
      <c r="B3681">
        <v>74510</v>
      </c>
      <c r="C3681" t="s">
        <v>1877</v>
      </c>
      <c r="D3681" t="s">
        <v>1045</v>
      </c>
      <c r="E3681" t="s">
        <v>1048</v>
      </c>
      <c r="F3681" t="s">
        <v>92</v>
      </c>
      <c r="G3681">
        <v>5693.5131758035304</v>
      </c>
      <c r="H3681" t="s">
        <v>12</v>
      </c>
      <c r="I3681">
        <v>-2.5</v>
      </c>
      <c r="J3681">
        <v>0</v>
      </c>
      <c r="K3681">
        <v>0</v>
      </c>
      <c r="L3681">
        <v>0</v>
      </c>
      <c r="M3681" t="s">
        <v>187</v>
      </c>
      <c r="N3681">
        <v>13709.9389871573</v>
      </c>
      <c r="O3681" t="s">
        <v>12</v>
      </c>
      <c r="P3681" t="b">
        <v>1</v>
      </c>
      <c r="Q3681">
        <v>6445.5554834848499</v>
      </c>
      <c r="R3681">
        <v>34759.740570975569</v>
      </c>
      <c r="S3681">
        <v>-2.0692483490121134</v>
      </c>
      <c r="T3681">
        <v>87.605459641358834</v>
      </c>
      <c r="U3681">
        <v>0</v>
      </c>
      <c r="V3681">
        <v>0</v>
      </c>
    </row>
    <row r="3682" spans="1:22" x14ac:dyDescent="0.2">
      <c r="A3682"/>
      <c r="B3682">
        <v>74511</v>
      </c>
      <c r="C3682" t="s">
        <v>1878</v>
      </c>
      <c r="D3682" t="s">
        <v>1045</v>
      </c>
      <c r="E3682" t="s">
        <v>1048</v>
      </c>
      <c r="F3682" t="s">
        <v>92</v>
      </c>
      <c r="G3682">
        <v>5693.5131758035304</v>
      </c>
      <c r="H3682" t="s">
        <v>1270</v>
      </c>
      <c r="I3682">
        <v>2.5</v>
      </c>
      <c r="J3682">
        <v>0</v>
      </c>
      <c r="K3682">
        <v>0</v>
      </c>
      <c r="L3682">
        <v>0</v>
      </c>
      <c r="M3682" t="s">
        <v>187</v>
      </c>
      <c r="N3682">
        <v>13709.9389871573</v>
      </c>
      <c r="O3682" t="s">
        <v>12</v>
      </c>
      <c r="P3682" t="b">
        <v>0</v>
      </c>
      <c r="Q3682">
        <v>6445.5554834848499</v>
      </c>
      <c r="R3682">
        <v>34759.740570975569</v>
      </c>
      <c r="S3682">
        <v>-2.0692483490121134</v>
      </c>
      <c r="T3682">
        <v>-92.39454035864118</v>
      </c>
      <c r="U3682">
        <v>0</v>
      </c>
      <c r="V3682">
        <v>0</v>
      </c>
    </row>
    <row r="3683" spans="1:22" x14ac:dyDescent="0.2">
      <c r="A3683"/>
      <c r="B3683">
        <v>74512</v>
      </c>
      <c r="C3683" t="s">
        <v>1879</v>
      </c>
      <c r="D3683" t="s">
        <v>1045</v>
      </c>
      <c r="E3683" t="s">
        <v>1048</v>
      </c>
      <c r="F3683" t="s">
        <v>92</v>
      </c>
      <c r="G3683">
        <v>5770.5753705585294</v>
      </c>
      <c r="H3683" t="s">
        <v>12</v>
      </c>
      <c r="I3683">
        <v>-2.5</v>
      </c>
      <c r="J3683">
        <v>0</v>
      </c>
      <c r="K3683">
        <v>0</v>
      </c>
      <c r="L3683">
        <v>0</v>
      </c>
      <c r="M3683" t="s">
        <v>187</v>
      </c>
      <c r="N3683">
        <v>13787.001181912299</v>
      </c>
      <c r="O3683" t="s">
        <v>12</v>
      </c>
      <c r="P3683" t="b">
        <v>1</v>
      </c>
      <c r="Q3683">
        <v>6448.6529106409889</v>
      </c>
      <c r="R3683">
        <v>34836.732774404882</v>
      </c>
      <c r="S3683">
        <v>-2.0414747997854241</v>
      </c>
      <c r="T3683">
        <v>87.781344882855919</v>
      </c>
      <c r="U3683">
        <v>0</v>
      </c>
      <c r="V3683">
        <v>0</v>
      </c>
    </row>
    <row r="3684" spans="1:22" x14ac:dyDescent="0.2">
      <c r="A3684"/>
      <c r="B3684">
        <v>74513</v>
      </c>
      <c r="C3684" t="s">
        <v>1880</v>
      </c>
      <c r="D3684" t="s">
        <v>1045</v>
      </c>
      <c r="E3684" t="s">
        <v>1048</v>
      </c>
      <c r="F3684" t="s">
        <v>92</v>
      </c>
      <c r="G3684">
        <v>5770.5753705585294</v>
      </c>
      <c r="H3684" t="s">
        <v>1270</v>
      </c>
      <c r="I3684">
        <v>2.5</v>
      </c>
      <c r="J3684">
        <v>0</v>
      </c>
      <c r="K3684">
        <v>0</v>
      </c>
      <c r="L3684">
        <v>0</v>
      </c>
      <c r="M3684" t="s">
        <v>187</v>
      </c>
      <c r="N3684">
        <v>13787.001181912299</v>
      </c>
      <c r="O3684" t="s">
        <v>12</v>
      </c>
      <c r="P3684" t="b">
        <v>0</v>
      </c>
      <c r="Q3684">
        <v>6448.6529106409889</v>
      </c>
      <c r="R3684">
        <v>34836.732774404882</v>
      </c>
      <c r="S3684">
        <v>-2.0414747997854241</v>
      </c>
      <c r="T3684">
        <v>-92.218655117144081</v>
      </c>
      <c r="U3684">
        <v>0</v>
      </c>
      <c r="V3684">
        <v>0</v>
      </c>
    </row>
    <row r="3685" spans="1:22" x14ac:dyDescent="0.2">
      <c r="A3685"/>
      <c r="B3685">
        <v>74514</v>
      </c>
      <c r="C3685" t="s">
        <v>1881</v>
      </c>
      <c r="D3685" t="s">
        <v>1045</v>
      </c>
      <c r="E3685" t="s">
        <v>1050</v>
      </c>
      <c r="F3685" t="s">
        <v>92</v>
      </c>
      <c r="G3685">
        <v>6135.5484424696306</v>
      </c>
      <c r="H3685" t="s">
        <v>12</v>
      </c>
      <c r="I3685">
        <v>-2.5</v>
      </c>
      <c r="J3685">
        <v>0</v>
      </c>
      <c r="K3685">
        <v>0</v>
      </c>
      <c r="L3685">
        <v>0</v>
      </c>
      <c r="M3685" t="s">
        <v>187</v>
      </c>
      <c r="N3685">
        <v>14151.9742538234</v>
      </c>
      <c r="O3685" t="s">
        <v>12</v>
      </c>
      <c r="P3685" t="b">
        <v>1</v>
      </c>
      <c r="Q3685">
        <v>6461.5944966052948</v>
      </c>
      <c r="R3685">
        <v>35201.474342823058</v>
      </c>
      <c r="S3685">
        <v>-2.0485988193452629</v>
      </c>
      <c r="T3685">
        <v>87.817052388014801</v>
      </c>
      <c r="U3685">
        <v>0</v>
      </c>
      <c r="V3685">
        <v>0</v>
      </c>
    </row>
    <row r="3686" spans="1:22" x14ac:dyDescent="0.2">
      <c r="A3686"/>
      <c r="B3686">
        <v>74515</v>
      </c>
      <c r="C3686" t="s">
        <v>1882</v>
      </c>
      <c r="D3686" t="s">
        <v>1045</v>
      </c>
      <c r="E3686" t="s">
        <v>1048</v>
      </c>
      <c r="F3686" t="s">
        <v>92</v>
      </c>
      <c r="G3686">
        <v>6135.5484424696306</v>
      </c>
      <c r="H3686" t="s">
        <v>1270</v>
      </c>
      <c r="I3686">
        <v>2.5</v>
      </c>
      <c r="J3686">
        <v>0</v>
      </c>
      <c r="K3686">
        <v>0</v>
      </c>
      <c r="L3686">
        <v>0</v>
      </c>
      <c r="M3686" t="s">
        <v>187</v>
      </c>
      <c r="N3686">
        <v>14151.9742538234</v>
      </c>
      <c r="O3686" t="s">
        <v>12</v>
      </c>
      <c r="P3686" t="b">
        <v>0</v>
      </c>
      <c r="Q3686">
        <v>6461.5944966052948</v>
      </c>
      <c r="R3686">
        <v>35201.474342823058</v>
      </c>
      <c r="S3686">
        <v>-2.0485988193452629</v>
      </c>
      <c r="T3686">
        <v>-92.182947611985213</v>
      </c>
      <c r="U3686">
        <v>0</v>
      </c>
      <c r="V3686">
        <v>0</v>
      </c>
    </row>
    <row r="3687" spans="1:22" x14ac:dyDescent="0.2">
      <c r="A3687"/>
      <c r="B3687">
        <v>74516</v>
      </c>
      <c r="C3687" t="s">
        <v>1883</v>
      </c>
      <c r="D3687" t="s">
        <v>1045</v>
      </c>
      <c r="E3687" t="s">
        <v>1048</v>
      </c>
      <c r="F3687" t="s">
        <v>92</v>
      </c>
      <c r="G3687">
        <v>6279.1210730493303</v>
      </c>
      <c r="H3687" t="s">
        <v>12</v>
      </c>
      <c r="I3687">
        <v>-2.5</v>
      </c>
      <c r="J3687">
        <v>0</v>
      </c>
      <c r="K3687">
        <v>0</v>
      </c>
      <c r="L3687">
        <v>0</v>
      </c>
      <c r="M3687" t="s">
        <v>187</v>
      </c>
      <c r="N3687">
        <v>14295.5468844031</v>
      </c>
      <c r="O3687" t="s">
        <v>12</v>
      </c>
      <c r="P3687" t="b">
        <v>1</v>
      </c>
      <c r="Q3687">
        <v>6480.4387772622367</v>
      </c>
      <c r="R3687">
        <v>35343.932026599905</v>
      </c>
      <c r="S3687">
        <v>-3.6460864698503923</v>
      </c>
      <c r="T3687">
        <v>77.134855052920486</v>
      </c>
      <c r="U3687">
        <v>0</v>
      </c>
      <c r="V3687">
        <v>0</v>
      </c>
    </row>
    <row r="3688" spans="1:22" x14ac:dyDescent="0.2">
      <c r="A3688"/>
      <c r="B3688">
        <v>74517</v>
      </c>
      <c r="C3688" t="s">
        <v>1884</v>
      </c>
      <c r="D3688" t="s">
        <v>1045</v>
      </c>
      <c r="E3688" t="s">
        <v>1050</v>
      </c>
      <c r="F3688" t="s">
        <v>92</v>
      </c>
      <c r="G3688">
        <v>6279.1210730493303</v>
      </c>
      <c r="H3688" t="s">
        <v>1270</v>
      </c>
      <c r="I3688">
        <v>2.5</v>
      </c>
      <c r="J3688">
        <v>0</v>
      </c>
      <c r="K3688">
        <v>0</v>
      </c>
      <c r="L3688">
        <v>0</v>
      </c>
      <c r="M3688" t="s">
        <v>187</v>
      </c>
      <c r="N3688">
        <v>14295.5468844031</v>
      </c>
      <c r="O3688" t="s">
        <v>12</v>
      </c>
      <c r="P3688" t="b">
        <v>0</v>
      </c>
      <c r="Q3688">
        <v>6480.4387772622367</v>
      </c>
      <c r="R3688">
        <v>35343.932026599905</v>
      </c>
      <c r="S3688">
        <v>-3.6460864698503923</v>
      </c>
      <c r="T3688">
        <v>-102.86514494707953</v>
      </c>
      <c r="U3688">
        <v>0</v>
      </c>
      <c r="V3688">
        <v>0</v>
      </c>
    </row>
    <row r="3689" spans="1:22" x14ac:dyDescent="0.2">
      <c r="A3689"/>
      <c r="B3689">
        <v>74518</v>
      </c>
      <c r="C3689" t="s">
        <v>1885</v>
      </c>
      <c r="D3689" t="s">
        <v>1045</v>
      </c>
      <c r="E3689" t="s">
        <v>1048</v>
      </c>
      <c r="F3689" t="s">
        <v>92</v>
      </c>
      <c r="G3689">
        <v>6322.7415536876297</v>
      </c>
      <c r="H3689" t="s">
        <v>12</v>
      </c>
      <c r="I3689">
        <v>-2.5</v>
      </c>
      <c r="J3689">
        <v>0</v>
      </c>
      <c r="K3689">
        <v>0</v>
      </c>
      <c r="L3689">
        <v>0</v>
      </c>
      <c r="M3689" t="s">
        <v>187</v>
      </c>
      <c r="N3689">
        <v>14339.1673650414</v>
      </c>
      <c r="O3689" t="s">
        <v>12</v>
      </c>
      <c r="P3689" t="b">
        <v>1</v>
      </c>
      <c r="Q3689">
        <v>6490.2930962208129</v>
      </c>
      <c r="R3689">
        <v>35386.419142883977</v>
      </c>
      <c r="S3689">
        <v>-4.5210515824485391</v>
      </c>
      <c r="T3689">
        <v>77.0599821035551</v>
      </c>
      <c r="U3689">
        <v>0</v>
      </c>
      <c r="V3689">
        <v>0</v>
      </c>
    </row>
    <row r="3690" spans="1:22" x14ac:dyDescent="0.2">
      <c r="A3690"/>
      <c r="B3690">
        <v>74519</v>
      </c>
      <c r="C3690" t="s">
        <v>1886</v>
      </c>
      <c r="D3690" t="s">
        <v>1045</v>
      </c>
      <c r="E3690" t="s">
        <v>1048</v>
      </c>
      <c r="F3690" t="s">
        <v>92</v>
      </c>
      <c r="G3690">
        <v>6322.7415536876297</v>
      </c>
      <c r="H3690" t="s">
        <v>1270</v>
      </c>
      <c r="I3690">
        <v>2.5</v>
      </c>
      <c r="J3690">
        <v>0</v>
      </c>
      <c r="K3690">
        <v>0</v>
      </c>
      <c r="L3690">
        <v>0</v>
      </c>
      <c r="M3690" t="s">
        <v>187</v>
      </c>
      <c r="N3690">
        <v>14339.1673650414</v>
      </c>
      <c r="O3690" t="s">
        <v>12</v>
      </c>
      <c r="P3690" t="b">
        <v>0</v>
      </c>
      <c r="Q3690">
        <v>6490.2930962208129</v>
      </c>
      <c r="R3690">
        <v>35386.419142883977</v>
      </c>
      <c r="S3690">
        <v>-4.5210515824485391</v>
      </c>
      <c r="T3690">
        <v>-102.94001789644491</v>
      </c>
      <c r="U3690">
        <v>0</v>
      </c>
      <c r="V3690">
        <v>0</v>
      </c>
    </row>
    <row r="3691" spans="1:22" x14ac:dyDescent="0.2">
      <c r="A3691"/>
      <c r="B3691">
        <v>74520</v>
      </c>
      <c r="C3691" t="s">
        <v>1887</v>
      </c>
      <c r="D3691" t="s">
        <v>1045</v>
      </c>
      <c r="E3691" t="s">
        <v>1048</v>
      </c>
      <c r="F3691" t="s">
        <v>92</v>
      </c>
      <c r="G3691">
        <v>6402.4048797137302</v>
      </c>
      <c r="H3691" t="s">
        <v>12</v>
      </c>
      <c r="I3691">
        <v>-2.5</v>
      </c>
      <c r="J3691">
        <v>0</v>
      </c>
      <c r="K3691">
        <v>0</v>
      </c>
      <c r="L3691">
        <v>0</v>
      </c>
      <c r="M3691" t="s">
        <v>187</v>
      </c>
      <c r="N3691">
        <v>14418.8306910675</v>
      </c>
      <c r="O3691" t="s">
        <v>12</v>
      </c>
      <c r="P3691" t="b">
        <v>1</v>
      </c>
      <c r="Q3691">
        <v>6506.8329123672711</v>
      </c>
      <c r="R3691">
        <v>35464.262518384254</v>
      </c>
      <c r="S3691">
        <v>-6.1133258697684765</v>
      </c>
      <c r="T3691">
        <v>78.521057004160895</v>
      </c>
      <c r="U3691">
        <v>0</v>
      </c>
      <c r="V3691">
        <v>0</v>
      </c>
    </row>
    <row r="3692" spans="1:22" x14ac:dyDescent="0.2">
      <c r="A3692"/>
      <c r="B3692">
        <v>74521</v>
      </c>
      <c r="C3692" t="s">
        <v>1888</v>
      </c>
      <c r="D3692" t="s">
        <v>1045</v>
      </c>
      <c r="E3692" t="s">
        <v>1048</v>
      </c>
      <c r="F3692" t="s">
        <v>92</v>
      </c>
      <c r="G3692">
        <v>6402.4048797137302</v>
      </c>
      <c r="H3692" t="s">
        <v>1270</v>
      </c>
      <c r="I3692">
        <v>2.5</v>
      </c>
      <c r="J3692">
        <v>0</v>
      </c>
      <c r="K3692">
        <v>0</v>
      </c>
      <c r="L3692">
        <v>0</v>
      </c>
      <c r="M3692" t="s">
        <v>187</v>
      </c>
      <c r="N3692">
        <v>14418.8306910675</v>
      </c>
      <c r="O3692" t="s">
        <v>12</v>
      </c>
      <c r="P3692" t="b">
        <v>0</v>
      </c>
      <c r="Q3692">
        <v>6506.8329123672711</v>
      </c>
      <c r="R3692">
        <v>35464.262518384254</v>
      </c>
      <c r="S3692">
        <v>-6.1133258697684765</v>
      </c>
      <c r="T3692">
        <v>-101.47894299583911</v>
      </c>
      <c r="U3692">
        <v>0</v>
      </c>
      <c r="V3692">
        <v>0</v>
      </c>
    </row>
    <row r="3693" spans="1:22" x14ac:dyDescent="0.2">
      <c r="A3693"/>
      <c r="B3693">
        <v>74522</v>
      </c>
      <c r="C3693" t="s">
        <v>1889</v>
      </c>
      <c r="D3693" t="s">
        <v>1045</v>
      </c>
      <c r="E3693" t="s">
        <v>1048</v>
      </c>
      <c r="F3693" t="s">
        <v>92</v>
      </c>
      <c r="G3693">
        <v>6622.6961594088298</v>
      </c>
      <c r="H3693" t="s">
        <v>12</v>
      </c>
      <c r="I3693">
        <v>-2.5</v>
      </c>
      <c r="J3693">
        <v>0</v>
      </c>
      <c r="K3693">
        <v>0</v>
      </c>
      <c r="L3693">
        <v>0</v>
      </c>
      <c r="M3693" t="s">
        <v>187</v>
      </c>
      <c r="N3693">
        <v>14639.121970762601</v>
      </c>
      <c r="O3693" t="s">
        <v>12</v>
      </c>
      <c r="P3693" t="b">
        <v>1</v>
      </c>
      <c r="Q3693">
        <v>6549.9492105587497</v>
      </c>
      <c r="R3693">
        <v>35680.287012632136</v>
      </c>
      <c r="S3693">
        <v>-5.9617589739761288</v>
      </c>
      <c r="T3693">
        <v>78.45980481644709</v>
      </c>
      <c r="U3693">
        <v>0</v>
      </c>
      <c r="V3693">
        <v>0</v>
      </c>
    </row>
    <row r="3694" spans="1:22" x14ac:dyDescent="0.2">
      <c r="A3694"/>
      <c r="B3694">
        <v>74523</v>
      </c>
      <c r="C3694" t="s">
        <v>1890</v>
      </c>
      <c r="D3694" t="s">
        <v>1045</v>
      </c>
      <c r="E3694" t="s">
        <v>1048</v>
      </c>
      <c r="F3694" t="s">
        <v>92</v>
      </c>
      <c r="G3694">
        <v>6622.6961594088298</v>
      </c>
      <c r="H3694" t="s">
        <v>1270</v>
      </c>
      <c r="I3694">
        <v>2.5</v>
      </c>
      <c r="J3694">
        <v>0</v>
      </c>
      <c r="K3694">
        <v>0</v>
      </c>
      <c r="L3694">
        <v>0</v>
      </c>
      <c r="M3694" t="s">
        <v>187</v>
      </c>
      <c r="N3694">
        <v>14639.121970762601</v>
      </c>
      <c r="O3694" t="s">
        <v>12</v>
      </c>
      <c r="P3694" t="b">
        <v>0</v>
      </c>
      <c r="Q3694">
        <v>6549.9492105587497</v>
      </c>
      <c r="R3694">
        <v>35680.287012632136</v>
      </c>
      <c r="S3694">
        <v>-5.9617589739761288</v>
      </c>
      <c r="T3694">
        <v>-101.54019518355294</v>
      </c>
      <c r="U3694">
        <v>0</v>
      </c>
      <c r="V3694">
        <v>0</v>
      </c>
    </row>
    <row r="3695" spans="1:22" x14ac:dyDescent="0.2">
      <c r="A3695"/>
      <c r="B3695">
        <v>74524</v>
      </c>
      <c r="C3695" t="s">
        <v>1891</v>
      </c>
      <c r="D3695" t="s">
        <v>1045</v>
      </c>
      <c r="E3695" t="s">
        <v>1051</v>
      </c>
      <c r="F3695" t="s">
        <v>92</v>
      </c>
      <c r="G3695">
        <v>6697.8344985820313</v>
      </c>
      <c r="H3695" t="s">
        <v>12</v>
      </c>
      <c r="I3695">
        <v>-2.5</v>
      </c>
      <c r="J3695">
        <v>0</v>
      </c>
      <c r="K3695">
        <v>0</v>
      </c>
      <c r="L3695">
        <v>0</v>
      </c>
      <c r="M3695" t="s">
        <v>187</v>
      </c>
      <c r="N3695">
        <v>14714.2603099358</v>
      </c>
      <c r="O3695" t="s">
        <v>12</v>
      </c>
      <c r="P3695" t="b">
        <v>1</v>
      </c>
      <c r="Q3695">
        <v>6565.7217593563664</v>
      </c>
      <c r="R3695">
        <v>35753.800839309981</v>
      </c>
      <c r="S3695">
        <v>-5.2740698811186943</v>
      </c>
      <c r="T3695">
        <v>77.229633936133851</v>
      </c>
      <c r="U3695">
        <v>0</v>
      </c>
      <c r="V3695">
        <v>0</v>
      </c>
    </row>
    <row r="3696" spans="1:22" x14ac:dyDescent="0.2">
      <c r="A3696"/>
      <c r="B3696">
        <v>74525</v>
      </c>
      <c r="C3696" t="s">
        <v>1892</v>
      </c>
      <c r="D3696" t="s">
        <v>1045</v>
      </c>
      <c r="E3696" t="s">
        <v>1048</v>
      </c>
      <c r="F3696" t="s">
        <v>92</v>
      </c>
      <c r="G3696">
        <v>6697.8344985820313</v>
      </c>
      <c r="H3696" t="s">
        <v>1270</v>
      </c>
      <c r="I3696">
        <v>2.5</v>
      </c>
      <c r="J3696">
        <v>0</v>
      </c>
      <c r="K3696">
        <v>0</v>
      </c>
      <c r="L3696">
        <v>0</v>
      </c>
      <c r="M3696" t="s">
        <v>187</v>
      </c>
      <c r="N3696">
        <v>14714.2603099358</v>
      </c>
      <c r="O3696" t="s">
        <v>12</v>
      </c>
      <c r="P3696" t="b">
        <v>0</v>
      </c>
      <c r="Q3696">
        <v>6565.7217593563664</v>
      </c>
      <c r="R3696">
        <v>35753.800839309981</v>
      </c>
      <c r="S3696">
        <v>-5.2740698811186943</v>
      </c>
      <c r="T3696">
        <v>-102.77036606386618</v>
      </c>
      <c r="U3696">
        <v>0</v>
      </c>
      <c r="V3696">
        <v>0</v>
      </c>
    </row>
    <row r="3697" spans="1:22" x14ac:dyDescent="0.2">
      <c r="A3697"/>
      <c r="B3697">
        <v>74526</v>
      </c>
      <c r="C3697" t="s">
        <v>1893</v>
      </c>
      <c r="D3697" t="s">
        <v>1045</v>
      </c>
      <c r="E3697" t="s">
        <v>1047</v>
      </c>
      <c r="F3697" t="s">
        <v>92</v>
      </c>
      <c r="G3697">
        <v>6807.4550043805302</v>
      </c>
      <c r="H3697" t="s">
        <v>12</v>
      </c>
      <c r="I3697">
        <v>-2.5</v>
      </c>
      <c r="J3697">
        <v>0</v>
      </c>
      <c r="K3697">
        <v>0</v>
      </c>
      <c r="L3697">
        <v>0</v>
      </c>
      <c r="M3697" t="s">
        <v>187</v>
      </c>
      <c r="N3697">
        <v>14823.880815734299</v>
      </c>
      <c r="O3697" t="s">
        <v>12</v>
      </c>
      <c r="P3697" t="b">
        <v>1</v>
      </c>
      <c r="Q3697">
        <v>6584.6334411352382</v>
      </c>
      <c r="R3697">
        <v>35861.460052218899</v>
      </c>
      <c r="S3697">
        <v>-4.298595891133643</v>
      </c>
      <c r="T3697">
        <v>82.852230599571783</v>
      </c>
      <c r="U3697">
        <v>0</v>
      </c>
      <c r="V3697">
        <v>0</v>
      </c>
    </row>
    <row r="3698" spans="1:22" x14ac:dyDescent="0.2">
      <c r="A3698"/>
      <c r="B3698">
        <v>74527</v>
      </c>
      <c r="C3698" t="s">
        <v>1894</v>
      </c>
      <c r="D3698" t="s">
        <v>1045</v>
      </c>
      <c r="E3698" t="s">
        <v>1051</v>
      </c>
      <c r="F3698" t="s">
        <v>92</v>
      </c>
      <c r="G3698">
        <v>6807.4550043805302</v>
      </c>
      <c r="H3698" t="s">
        <v>1270</v>
      </c>
      <c r="I3698">
        <v>2.5</v>
      </c>
      <c r="J3698">
        <v>0</v>
      </c>
      <c r="K3698">
        <v>0</v>
      </c>
      <c r="L3698">
        <v>0</v>
      </c>
      <c r="M3698" t="s">
        <v>187</v>
      </c>
      <c r="N3698">
        <v>14823.880815734299</v>
      </c>
      <c r="O3698" t="s">
        <v>12</v>
      </c>
      <c r="P3698" t="b">
        <v>0</v>
      </c>
      <c r="Q3698">
        <v>6584.6334411352382</v>
      </c>
      <c r="R3698">
        <v>35861.460052218899</v>
      </c>
      <c r="S3698">
        <v>-4.298595891133643</v>
      </c>
      <c r="T3698">
        <v>-97.147769400428231</v>
      </c>
      <c r="U3698">
        <v>0</v>
      </c>
      <c r="V3698">
        <v>0</v>
      </c>
    </row>
    <row r="3699" spans="1:22" x14ac:dyDescent="0.2">
      <c r="A3699"/>
      <c r="B3699">
        <v>74528</v>
      </c>
      <c r="C3699" t="s">
        <v>1895</v>
      </c>
      <c r="D3699" t="s">
        <v>1045</v>
      </c>
      <c r="E3699" t="s">
        <v>1048</v>
      </c>
      <c r="F3699" t="s">
        <v>92</v>
      </c>
      <c r="G3699">
        <v>6892.3009617696316</v>
      </c>
      <c r="H3699" t="s">
        <v>12</v>
      </c>
      <c r="I3699">
        <v>-2.5</v>
      </c>
      <c r="J3699">
        <v>0</v>
      </c>
      <c r="K3699">
        <v>0</v>
      </c>
      <c r="L3699">
        <v>0</v>
      </c>
      <c r="M3699" t="s">
        <v>187</v>
      </c>
      <c r="N3699">
        <v>14908.726773123401</v>
      </c>
      <c r="O3699" t="s">
        <v>12</v>
      </c>
      <c r="P3699" t="b">
        <v>1</v>
      </c>
      <c r="Q3699">
        <v>6598.2493864454473</v>
      </c>
      <c r="R3699">
        <v>35945.345194789952</v>
      </c>
      <c r="S3699">
        <v>-3.9763831854887268</v>
      </c>
      <c r="T3699">
        <v>79.075654672277849</v>
      </c>
      <c r="U3699">
        <v>0</v>
      </c>
      <c r="V3699">
        <v>0</v>
      </c>
    </row>
    <row r="3700" spans="1:22" x14ac:dyDescent="0.2">
      <c r="A3700"/>
      <c r="B3700">
        <v>74529</v>
      </c>
      <c r="C3700" t="s">
        <v>1896</v>
      </c>
      <c r="D3700" t="s">
        <v>1045</v>
      </c>
      <c r="E3700" t="s">
        <v>1047</v>
      </c>
      <c r="F3700" t="s">
        <v>92</v>
      </c>
      <c r="G3700">
        <v>6892.3009617696316</v>
      </c>
      <c r="H3700" t="s">
        <v>1270</v>
      </c>
      <c r="I3700">
        <v>2.5</v>
      </c>
      <c r="J3700">
        <v>0</v>
      </c>
      <c r="K3700">
        <v>0</v>
      </c>
      <c r="L3700">
        <v>0</v>
      </c>
      <c r="M3700" t="s">
        <v>187</v>
      </c>
      <c r="N3700">
        <v>14908.726773123401</v>
      </c>
      <c r="O3700" t="s">
        <v>12</v>
      </c>
      <c r="P3700" t="b">
        <v>0</v>
      </c>
      <c r="Q3700">
        <v>6598.2493864454473</v>
      </c>
      <c r="R3700">
        <v>35945.345194789952</v>
      </c>
      <c r="S3700">
        <v>-3.9763831854887268</v>
      </c>
      <c r="T3700">
        <v>-100.92434532772216</v>
      </c>
      <c r="U3700">
        <v>0</v>
      </c>
      <c r="V3700">
        <v>0</v>
      </c>
    </row>
    <row r="3701" spans="1:22" x14ac:dyDescent="0.2">
      <c r="A3701"/>
      <c r="B3701">
        <v>74530</v>
      </c>
      <c r="C3701" t="s">
        <v>1897</v>
      </c>
      <c r="D3701" t="s">
        <v>1045</v>
      </c>
      <c r="E3701" t="s">
        <v>1048</v>
      </c>
      <c r="F3701" t="s">
        <v>92</v>
      </c>
      <c r="G3701">
        <v>7076.2254816166296</v>
      </c>
      <c r="H3701" t="s">
        <v>12</v>
      </c>
      <c r="I3701">
        <v>-2.5</v>
      </c>
      <c r="J3701">
        <v>0</v>
      </c>
      <c r="K3701">
        <v>0</v>
      </c>
      <c r="L3701">
        <v>0</v>
      </c>
      <c r="M3701" t="s">
        <v>187</v>
      </c>
      <c r="N3701">
        <v>15092.6512929704</v>
      </c>
      <c r="O3701" t="s">
        <v>12</v>
      </c>
      <c r="P3701" t="b">
        <v>1</v>
      </c>
      <c r="Q3701">
        <v>6633.3627885215647</v>
      </c>
      <c r="R3701">
        <v>36125.889384561407</v>
      </c>
      <c r="S3701">
        <v>-3.953960093435315</v>
      </c>
      <c r="T3701">
        <v>79.017487832434156</v>
      </c>
      <c r="U3701">
        <v>0</v>
      </c>
      <c r="V3701">
        <v>0</v>
      </c>
    </row>
    <row r="3702" spans="1:22" x14ac:dyDescent="0.2">
      <c r="A3702"/>
      <c r="B3702">
        <v>74531</v>
      </c>
      <c r="C3702" t="s">
        <v>1898</v>
      </c>
      <c r="D3702" t="s">
        <v>1045</v>
      </c>
      <c r="E3702" t="s">
        <v>1048</v>
      </c>
      <c r="F3702" t="s">
        <v>92</v>
      </c>
      <c r="G3702">
        <v>7076.2254816166296</v>
      </c>
      <c r="H3702" t="s">
        <v>1270</v>
      </c>
      <c r="I3702">
        <v>2.5</v>
      </c>
      <c r="J3702">
        <v>0</v>
      </c>
      <c r="K3702">
        <v>0</v>
      </c>
      <c r="L3702">
        <v>0</v>
      </c>
      <c r="M3702" t="s">
        <v>187</v>
      </c>
      <c r="N3702">
        <v>15092.6512929704</v>
      </c>
      <c r="O3702" t="s">
        <v>12</v>
      </c>
      <c r="P3702" t="b">
        <v>0</v>
      </c>
      <c r="Q3702">
        <v>6633.3627885215647</v>
      </c>
      <c r="R3702">
        <v>36125.889384561407</v>
      </c>
      <c r="S3702">
        <v>-3.953960093435315</v>
      </c>
      <c r="T3702">
        <v>-100.98251216756586</v>
      </c>
      <c r="U3702">
        <v>0</v>
      </c>
      <c r="V3702">
        <v>0</v>
      </c>
    </row>
    <row r="3703" spans="1:22" x14ac:dyDescent="0.2">
      <c r="A3703"/>
      <c r="B3703">
        <v>74532</v>
      </c>
      <c r="C3703" t="s">
        <v>1899</v>
      </c>
      <c r="D3703" t="s">
        <v>1045</v>
      </c>
      <c r="E3703" t="s">
        <v>1048</v>
      </c>
      <c r="F3703" t="s">
        <v>92</v>
      </c>
      <c r="G3703">
        <v>7150.2546591535302</v>
      </c>
      <c r="H3703" t="s">
        <v>12</v>
      </c>
      <c r="I3703">
        <v>-2.5</v>
      </c>
      <c r="J3703">
        <v>0</v>
      </c>
      <c r="K3703">
        <v>0</v>
      </c>
      <c r="L3703">
        <v>0</v>
      </c>
      <c r="M3703" t="s">
        <v>187</v>
      </c>
      <c r="N3703">
        <v>15166.680470507299</v>
      </c>
      <c r="O3703" t="s">
        <v>12</v>
      </c>
      <c r="P3703" t="b">
        <v>1</v>
      </c>
      <c r="Q3703">
        <v>6647.3117970427993</v>
      </c>
      <c r="R3703">
        <v>36198.580552841493</v>
      </c>
      <c r="S3703">
        <v>-3.9694425579932422</v>
      </c>
      <c r="T3703">
        <v>79.284913044196585</v>
      </c>
      <c r="U3703">
        <v>0</v>
      </c>
      <c r="V3703">
        <v>0</v>
      </c>
    </row>
    <row r="3704" spans="1:22" x14ac:dyDescent="0.2">
      <c r="A3704"/>
      <c r="B3704">
        <v>74533</v>
      </c>
      <c r="C3704" t="s">
        <v>1900</v>
      </c>
      <c r="D3704" t="s">
        <v>1045</v>
      </c>
      <c r="E3704" t="s">
        <v>1048</v>
      </c>
      <c r="F3704" t="s">
        <v>92</v>
      </c>
      <c r="G3704">
        <v>7150.2546591535302</v>
      </c>
      <c r="H3704" t="s">
        <v>1270</v>
      </c>
      <c r="I3704">
        <v>2.5</v>
      </c>
      <c r="J3704">
        <v>0</v>
      </c>
      <c r="K3704">
        <v>0</v>
      </c>
      <c r="L3704">
        <v>0</v>
      </c>
      <c r="M3704" t="s">
        <v>187</v>
      </c>
      <c r="N3704">
        <v>15166.680470507299</v>
      </c>
      <c r="O3704" t="s">
        <v>12</v>
      </c>
      <c r="P3704" t="b">
        <v>0</v>
      </c>
      <c r="Q3704">
        <v>6647.3117970427993</v>
      </c>
      <c r="R3704">
        <v>36198.580552841493</v>
      </c>
      <c r="S3704">
        <v>-3.9694425579932422</v>
      </c>
      <c r="T3704">
        <v>-100.71508695580343</v>
      </c>
      <c r="U3704">
        <v>0</v>
      </c>
      <c r="V3704">
        <v>0</v>
      </c>
    </row>
    <row r="3705" spans="1:22" x14ac:dyDescent="0.2">
      <c r="A3705"/>
      <c r="B3705">
        <v>74534</v>
      </c>
      <c r="C3705" t="s">
        <v>1901</v>
      </c>
      <c r="D3705" t="s">
        <v>1045</v>
      </c>
      <c r="E3705" t="s">
        <v>1049</v>
      </c>
      <c r="F3705" t="s">
        <v>118</v>
      </c>
      <c r="G3705">
        <v>53.434431834356076</v>
      </c>
      <c r="H3705" t="s">
        <v>12</v>
      </c>
      <c r="I3705">
        <v>-2.5</v>
      </c>
      <c r="J3705">
        <v>0</v>
      </c>
      <c r="K3705">
        <v>0</v>
      </c>
      <c r="L3705">
        <v>0</v>
      </c>
      <c r="M3705" t="s">
        <v>187</v>
      </c>
      <c r="N3705">
        <v>15371.3273403985</v>
      </c>
      <c r="O3705" t="s">
        <v>12</v>
      </c>
      <c r="P3705" t="b">
        <v>1</v>
      </c>
      <c r="Q3705">
        <v>6684.9912818528155</v>
      </c>
      <c r="R3705">
        <v>36399.729266330825</v>
      </c>
      <c r="S3705">
        <v>-3.964558043602175</v>
      </c>
      <c r="T3705">
        <v>79.27229115783507</v>
      </c>
      <c r="U3705">
        <v>0</v>
      </c>
      <c r="V3705">
        <v>0</v>
      </c>
    </row>
    <row r="3706" spans="1:22" x14ac:dyDescent="0.2">
      <c r="A3706"/>
      <c r="B3706">
        <v>74535</v>
      </c>
      <c r="C3706" t="s">
        <v>1902</v>
      </c>
      <c r="D3706" t="s">
        <v>1045</v>
      </c>
      <c r="E3706" t="s">
        <v>1048</v>
      </c>
      <c r="F3706" t="s">
        <v>118</v>
      </c>
      <c r="G3706">
        <v>53.434431834356076</v>
      </c>
      <c r="H3706" t="s">
        <v>1270</v>
      </c>
      <c r="I3706">
        <v>2.5</v>
      </c>
      <c r="J3706">
        <v>0</v>
      </c>
      <c r="K3706">
        <v>0</v>
      </c>
      <c r="L3706">
        <v>0</v>
      </c>
      <c r="M3706" t="s">
        <v>187</v>
      </c>
      <c r="N3706">
        <v>15371.3273403985</v>
      </c>
      <c r="O3706" t="s">
        <v>12</v>
      </c>
      <c r="P3706" t="b">
        <v>0</v>
      </c>
      <c r="Q3706">
        <v>6684.9912818528155</v>
      </c>
      <c r="R3706">
        <v>36399.729266330825</v>
      </c>
      <c r="S3706">
        <v>-3.964558043602175</v>
      </c>
      <c r="T3706">
        <v>-100.72770884216494</v>
      </c>
      <c r="U3706">
        <v>0</v>
      </c>
      <c r="V3706">
        <v>0</v>
      </c>
    </row>
    <row r="3707" spans="1:22" x14ac:dyDescent="0.2">
      <c r="A3707"/>
      <c r="B3707">
        <v>74536</v>
      </c>
      <c r="C3707" t="s">
        <v>1903</v>
      </c>
      <c r="D3707" t="s">
        <v>1045</v>
      </c>
      <c r="E3707" t="s">
        <v>1048</v>
      </c>
      <c r="F3707" t="s">
        <v>118</v>
      </c>
      <c r="G3707">
        <v>344.06889488565736</v>
      </c>
      <c r="H3707" t="s">
        <v>12</v>
      </c>
      <c r="I3707">
        <v>-2.5</v>
      </c>
      <c r="J3707">
        <v>0</v>
      </c>
      <c r="K3707">
        <v>0</v>
      </c>
      <c r="L3707">
        <v>0</v>
      </c>
      <c r="M3707" t="s">
        <v>187</v>
      </c>
      <c r="N3707">
        <v>15661.9618034498</v>
      </c>
      <c r="O3707" t="s">
        <v>12</v>
      </c>
      <c r="P3707" t="b">
        <v>1</v>
      </c>
      <c r="Q3707">
        <v>6794.4432312695817</v>
      </c>
      <c r="R3707">
        <v>36667.05426949363</v>
      </c>
      <c r="S3707">
        <v>-9.15786157732758</v>
      </c>
      <c r="T3707">
        <v>54.260010048259296</v>
      </c>
      <c r="U3707">
        <v>0</v>
      </c>
      <c r="V3707">
        <v>0</v>
      </c>
    </row>
    <row r="3708" spans="1:22" x14ac:dyDescent="0.2">
      <c r="A3708"/>
      <c r="B3708">
        <v>74537</v>
      </c>
      <c r="C3708" t="s">
        <v>1904</v>
      </c>
      <c r="D3708" t="s">
        <v>1045</v>
      </c>
      <c r="E3708" t="s">
        <v>1049</v>
      </c>
      <c r="F3708" t="s">
        <v>118</v>
      </c>
      <c r="G3708">
        <v>344.06889488565736</v>
      </c>
      <c r="H3708" t="s">
        <v>1270</v>
      </c>
      <c r="I3708">
        <v>2.5</v>
      </c>
      <c r="J3708">
        <v>0</v>
      </c>
      <c r="K3708">
        <v>0</v>
      </c>
      <c r="L3708">
        <v>0</v>
      </c>
      <c r="M3708" t="s">
        <v>187</v>
      </c>
      <c r="N3708">
        <v>15661.9618034498</v>
      </c>
      <c r="O3708" t="s">
        <v>12</v>
      </c>
      <c r="P3708" t="b">
        <v>0</v>
      </c>
      <c r="Q3708">
        <v>6794.4432312695817</v>
      </c>
      <c r="R3708">
        <v>36667.05426949363</v>
      </c>
      <c r="S3708">
        <v>-9.15786157732758</v>
      </c>
      <c r="T3708">
        <v>-125.73998995174071</v>
      </c>
      <c r="U3708">
        <v>0</v>
      </c>
      <c r="V3708">
        <v>0</v>
      </c>
    </row>
    <row r="3709" spans="1:22" x14ac:dyDescent="0.2">
      <c r="A3709"/>
      <c r="B3709">
        <v>74538</v>
      </c>
      <c r="C3709" t="s">
        <v>1905</v>
      </c>
      <c r="D3709" t="s">
        <v>1045</v>
      </c>
      <c r="E3709" t="s">
        <v>1048</v>
      </c>
      <c r="F3709" t="s">
        <v>118</v>
      </c>
      <c r="G3709">
        <v>362.70943941405727</v>
      </c>
      <c r="H3709" t="s">
        <v>12</v>
      </c>
      <c r="I3709">
        <v>-2.5</v>
      </c>
      <c r="J3709">
        <v>0</v>
      </c>
      <c r="K3709">
        <v>0</v>
      </c>
      <c r="L3709">
        <v>0</v>
      </c>
      <c r="M3709" t="s">
        <v>187</v>
      </c>
      <c r="N3709">
        <v>15680.6023479782</v>
      </c>
      <c r="O3709" t="s">
        <v>12</v>
      </c>
      <c r="P3709" t="b">
        <v>1</v>
      </c>
      <c r="Q3709">
        <v>6805.4875018814973</v>
      </c>
      <c r="R3709">
        <v>36682.119667138701</v>
      </c>
      <c r="S3709">
        <v>-9.1646531002140676</v>
      </c>
      <c r="T3709">
        <v>53.351376990160396</v>
      </c>
      <c r="U3709">
        <v>0</v>
      </c>
      <c r="V3709">
        <v>0</v>
      </c>
    </row>
    <row r="3710" spans="1:22" x14ac:dyDescent="0.2">
      <c r="A3710"/>
      <c r="B3710">
        <v>74539</v>
      </c>
      <c r="C3710" t="s">
        <v>1906</v>
      </c>
      <c r="D3710" t="s">
        <v>1045</v>
      </c>
      <c r="E3710" t="s">
        <v>1048</v>
      </c>
      <c r="F3710" t="s">
        <v>118</v>
      </c>
      <c r="G3710">
        <v>362.70943941405727</v>
      </c>
      <c r="H3710" t="s">
        <v>1270</v>
      </c>
      <c r="I3710">
        <v>2.5</v>
      </c>
      <c r="J3710">
        <v>0</v>
      </c>
      <c r="K3710">
        <v>0</v>
      </c>
      <c r="L3710">
        <v>0</v>
      </c>
      <c r="M3710" t="s">
        <v>187</v>
      </c>
      <c r="N3710">
        <v>15680.6023479782</v>
      </c>
      <c r="O3710" t="s">
        <v>12</v>
      </c>
      <c r="P3710" t="b">
        <v>0</v>
      </c>
      <c r="Q3710">
        <v>6805.4875018814973</v>
      </c>
      <c r="R3710">
        <v>36682.119667138701</v>
      </c>
      <c r="S3710">
        <v>-9.1646531002140676</v>
      </c>
      <c r="T3710">
        <v>-126.6486230098396</v>
      </c>
      <c r="U3710">
        <v>0</v>
      </c>
      <c r="V3710">
        <v>0</v>
      </c>
    </row>
    <row r="3711" spans="1:22" x14ac:dyDescent="0.2">
      <c r="A3711"/>
      <c r="B3711">
        <v>74540</v>
      </c>
      <c r="C3711" t="s">
        <v>1907</v>
      </c>
      <c r="D3711" t="s">
        <v>1045</v>
      </c>
      <c r="E3711" t="s">
        <v>1048</v>
      </c>
      <c r="F3711" t="s">
        <v>119</v>
      </c>
      <c r="G3711">
        <v>40.881912105441586</v>
      </c>
      <c r="H3711" t="s">
        <v>12</v>
      </c>
      <c r="I3711">
        <v>-2.5</v>
      </c>
      <c r="J3711">
        <v>0</v>
      </c>
      <c r="K3711">
        <v>0</v>
      </c>
      <c r="L3711">
        <v>0</v>
      </c>
      <c r="M3711" t="s">
        <v>187</v>
      </c>
      <c r="N3711">
        <v>15722.2833971083</v>
      </c>
      <c r="O3711" t="s">
        <v>12</v>
      </c>
      <c r="P3711" t="b">
        <v>1</v>
      </c>
      <c r="Q3711">
        <v>6830.477027335055</v>
      </c>
      <c r="R3711">
        <v>36715.481579607338</v>
      </c>
      <c r="S3711">
        <v>-9.1531696352701744</v>
      </c>
      <c r="T3711">
        <v>53.299447175496141</v>
      </c>
      <c r="U3711">
        <v>0</v>
      </c>
      <c r="V3711">
        <v>0</v>
      </c>
    </row>
    <row r="3712" spans="1:22" x14ac:dyDescent="0.2">
      <c r="A3712"/>
      <c r="B3712">
        <v>74541</v>
      </c>
      <c r="C3712" t="s">
        <v>1908</v>
      </c>
      <c r="D3712" t="s">
        <v>1045</v>
      </c>
      <c r="E3712" t="s">
        <v>1048</v>
      </c>
      <c r="F3712" t="s">
        <v>119</v>
      </c>
      <c r="G3712">
        <v>40.881912105441586</v>
      </c>
      <c r="H3712" t="s">
        <v>1270</v>
      </c>
      <c r="I3712">
        <v>2.5</v>
      </c>
      <c r="J3712">
        <v>0</v>
      </c>
      <c r="K3712">
        <v>0</v>
      </c>
      <c r="L3712">
        <v>0</v>
      </c>
      <c r="M3712" t="s">
        <v>187</v>
      </c>
      <c r="N3712">
        <v>15722.2833971083</v>
      </c>
      <c r="O3712" t="s">
        <v>12</v>
      </c>
      <c r="P3712" t="b">
        <v>0</v>
      </c>
      <c r="Q3712">
        <v>6830.477027335055</v>
      </c>
      <c r="R3712">
        <v>36715.481579607338</v>
      </c>
      <c r="S3712">
        <v>-9.1531696352701744</v>
      </c>
      <c r="T3712">
        <v>-126.70055282450387</v>
      </c>
      <c r="U3712">
        <v>0</v>
      </c>
      <c r="V3712">
        <v>0</v>
      </c>
    </row>
    <row r="3713" spans="1:22" x14ac:dyDescent="0.2">
      <c r="A3713"/>
      <c r="B3713">
        <v>75000</v>
      </c>
      <c r="C3713" t="s">
        <v>371</v>
      </c>
      <c r="D3713" t="s">
        <v>920</v>
      </c>
      <c r="E3713" t="s">
        <v>1275</v>
      </c>
      <c r="F3713" t="s">
        <v>106</v>
      </c>
      <c r="G3713">
        <v>36.672534186495</v>
      </c>
      <c r="H3713" t="s">
        <v>248</v>
      </c>
      <c r="I3713">
        <v>0</v>
      </c>
      <c r="J3713">
        <v>0</v>
      </c>
      <c r="K3713">
        <v>0</v>
      </c>
      <c r="L3713">
        <v>0</v>
      </c>
      <c r="M3713" t="s">
        <v>188</v>
      </c>
      <c r="N3713">
        <v>36.672534186495</v>
      </c>
      <c r="O3713" t="s">
        <v>248</v>
      </c>
      <c r="P3713" t="b">
        <v>1</v>
      </c>
      <c r="Q3713">
        <v>4861.2621054984947</v>
      </c>
      <c r="R3713">
        <v>21645.607074937809</v>
      </c>
      <c r="S3713">
        <v>-2.1669491850184342E-3</v>
      </c>
      <c r="T3713">
        <v>75.529926991976467</v>
      </c>
      <c r="U3713">
        <v>0</v>
      </c>
      <c r="V3713">
        <v>0</v>
      </c>
    </row>
    <row r="3714" spans="1:22" x14ac:dyDescent="0.2">
      <c r="A3714"/>
      <c r="B3714">
        <v>75001</v>
      </c>
      <c r="C3714" t="s">
        <v>372</v>
      </c>
      <c r="D3714" t="s">
        <v>920</v>
      </c>
      <c r="E3714" t="s">
        <v>1275</v>
      </c>
      <c r="F3714" t="s">
        <v>106</v>
      </c>
      <c r="G3714">
        <v>66.178151073640095</v>
      </c>
      <c r="H3714" t="s">
        <v>248</v>
      </c>
      <c r="I3714">
        <v>0</v>
      </c>
      <c r="J3714">
        <v>0</v>
      </c>
      <c r="K3714">
        <v>0</v>
      </c>
      <c r="L3714">
        <v>0</v>
      </c>
      <c r="M3714" t="s">
        <v>188</v>
      </c>
      <c r="N3714">
        <v>66.178151073640095</v>
      </c>
      <c r="O3714" t="s">
        <v>248</v>
      </c>
      <c r="P3714" t="b">
        <v>1</v>
      </c>
      <c r="Q3714">
        <v>4868.635383517546</v>
      </c>
      <c r="R3714">
        <v>21674.176572630109</v>
      </c>
      <c r="S3714">
        <v>-2.9387924312027237E-3</v>
      </c>
      <c r="T3714">
        <v>75.527965004101759</v>
      </c>
      <c r="U3714">
        <v>0</v>
      </c>
      <c r="V3714">
        <v>0</v>
      </c>
    </row>
    <row r="3715" spans="1:22" x14ac:dyDescent="0.2">
      <c r="A3715"/>
      <c r="B3715">
        <v>75002</v>
      </c>
      <c r="C3715" t="s">
        <v>373</v>
      </c>
      <c r="D3715" t="s">
        <v>920</v>
      </c>
      <c r="E3715" t="s">
        <v>1275</v>
      </c>
      <c r="F3715" t="s">
        <v>106</v>
      </c>
      <c r="G3715">
        <v>111.36817707119199</v>
      </c>
      <c r="H3715" t="s">
        <v>248</v>
      </c>
      <c r="I3715">
        <v>0</v>
      </c>
      <c r="J3715">
        <v>0</v>
      </c>
      <c r="K3715">
        <v>0</v>
      </c>
      <c r="L3715">
        <v>0</v>
      </c>
      <c r="M3715" t="s">
        <v>188</v>
      </c>
      <c r="N3715">
        <v>111.36817707119199</v>
      </c>
      <c r="O3715" t="s">
        <v>248</v>
      </c>
      <c r="P3715" t="b">
        <v>1</v>
      </c>
      <c r="Q3715">
        <v>4879.9285175357018</v>
      </c>
      <c r="R3715">
        <v>21717.932755882433</v>
      </c>
      <c r="S3715">
        <v>-2.3232842520223996E-3</v>
      </c>
      <c r="T3715">
        <v>75.529346230427208</v>
      </c>
      <c r="U3715">
        <v>0</v>
      </c>
      <c r="V3715">
        <v>0</v>
      </c>
    </row>
    <row r="3716" spans="1:22" x14ac:dyDescent="0.2">
      <c r="A3716"/>
      <c r="B3716">
        <v>75003</v>
      </c>
      <c r="C3716" t="s">
        <v>375</v>
      </c>
      <c r="D3716" t="s">
        <v>920</v>
      </c>
      <c r="E3716" t="s">
        <v>1275</v>
      </c>
      <c r="F3716" t="s">
        <v>106</v>
      </c>
      <c r="G3716">
        <v>151.73753930068</v>
      </c>
      <c r="H3716" t="s">
        <v>248</v>
      </c>
      <c r="I3716">
        <v>0</v>
      </c>
      <c r="J3716">
        <v>0</v>
      </c>
      <c r="K3716">
        <v>0</v>
      </c>
      <c r="L3716">
        <v>0</v>
      </c>
      <c r="M3716" t="s">
        <v>188</v>
      </c>
      <c r="N3716">
        <v>151.73753930068</v>
      </c>
      <c r="O3716" t="s">
        <v>248</v>
      </c>
      <c r="P3716" t="b">
        <v>1</v>
      </c>
      <c r="Q3716">
        <v>4890.0144680718431</v>
      </c>
      <c r="R3716">
        <v>21757.021872030942</v>
      </c>
      <c r="S3716">
        <v>6.6002392734394223E-5</v>
      </c>
      <c r="T3716">
        <v>75.535068246732607</v>
      </c>
      <c r="U3716">
        <v>0</v>
      </c>
      <c r="V3716">
        <v>0</v>
      </c>
    </row>
    <row r="3717" spans="1:22" x14ac:dyDescent="0.2">
      <c r="A3717"/>
      <c r="B3717">
        <v>75004</v>
      </c>
      <c r="C3717" t="s">
        <v>374</v>
      </c>
      <c r="D3717" t="s">
        <v>920</v>
      </c>
      <c r="E3717" t="s">
        <v>1275</v>
      </c>
      <c r="F3717" t="s">
        <v>106</v>
      </c>
      <c r="G3717">
        <v>206.12527346920001</v>
      </c>
      <c r="H3717" t="s">
        <v>248</v>
      </c>
      <c r="I3717">
        <v>0</v>
      </c>
      <c r="J3717">
        <v>0</v>
      </c>
      <c r="K3717">
        <v>0</v>
      </c>
      <c r="L3717">
        <v>0</v>
      </c>
      <c r="M3717" t="s">
        <v>188</v>
      </c>
      <c r="N3717">
        <v>206.12527346920001</v>
      </c>
      <c r="O3717" t="s">
        <v>248</v>
      </c>
      <c r="P3717" t="b">
        <v>1</v>
      </c>
      <c r="Q3717">
        <v>4903.5948488400354</v>
      </c>
      <c r="R3717">
        <v>21809.686840186096</v>
      </c>
      <c r="S3717">
        <v>1.5197105394010291E-3</v>
      </c>
      <c r="T3717">
        <v>75.545740239119795</v>
      </c>
      <c r="U3717">
        <v>0</v>
      </c>
      <c r="V3717">
        <v>0</v>
      </c>
    </row>
    <row r="3718" spans="1:22" x14ac:dyDescent="0.2">
      <c r="A3718"/>
      <c r="B3718">
        <v>75005</v>
      </c>
      <c r="C3718" t="s">
        <v>376</v>
      </c>
      <c r="D3718" t="s">
        <v>920</v>
      </c>
      <c r="E3718" t="s">
        <v>1275</v>
      </c>
      <c r="F3718" t="s">
        <v>106</v>
      </c>
      <c r="G3718">
        <v>241.496524184561</v>
      </c>
      <c r="H3718" t="s">
        <v>248</v>
      </c>
      <c r="I3718">
        <v>0</v>
      </c>
      <c r="J3718">
        <v>0</v>
      </c>
      <c r="K3718">
        <v>0</v>
      </c>
      <c r="L3718">
        <v>0</v>
      </c>
      <c r="M3718" t="s">
        <v>188</v>
      </c>
      <c r="N3718">
        <v>241.496524184561</v>
      </c>
      <c r="O3718" t="s">
        <v>248</v>
      </c>
      <c r="P3718" t="b">
        <v>1</v>
      </c>
      <c r="Q3718">
        <v>4912.421863079584</v>
      </c>
      <c r="R3718">
        <v>21843.93898150028</v>
      </c>
      <c r="S3718">
        <v>-1.6494650472621574E-3</v>
      </c>
      <c r="T3718">
        <v>75.552000066880169</v>
      </c>
      <c r="U3718">
        <v>0</v>
      </c>
      <c r="V3718">
        <v>0</v>
      </c>
    </row>
    <row r="3719" spans="1:22" x14ac:dyDescent="0.2">
      <c r="A3719"/>
      <c r="B3719">
        <v>75006</v>
      </c>
      <c r="C3719" t="s">
        <v>377</v>
      </c>
      <c r="D3719" t="s">
        <v>920</v>
      </c>
      <c r="E3719" t="s">
        <v>1275</v>
      </c>
      <c r="F3719" t="s">
        <v>122</v>
      </c>
      <c r="G3719">
        <v>4.052745137961324</v>
      </c>
      <c r="H3719" t="s">
        <v>248</v>
      </c>
      <c r="I3719">
        <v>0</v>
      </c>
      <c r="J3719">
        <v>0</v>
      </c>
      <c r="K3719">
        <v>0</v>
      </c>
      <c r="L3719">
        <v>0</v>
      </c>
      <c r="M3719" t="s">
        <v>188</v>
      </c>
      <c r="N3719">
        <v>327.987530584654</v>
      </c>
      <c r="O3719" t="s">
        <v>248</v>
      </c>
      <c r="P3719" t="b">
        <v>1</v>
      </c>
      <c r="Q3719">
        <v>4934.0399241535142</v>
      </c>
      <c r="R3719">
        <v>21927.684734255912</v>
      </c>
      <c r="S3719">
        <v>-3.4424480056522108E-3</v>
      </c>
      <c r="T3719">
        <v>75.447054937124889</v>
      </c>
      <c r="U3719">
        <v>0</v>
      </c>
      <c r="V3719">
        <v>0</v>
      </c>
    </row>
    <row r="3720" spans="1:22" x14ac:dyDescent="0.2">
      <c r="A3720"/>
      <c r="B3720">
        <v>75007</v>
      </c>
      <c r="C3720" t="s">
        <v>378</v>
      </c>
      <c r="D3720" t="s">
        <v>920</v>
      </c>
      <c r="E3720" t="s">
        <v>1275</v>
      </c>
      <c r="F3720" t="s">
        <v>122</v>
      </c>
      <c r="G3720">
        <v>24.760202047258304</v>
      </c>
      <c r="H3720" t="s">
        <v>248</v>
      </c>
      <c r="I3720">
        <v>0</v>
      </c>
      <c r="J3720">
        <v>0</v>
      </c>
      <c r="K3720">
        <v>0</v>
      </c>
      <c r="L3720">
        <v>0</v>
      </c>
      <c r="M3720" t="s">
        <v>188</v>
      </c>
      <c r="N3720">
        <v>348.69498749395098</v>
      </c>
      <c r="O3720" t="s">
        <v>248</v>
      </c>
      <c r="P3720" t="b">
        <v>1</v>
      </c>
      <c r="Q3720">
        <v>4939.2501284145756</v>
      </c>
      <c r="R3720">
        <v>21947.726004697728</v>
      </c>
      <c r="S3720">
        <v>-5.8598790502484947E-3</v>
      </c>
      <c r="T3720">
        <v>75.413779901283448</v>
      </c>
      <c r="U3720">
        <v>0</v>
      </c>
      <c r="V3720">
        <v>0</v>
      </c>
    </row>
    <row r="3721" spans="1:22" x14ac:dyDescent="0.2">
      <c r="A3721"/>
      <c r="B3721">
        <v>75008</v>
      </c>
      <c r="C3721" t="s">
        <v>379</v>
      </c>
      <c r="D3721" t="s">
        <v>920</v>
      </c>
      <c r="E3721" t="s">
        <v>1275</v>
      </c>
      <c r="F3721" t="s">
        <v>122</v>
      </c>
      <c r="G3721">
        <v>45.467658956556306</v>
      </c>
      <c r="H3721" t="s">
        <v>248</v>
      </c>
      <c r="I3721">
        <v>0</v>
      </c>
      <c r="J3721">
        <v>0</v>
      </c>
      <c r="K3721">
        <v>0</v>
      </c>
      <c r="L3721">
        <v>0</v>
      </c>
      <c r="M3721" t="s">
        <v>188</v>
      </c>
      <c r="N3721">
        <v>369.40244440324898</v>
      </c>
      <c r="O3721" t="s">
        <v>248</v>
      </c>
      <c r="P3721" t="b">
        <v>1</v>
      </c>
      <c r="Q3721">
        <v>4944.4542118936242</v>
      </c>
      <c r="R3721">
        <v>21967.768863399677</v>
      </c>
      <c r="S3721">
        <v>-5.7948846743867792E-3</v>
      </c>
      <c r="T3721">
        <v>75.505248153401766</v>
      </c>
      <c r="U3721">
        <v>0</v>
      </c>
      <c r="V3721">
        <v>0</v>
      </c>
    </row>
    <row r="3722" spans="1:22" x14ac:dyDescent="0.2">
      <c r="A3722"/>
      <c r="B3722">
        <v>75009</v>
      </c>
      <c r="C3722" t="s">
        <v>380</v>
      </c>
      <c r="D3722" t="s">
        <v>920</v>
      </c>
      <c r="E3722" t="s">
        <v>1275</v>
      </c>
      <c r="F3722" t="s">
        <v>122</v>
      </c>
      <c r="G3722">
        <v>70.326467941479336</v>
      </c>
      <c r="H3722" t="s">
        <v>248</v>
      </c>
      <c r="I3722">
        <v>0</v>
      </c>
      <c r="J3722">
        <v>0</v>
      </c>
      <c r="K3722">
        <v>0</v>
      </c>
      <c r="L3722">
        <v>0</v>
      </c>
      <c r="M3722" t="s">
        <v>188</v>
      </c>
      <c r="N3722">
        <v>394.26125338817201</v>
      </c>
      <c r="O3722" t="s">
        <v>248</v>
      </c>
      <c r="P3722" t="b">
        <v>1</v>
      </c>
      <c r="Q3722">
        <v>4950.6187604813585</v>
      </c>
      <c r="R3722">
        <v>21991.851166424243</v>
      </c>
      <c r="S3722">
        <v>-4.0275987449511427E-3</v>
      </c>
      <c r="T3722">
        <v>75.803456935532438</v>
      </c>
      <c r="U3722">
        <v>0</v>
      </c>
      <c r="V3722">
        <v>0</v>
      </c>
    </row>
    <row r="3723" spans="1:22" x14ac:dyDescent="0.2">
      <c r="A3723"/>
      <c r="B3723">
        <v>75010</v>
      </c>
      <c r="C3723" t="s">
        <v>381</v>
      </c>
      <c r="D3723" t="s">
        <v>920</v>
      </c>
      <c r="E3723" t="s">
        <v>1275</v>
      </c>
      <c r="F3723" t="s">
        <v>122</v>
      </c>
      <c r="G3723">
        <v>84.979458878248352</v>
      </c>
      <c r="H3723" t="s">
        <v>248</v>
      </c>
      <c r="I3723">
        <v>0</v>
      </c>
      <c r="J3723">
        <v>0</v>
      </c>
      <c r="K3723">
        <v>0</v>
      </c>
      <c r="L3723">
        <v>0</v>
      </c>
      <c r="M3723" t="s">
        <v>188</v>
      </c>
      <c r="N3723">
        <v>408.91424432494102</v>
      </c>
      <c r="O3723" t="s">
        <v>248</v>
      </c>
      <c r="P3723" t="b">
        <v>1</v>
      </c>
      <c r="Q3723">
        <v>4954.1820846666296</v>
      </c>
      <c r="R3723">
        <v>22006.064276896308</v>
      </c>
      <c r="S3723">
        <v>-4.0946094996705193E-3</v>
      </c>
      <c r="T3723">
        <v>76.058468959484927</v>
      </c>
      <c r="U3723">
        <v>0</v>
      </c>
      <c r="V3723">
        <v>0</v>
      </c>
    </row>
    <row r="3724" spans="1:22" x14ac:dyDescent="0.2">
      <c r="A3724"/>
      <c r="B3724">
        <v>75011</v>
      </c>
      <c r="C3724" t="s">
        <v>382</v>
      </c>
      <c r="D3724" t="s">
        <v>920</v>
      </c>
      <c r="E3724" t="s">
        <v>1275</v>
      </c>
      <c r="F3724" t="s">
        <v>122</v>
      </c>
      <c r="G3724">
        <v>87.93766700814831</v>
      </c>
      <c r="H3724" t="s">
        <v>248</v>
      </c>
      <c r="I3724">
        <v>0</v>
      </c>
      <c r="J3724">
        <v>0</v>
      </c>
      <c r="K3724">
        <v>0</v>
      </c>
      <c r="L3724">
        <v>0</v>
      </c>
      <c r="M3724" t="s">
        <v>188</v>
      </c>
      <c r="N3724">
        <v>411.87245245484098</v>
      </c>
      <c r="O3724" t="s">
        <v>248</v>
      </c>
      <c r="P3724" t="b">
        <v>1</v>
      </c>
      <c r="Q3724">
        <v>4954.8933373885429</v>
      </c>
      <c r="R3724">
        <v>22008.935707571411</v>
      </c>
      <c r="S3724">
        <v>-4.0297983542494017E-3</v>
      </c>
      <c r="T3724">
        <v>76.117693175017621</v>
      </c>
      <c r="U3724">
        <v>0</v>
      </c>
      <c r="V3724">
        <v>0</v>
      </c>
    </row>
    <row r="3725" spans="1:22" x14ac:dyDescent="0.2">
      <c r="A3725"/>
      <c r="B3725">
        <v>75012</v>
      </c>
      <c r="C3725" t="s">
        <v>383</v>
      </c>
      <c r="D3725" t="s">
        <v>920</v>
      </c>
      <c r="E3725" t="s">
        <v>1275</v>
      </c>
      <c r="F3725" t="s">
        <v>122</v>
      </c>
      <c r="G3725">
        <v>107.58016899068133</v>
      </c>
      <c r="H3725" t="s">
        <v>248</v>
      </c>
      <c r="I3725">
        <v>0</v>
      </c>
      <c r="J3725">
        <v>0</v>
      </c>
      <c r="K3725">
        <v>0</v>
      </c>
      <c r="L3725">
        <v>0</v>
      </c>
      <c r="M3725" t="s">
        <v>188</v>
      </c>
      <c r="N3725">
        <v>431.514954437374</v>
      </c>
      <c r="O3725" t="s">
        <v>248</v>
      </c>
      <c r="P3725" t="b">
        <v>1</v>
      </c>
      <c r="Q3725">
        <v>4959.5278009796193</v>
      </c>
      <c r="R3725">
        <v>22028.023579560388</v>
      </c>
      <c r="S3725">
        <v>-3.4513930618698114E-3</v>
      </c>
      <c r="T3725">
        <v>76.670696534028764</v>
      </c>
      <c r="U3725">
        <v>0</v>
      </c>
      <c r="V3725">
        <v>0</v>
      </c>
    </row>
    <row r="3726" spans="1:22" x14ac:dyDescent="0.2">
      <c r="A3726"/>
      <c r="B3726">
        <v>75013</v>
      </c>
      <c r="C3726" t="s">
        <v>384</v>
      </c>
      <c r="D3726" t="s">
        <v>920</v>
      </c>
      <c r="E3726" t="s">
        <v>1275</v>
      </c>
      <c r="F3726" t="s">
        <v>122</v>
      </c>
      <c r="G3726">
        <v>110.53837712058134</v>
      </c>
      <c r="H3726" t="s">
        <v>248</v>
      </c>
      <c r="I3726">
        <v>0</v>
      </c>
      <c r="J3726">
        <v>0</v>
      </c>
      <c r="K3726">
        <v>0</v>
      </c>
      <c r="L3726">
        <v>0</v>
      </c>
      <c r="M3726" t="s">
        <v>188</v>
      </c>
      <c r="N3726">
        <v>434.47316256727402</v>
      </c>
      <c r="O3726" t="s">
        <v>248</v>
      </c>
      <c r="P3726" t="b">
        <v>1</v>
      </c>
      <c r="Q3726">
        <v>4960.2062133358322</v>
      </c>
      <c r="R3726">
        <v>22030.902945329195</v>
      </c>
      <c r="S3726">
        <v>-3.5591127703367138E-3</v>
      </c>
      <c r="T3726">
        <v>76.817239988944124</v>
      </c>
      <c r="U3726">
        <v>0</v>
      </c>
      <c r="V3726">
        <v>0</v>
      </c>
    </row>
    <row r="3727" spans="1:22" x14ac:dyDescent="0.2">
      <c r="A3727"/>
      <c r="B3727">
        <v>75014</v>
      </c>
      <c r="C3727" t="s">
        <v>398</v>
      </c>
      <c r="D3727" t="s">
        <v>920</v>
      </c>
      <c r="E3727" t="s">
        <v>1275</v>
      </c>
      <c r="F3727" t="s">
        <v>122</v>
      </c>
      <c r="G3727">
        <v>167.75012235284032</v>
      </c>
      <c r="H3727" t="s">
        <v>248</v>
      </c>
      <c r="I3727">
        <v>0</v>
      </c>
      <c r="J3727">
        <v>0</v>
      </c>
      <c r="K3727">
        <v>0</v>
      </c>
      <c r="L3727">
        <v>0</v>
      </c>
      <c r="M3727" t="s">
        <v>188</v>
      </c>
      <c r="N3727">
        <v>491.68490779953299</v>
      </c>
      <c r="O3727" t="s">
        <v>248</v>
      </c>
      <c r="P3727" t="b">
        <v>1</v>
      </c>
      <c r="Q3727">
        <v>4971.5310105329472</v>
      </c>
      <c r="R3727">
        <v>22086.97563922522</v>
      </c>
      <c r="S3727">
        <v>-2.808553597498935E-3</v>
      </c>
      <c r="T3727">
        <v>79.495827053529013</v>
      </c>
      <c r="U3727">
        <v>0</v>
      </c>
      <c r="V3727">
        <v>0</v>
      </c>
    </row>
    <row r="3728" spans="1:22" x14ac:dyDescent="0.2">
      <c r="A3728"/>
      <c r="B3728">
        <v>75015</v>
      </c>
      <c r="C3728" t="s">
        <v>385</v>
      </c>
      <c r="D3728" t="s">
        <v>920</v>
      </c>
      <c r="E3728" t="s">
        <v>1275</v>
      </c>
      <c r="F3728" t="s">
        <v>122</v>
      </c>
      <c r="G3728">
        <v>202.35129677889941</v>
      </c>
      <c r="H3728" t="s">
        <v>248</v>
      </c>
      <c r="I3728">
        <v>0</v>
      </c>
      <c r="J3728">
        <v>0</v>
      </c>
      <c r="K3728">
        <v>0</v>
      </c>
      <c r="L3728">
        <v>0</v>
      </c>
      <c r="M3728" t="s">
        <v>188</v>
      </c>
      <c r="N3728">
        <v>526.28608222559205</v>
      </c>
      <c r="O3728" t="s">
        <v>248</v>
      </c>
      <c r="P3728" t="b">
        <v>1</v>
      </c>
      <c r="Q3728">
        <v>4977.7669029243352</v>
      </c>
      <c r="R3728">
        <v>22121.010229253498</v>
      </c>
      <c r="S3728">
        <v>1.3350430584230756E-3</v>
      </c>
      <c r="T3728">
        <v>79.723518534775764</v>
      </c>
      <c r="U3728">
        <v>0</v>
      </c>
      <c r="V3728">
        <v>0</v>
      </c>
    </row>
    <row r="3729" spans="1:22" x14ac:dyDescent="0.2">
      <c r="A3729"/>
      <c r="B3729">
        <v>75016</v>
      </c>
      <c r="C3729" t="s">
        <v>388</v>
      </c>
      <c r="D3729" t="s">
        <v>920</v>
      </c>
      <c r="E3729" t="s">
        <v>1275</v>
      </c>
      <c r="F3729" t="s">
        <v>122</v>
      </c>
      <c r="G3729">
        <v>205.30950490879937</v>
      </c>
      <c r="H3729" t="s">
        <v>248</v>
      </c>
      <c r="I3729">
        <v>0</v>
      </c>
      <c r="J3729">
        <v>0</v>
      </c>
      <c r="K3729">
        <v>0</v>
      </c>
      <c r="L3729">
        <v>0</v>
      </c>
      <c r="M3729" t="s">
        <v>188</v>
      </c>
      <c r="N3729">
        <v>529.24429035549201</v>
      </c>
      <c r="O3729" t="s">
        <v>248</v>
      </c>
      <c r="P3729" t="b">
        <v>1</v>
      </c>
      <c r="Q3729">
        <v>4978.2942529421425</v>
      </c>
      <c r="R3729">
        <v>22123.921053344293</v>
      </c>
      <c r="S3729">
        <v>1.9345347303149586E-3</v>
      </c>
      <c r="T3729">
        <v>79.738736315568389</v>
      </c>
      <c r="U3729">
        <v>0</v>
      </c>
      <c r="V3729">
        <v>0</v>
      </c>
    </row>
    <row r="3730" spans="1:22" x14ac:dyDescent="0.2">
      <c r="A3730"/>
      <c r="B3730">
        <v>75017</v>
      </c>
      <c r="C3730" t="s">
        <v>386</v>
      </c>
      <c r="D3730" t="s">
        <v>920</v>
      </c>
      <c r="E3730" t="s">
        <v>1275</v>
      </c>
      <c r="F3730" t="s">
        <v>122</v>
      </c>
      <c r="G3730">
        <v>224.95200689133233</v>
      </c>
      <c r="H3730" t="s">
        <v>248</v>
      </c>
      <c r="I3730">
        <v>0</v>
      </c>
      <c r="J3730">
        <v>0</v>
      </c>
      <c r="K3730">
        <v>0</v>
      </c>
      <c r="L3730">
        <v>0</v>
      </c>
      <c r="M3730" t="s">
        <v>188</v>
      </c>
      <c r="N3730">
        <v>548.88679233802497</v>
      </c>
      <c r="O3730" t="s">
        <v>248</v>
      </c>
      <c r="P3730" t="b">
        <v>1</v>
      </c>
      <c r="Q3730">
        <v>4981.7782978525238</v>
      </c>
      <c r="R3730">
        <v>22143.252096279994</v>
      </c>
      <c r="S3730">
        <v>6.8950058251337444E-3</v>
      </c>
      <c r="T3730">
        <v>79.822807173592494</v>
      </c>
      <c r="U3730">
        <v>0</v>
      </c>
      <c r="V3730">
        <v>0</v>
      </c>
    </row>
    <row r="3731" spans="1:22" x14ac:dyDescent="0.2">
      <c r="A3731"/>
      <c r="B3731">
        <v>75018</v>
      </c>
      <c r="C3731" t="s">
        <v>387</v>
      </c>
      <c r="D3731" t="s">
        <v>920</v>
      </c>
      <c r="E3731" t="s">
        <v>1275</v>
      </c>
      <c r="F3731" t="s">
        <v>122</v>
      </c>
      <c r="G3731">
        <v>227.9102150212324</v>
      </c>
      <c r="H3731" t="s">
        <v>248</v>
      </c>
      <c r="I3731">
        <v>0</v>
      </c>
      <c r="J3731">
        <v>0</v>
      </c>
      <c r="K3731">
        <v>0</v>
      </c>
      <c r="L3731">
        <v>0</v>
      </c>
      <c r="M3731" t="s">
        <v>188</v>
      </c>
      <c r="N3731">
        <v>551.84500046792505</v>
      </c>
      <c r="O3731" t="s">
        <v>248</v>
      </c>
      <c r="P3731" t="b">
        <v>1</v>
      </c>
      <c r="Q3731">
        <v>4982.3007327813903</v>
      </c>
      <c r="R3731">
        <v>22146.163806475353</v>
      </c>
      <c r="S3731">
        <v>7.7896319620029365E-3</v>
      </c>
      <c r="T3731">
        <v>79.832911940397466</v>
      </c>
      <c r="U3731">
        <v>0</v>
      </c>
      <c r="V3731">
        <v>0</v>
      </c>
    </row>
    <row r="3732" spans="1:22" x14ac:dyDescent="0.2">
      <c r="A3732"/>
      <c r="B3732">
        <v>75019</v>
      </c>
      <c r="C3732" t="s">
        <v>389</v>
      </c>
      <c r="D3732" t="s">
        <v>920</v>
      </c>
      <c r="E3732" t="s">
        <v>1275</v>
      </c>
      <c r="F3732" t="s">
        <v>122</v>
      </c>
      <c r="G3732">
        <v>279.59997174434534</v>
      </c>
      <c r="H3732" t="s">
        <v>248</v>
      </c>
      <c r="I3732">
        <v>0</v>
      </c>
      <c r="J3732">
        <v>0</v>
      </c>
      <c r="K3732">
        <v>0</v>
      </c>
      <c r="L3732">
        <v>0</v>
      </c>
      <c r="M3732" t="s">
        <v>188</v>
      </c>
      <c r="N3732">
        <v>603.53475719103801</v>
      </c>
      <c r="O3732" t="s">
        <v>248</v>
      </c>
      <c r="P3732" t="b">
        <v>1</v>
      </c>
      <c r="Q3732">
        <v>4991.3728981220384</v>
      </c>
      <c r="R3732">
        <v>22197.049067749267</v>
      </c>
      <c r="S3732">
        <v>-0.37906698469541289</v>
      </c>
      <c r="T3732">
        <v>79.923429686181464</v>
      </c>
      <c r="U3732">
        <v>0</v>
      </c>
      <c r="V3732">
        <v>0</v>
      </c>
    </row>
    <row r="3733" spans="1:22" x14ac:dyDescent="0.2">
      <c r="A3733"/>
      <c r="B3733">
        <v>75020</v>
      </c>
      <c r="C3733" t="s">
        <v>390</v>
      </c>
      <c r="D3733" t="s">
        <v>920</v>
      </c>
      <c r="E3733" t="s">
        <v>1275</v>
      </c>
      <c r="F3733" t="s">
        <v>122</v>
      </c>
      <c r="G3733">
        <v>350.16309633621734</v>
      </c>
      <c r="H3733" t="s">
        <v>248</v>
      </c>
      <c r="I3733">
        <v>0</v>
      </c>
      <c r="J3733">
        <v>0</v>
      </c>
      <c r="K3733">
        <v>0</v>
      </c>
      <c r="L3733">
        <v>0</v>
      </c>
      <c r="M3733" t="s">
        <v>188</v>
      </c>
      <c r="N3733">
        <v>674.09788178291001</v>
      </c>
      <c r="O3733" t="s">
        <v>248</v>
      </c>
      <c r="P3733" t="b">
        <v>1</v>
      </c>
      <c r="Q3733">
        <v>5003.7476058762004</v>
      </c>
      <c r="R3733">
        <v>22266.506954498567</v>
      </c>
      <c r="S3733">
        <v>-1.6155285550139329</v>
      </c>
      <c r="T3733">
        <v>79.815406524398171</v>
      </c>
      <c r="U3733">
        <v>0</v>
      </c>
      <c r="V3733">
        <v>0</v>
      </c>
    </row>
    <row r="3734" spans="1:22" x14ac:dyDescent="0.2">
      <c r="A3734"/>
      <c r="B3734">
        <v>75021</v>
      </c>
      <c r="C3734" t="s">
        <v>391</v>
      </c>
      <c r="D3734" t="s">
        <v>920</v>
      </c>
      <c r="E3734" t="s">
        <v>1275</v>
      </c>
      <c r="F3734" t="s">
        <v>122</v>
      </c>
      <c r="G3734">
        <v>370.87055324551432</v>
      </c>
      <c r="H3734" t="s">
        <v>248</v>
      </c>
      <c r="I3734">
        <v>0</v>
      </c>
      <c r="J3734">
        <v>0</v>
      </c>
      <c r="K3734">
        <v>0</v>
      </c>
      <c r="L3734">
        <v>0</v>
      </c>
      <c r="M3734" t="s">
        <v>188</v>
      </c>
      <c r="N3734">
        <v>694.80533869220699</v>
      </c>
      <c r="O3734" t="s">
        <v>248</v>
      </c>
      <c r="P3734" t="b">
        <v>1</v>
      </c>
      <c r="Q3734">
        <v>5007.4180200879673</v>
      </c>
      <c r="R3734">
        <v>22286.886232391538</v>
      </c>
      <c r="S3734">
        <v>-1.7162399685898695</v>
      </c>
      <c r="T3734">
        <v>79.780488146028475</v>
      </c>
      <c r="U3734">
        <v>0</v>
      </c>
      <c r="V3734">
        <v>0</v>
      </c>
    </row>
    <row r="3735" spans="1:22" x14ac:dyDescent="0.2">
      <c r="A3735"/>
      <c r="B3735">
        <v>75022</v>
      </c>
      <c r="C3735" t="s">
        <v>392</v>
      </c>
      <c r="D3735" t="s">
        <v>920</v>
      </c>
      <c r="E3735" t="s">
        <v>1275</v>
      </c>
      <c r="F3735" t="s">
        <v>123</v>
      </c>
      <c r="G3735">
        <v>112.07902654575412</v>
      </c>
      <c r="H3735" t="s">
        <v>248</v>
      </c>
      <c r="I3735">
        <v>0</v>
      </c>
      <c r="J3735">
        <v>0</v>
      </c>
      <c r="K3735">
        <v>0</v>
      </c>
      <c r="L3735">
        <v>0</v>
      </c>
      <c r="M3735" t="s">
        <v>188</v>
      </c>
      <c r="N3735">
        <v>812.85994566036004</v>
      </c>
      <c r="O3735" t="s">
        <v>248</v>
      </c>
      <c r="P3735" t="b">
        <v>1</v>
      </c>
      <c r="Q3735">
        <v>5028.2989379901983</v>
      </c>
      <c r="R3735">
        <v>22403.079446508491</v>
      </c>
      <c r="S3735">
        <v>-1.7268243151244771</v>
      </c>
      <c r="T3735">
        <v>79.616547295743615</v>
      </c>
      <c r="U3735">
        <v>0</v>
      </c>
      <c r="V3735">
        <v>0</v>
      </c>
    </row>
    <row r="3736" spans="1:22" x14ac:dyDescent="0.2">
      <c r="A3736"/>
      <c r="B3736">
        <v>75023</v>
      </c>
      <c r="C3736" t="s">
        <v>393</v>
      </c>
      <c r="D3736" t="s">
        <v>920</v>
      </c>
      <c r="E3736" t="s">
        <v>1275</v>
      </c>
      <c r="F3736" t="s">
        <v>123</v>
      </c>
      <c r="G3736">
        <v>184.28018986380312</v>
      </c>
      <c r="H3736" t="s">
        <v>248</v>
      </c>
      <c r="I3736">
        <v>0</v>
      </c>
      <c r="J3736">
        <v>0</v>
      </c>
      <c r="K3736">
        <v>0</v>
      </c>
      <c r="L3736">
        <v>0</v>
      </c>
      <c r="M3736" t="s">
        <v>188</v>
      </c>
      <c r="N3736">
        <v>885.06110897840904</v>
      </c>
      <c r="O3736" t="s">
        <v>248</v>
      </c>
      <c r="P3736" t="b">
        <v>1</v>
      </c>
      <c r="Q3736">
        <v>5042.5937601891219</v>
      </c>
      <c r="R3736">
        <v>22473.84528991054</v>
      </c>
      <c r="S3736">
        <v>-1.6304411501404532</v>
      </c>
      <c r="T3736">
        <v>77.176473555610357</v>
      </c>
      <c r="U3736">
        <v>0</v>
      </c>
      <c r="V3736">
        <v>0</v>
      </c>
    </row>
    <row r="3737" spans="1:22" x14ac:dyDescent="0.2">
      <c r="A3737"/>
      <c r="B3737">
        <v>75024</v>
      </c>
      <c r="C3737" t="s">
        <v>394</v>
      </c>
      <c r="D3737" t="s">
        <v>920</v>
      </c>
      <c r="E3737" t="s">
        <v>1275</v>
      </c>
      <c r="F3737" t="s">
        <v>123</v>
      </c>
      <c r="G3737">
        <v>269.42641189119104</v>
      </c>
      <c r="H3737" t="s">
        <v>248</v>
      </c>
      <c r="I3737">
        <v>0</v>
      </c>
      <c r="J3737">
        <v>0</v>
      </c>
      <c r="K3737">
        <v>0</v>
      </c>
      <c r="L3737">
        <v>0</v>
      </c>
      <c r="M3737" t="s">
        <v>188</v>
      </c>
      <c r="N3737">
        <v>970.20733100579696</v>
      </c>
      <c r="O3737" t="s">
        <v>248</v>
      </c>
      <c r="P3737" t="b">
        <v>1</v>
      </c>
      <c r="Q3737">
        <v>5062.4923643141074</v>
      </c>
      <c r="R3737">
        <v>22556.632298678862</v>
      </c>
      <c r="S3737">
        <v>-1.2340615555135317</v>
      </c>
      <c r="T3737">
        <v>76.456053112116209</v>
      </c>
      <c r="U3737">
        <v>0</v>
      </c>
      <c r="V3737">
        <v>0</v>
      </c>
    </row>
    <row r="3738" spans="1:22" x14ac:dyDescent="0.2">
      <c r="A3738"/>
      <c r="B3738">
        <v>75025</v>
      </c>
      <c r="C3738" t="s">
        <v>399</v>
      </c>
      <c r="D3738" t="s">
        <v>920</v>
      </c>
      <c r="E3738" t="s">
        <v>1275</v>
      </c>
      <c r="F3738" t="s">
        <v>123</v>
      </c>
      <c r="G3738">
        <v>328.91859659794409</v>
      </c>
      <c r="H3738" t="s">
        <v>248</v>
      </c>
      <c r="I3738">
        <v>0</v>
      </c>
      <c r="J3738">
        <v>0</v>
      </c>
      <c r="K3738">
        <v>0</v>
      </c>
      <c r="L3738">
        <v>0</v>
      </c>
      <c r="M3738" t="s">
        <v>188</v>
      </c>
      <c r="N3738">
        <v>1029.69951571255</v>
      </c>
      <c r="O3738" t="s">
        <v>248</v>
      </c>
      <c r="P3738" t="b">
        <v>1</v>
      </c>
      <c r="Q3738">
        <v>5075.6642101219049</v>
      </c>
      <c r="R3738">
        <v>22614.643983106027</v>
      </c>
      <c r="S3738">
        <v>-0.94917813669976647</v>
      </c>
      <c r="T3738">
        <v>78.509675236977827</v>
      </c>
      <c r="U3738">
        <v>0</v>
      </c>
      <c r="V3738">
        <v>0</v>
      </c>
    </row>
    <row r="3739" spans="1:22" x14ac:dyDescent="0.2">
      <c r="A3739"/>
      <c r="B3739">
        <v>75026</v>
      </c>
      <c r="C3739" t="s">
        <v>395</v>
      </c>
      <c r="D3739" t="s">
        <v>920</v>
      </c>
      <c r="E3739" t="s">
        <v>1275</v>
      </c>
      <c r="F3739" t="s">
        <v>123</v>
      </c>
      <c r="G3739">
        <v>389.335428355354</v>
      </c>
      <c r="H3739" t="s">
        <v>248</v>
      </c>
      <c r="I3739">
        <v>0</v>
      </c>
      <c r="J3739">
        <v>0</v>
      </c>
      <c r="K3739">
        <v>0</v>
      </c>
      <c r="L3739">
        <v>0</v>
      </c>
      <c r="M3739" t="s">
        <v>188</v>
      </c>
      <c r="N3739">
        <v>1090.1163474699599</v>
      </c>
      <c r="O3739" t="s">
        <v>248</v>
      </c>
      <c r="P3739" t="b">
        <v>1</v>
      </c>
      <c r="Q3739">
        <v>5085.1151609023591</v>
      </c>
      <c r="R3739">
        <v>22674.293861650076</v>
      </c>
      <c r="S3739">
        <v>-0.66683611770761531</v>
      </c>
      <c r="T3739">
        <v>83.578700738987791</v>
      </c>
      <c r="U3739">
        <v>0</v>
      </c>
      <c r="V3739">
        <v>0</v>
      </c>
    </row>
    <row r="3740" spans="1:22" x14ac:dyDescent="0.2">
      <c r="A3740"/>
      <c r="B3740">
        <v>75027</v>
      </c>
      <c r="C3740" t="s">
        <v>396</v>
      </c>
      <c r="D3740" t="s">
        <v>920</v>
      </c>
      <c r="E3740" t="s">
        <v>1275</v>
      </c>
      <c r="F3740" t="s">
        <v>123</v>
      </c>
      <c r="G3740">
        <v>446.525832106194</v>
      </c>
      <c r="H3740" t="s">
        <v>248</v>
      </c>
      <c r="I3740">
        <v>0</v>
      </c>
      <c r="J3740">
        <v>0</v>
      </c>
      <c r="K3740">
        <v>0</v>
      </c>
      <c r="L3740">
        <v>0</v>
      </c>
      <c r="M3740" t="s">
        <v>188</v>
      </c>
      <c r="N3740">
        <v>1147.3067512207999</v>
      </c>
      <c r="O3740" t="s">
        <v>248</v>
      </c>
      <c r="P3740" t="b">
        <v>1</v>
      </c>
      <c r="Q3740">
        <v>5091.9614479312741</v>
      </c>
      <c r="R3740">
        <v>22731.07112039514</v>
      </c>
      <c r="S3740">
        <v>-0.39296726841779694</v>
      </c>
      <c r="T3740">
        <v>82.286784173157969</v>
      </c>
      <c r="U3740">
        <v>0</v>
      </c>
      <c r="V3740">
        <v>0</v>
      </c>
    </row>
    <row r="3741" spans="1:22" x14ac:dyDescent="0.2">
      <c r="A3741"/>
      <c r="B3741">
        <v>75028</v>
      </c>
      <c r="C3741" t="s">
        <v>397</v>
      </c>
      <c r="D3741" t="s">
        <v>920</v>
      </c>
      <c r="E3741" t="s">
        <v>1275</v>
      </c>
      <c r="F3741" t="s">
        <v>123</v>
      </c>
      <c r="G3741">
        <v>643.25924714175403</v>
      </c>
      <c r="H3741" t="s">
        <v>248</v>
      </c>
      <c r="I3741">
        <v>0</v>
      </c>
      <c r="J3741">
        <v>0</v>
      </c>
      <c r="K3741">
        <v>0</v>
      </c>
      <c r="L3741">
        <v>0</v>
      </c>
      <c r="M3741" t="s">
        <v>188</v>
      </c>
      <c r="N3741">
        <v>1344.04016625636</v>
      </c>
      <c r="O3741" t="s">
        <v>248</v>
      </c>
      <c r="P3741" t="b">
        <v>1</v>
      </c>
      <c r="Q3741">
        <v>5136.6511199248016</v>
      </c>
      <c r="R3741">
        <v>22922.452209372852</v>
      </c>
      <c r="S3741">
        <v>0.53642781322103217</v>
      </c>
      <c r="T3741">
        <v>74.784333795778466</v>
      </c>
      <c r="U3741">
        <v>0</v>
      </c>
      <c r="V3741">
        <v>0</v>
      </c>
    </row>
    <row r="3742" spans="1:22" x14ac:dyDescent="0.2">
      <c r="A3742"/>
      <c r="B3742">
        <v>75029</v>
      </c>
      <c r="C3742" t="s">
        <v>400</v>
      </c>
      <c r="D3742" t="s">
        <v>920</v>
      </c>
      <c r="E3742" t="s">
        <v>1275</v>
      </c>
      <c r="F3742" t="s">
        <v>123</v>
      </c>
      <c r="G3742">
        <v>839.99266217730417</v>
      </c>
      <c r="H3742" t="s">
        <v>248</v>
      </c>
      <c r="I3742">
        <v>0</v>
      </c>
      <c r="J3742">
        <v>0</v>
      </c>
      <c r="K3742">
        <v>0</v>
      </c>
      <c r="L3742">
        <v>0</v>
      </c>
      <c r="M3742" t="s">
        <v>188</v>
      </c>
      <c r="N3742">
        <v>1540.77358129191</v>
      </c>
      <c r="O3742" t="s">
        <v>248</v>
      </c>
      <c r="P3742" t="b">
        <v>1</v>
      </c>
      <c r="Q3742">
        <v>5177.9002376296958</v>
      </c>
      <c r="R3742">
        <v>23114.13893773856</v>
      </c>
      <c r="S3742">
        <v>-0.66258357873947937</v>
      </c>
      <c r="T3742">
        <v>89.660124084637729</v>
      </c>
      <c r="U3742">
        <v>0</v>
      </c>
      <c r="V3742">
        <v>0</v>
      </c>
    </row>
    <row r="3743" spans="1:22" x14ac:dyDescent="0.2">
      <c r="A3743"/>
      <c r="B3743">
        <v>75030</v>
      </c>
      <c r="C3743" t="s">
        <v>401</v>
      </c>
      <c r="D3743" t="s">
        <v>920</v>
      </c>
      <c r="E3743" t="s">
        <v>1275</v>
      </c>
      <c r="F3743" t="s">
        <v>123</v>
      </c>
      <c r="G3743">
        <v>1036.7260772128643</v>
      </c>
      <c r="H3743" t="s">
        <v>248</v>
      </c>
      <c r="I3743">
        <v>0</v>
      </c>
      <c r="J3743">
        <v>0</v>
      </c>
      <c r="K3743">
        <v>0</v>
      </c>
      <c r="L3743">
        <v>0</v>
      </c>
      <c r="M3743" t="s">
        <v>188</v>
      </c>
      <c r="N3743">
        <v>1737.50699632747</v>
      </c>
      <c r="O3743" t="s">
        <v>248</v>
      </c>
      <c r="P3743" t="b">
        <v>1</v>
      </c>
      <c r="Q3743">
        <v>5120.5793017410424</v>
      </c>
      <c r="R3743">
        <v>23299.442263784793</v>
      </c>
      <c r="S3743">
        <v>3.7210662972977824</v>
      </c>
      <c r="T3743">
        <v>119.0402558144598</v>
      </c>
      <c r="U3743">
        <v>0</v>
      </c>
      <c r="V3743">
        <v>0</v>
      </c>
    </row>
    <row r="3744" spans="1:22" x14ac:dyDescent="0.2">
      <c r="A3744"/>
      <c r="B3744">
        <v>75031</v>
      </c>
      <c r="C3744" t="s">
        <v>402</v>
      </c>
      <c r="D3744" t="s">
        <v>920</v>
      </c>
      <c r="E3744" t="s">
        <v>1275</v>
      </c>
      <c r="F3744" t="s">
        <v>123</v>
      </c>
      <c r="G3744">
        <v>1154.7661262341944</v>
      </c>
      <c r="H3744" t="s">
        <v>248</v>
      </c>
      <c r="I3744">
        <v>0</v>
      </c>
      <c r="J3744">
        <v>0</v>
      </c>
      <c r="K3744">
        <v>0</v>
      </c>
      <c r="L3744">
        <v>0</v>
      </c>
      <c r="M3744" t="s">
        <v>188</v>
      </c>
      <c r="N3744">
        <v>1855.5470453488001</v>
      </c>
      <c r="O3744" t="s">
        <v>248</v>
      </c>
      <c r="P3744" t="b">
        <v>1</v>
      </c>
      <c r="Q3744">
        <v>5074.3595399399146</v>
      </c>
      <c r="R3744">
        <v>23407.488503846696</v>
      </c>
      <c r="S3744">
        <v>6.6044561797857737</v>
      </c>
      <c r="T3744">
        <v>102.92977561400298</v>
      </c>
      <c r="U3744">
        <v>0</v>
      </c>
      <c r="V3744">
        <v>0</v>
      </c>
    </row>
    <row r="3745" spans="1:22" x14ac:dyDescent="0.2">
      <c r="A3745"/>
      <c r="B3745">
        <v>75032</v>
      </c>
      <c r="C3745" t="s">
        <v>413</v>
      </c>
      <c r="D3745" t="s">
        <v>920</v>
      </c>
      <c r="E3745" t="s">
        <v>1275</v>
      </c>
      <c r="F3745" t="s">
        <v>123</v>
      </c>
      <c r="G3745">
        <v>1175.4231348129242</v>
      </c>
      <c r="H3745" t="s">
        <v>248</v>
      </c>
      <c r="I3745">
        <v>0</v>
      </c>
      <c r="J3745">
        <v>0</v>
      </c>
      <c r="K3745">
        <v>0</v>
      </c>
      <c r="L3745">
        <v>0</v>
      </c>
      <c r="M3745" t="s">
        <v>188</v>
      </c>
      <c r="N3745">
        <v>1876.2040539275299</v>
      </c>
      <c r="O3745" t="s">
        <v>248</v>
      </c>
      <c r="P3745" t="b">
        <v>1</v>
      </c>
      <c r="Q3745">
        <v>5070.4400802953769</v>
      </c>
      <c r="R3745">
        <v>23427.76175227993</v>
      </c>
      <c r="S3745">
        <v>7.0209899398880236</v>
      </c>
      <c r="T3745">
        <v>98.964952703274818</v>
      </c>
      <c r="U3745">
        <v>0</v>
      </c>
      <c r="V3745">
        <v>0</v>
      </c>
    </row>
    <row r="3746" spans="1:22" x14ac:dyDescent="0.2">
      <c r="A3746"/>
      <c r="B3746">
        <v>75033</v>
      </c>
      <c r="C3746" t="s">
        <v>403</v>
      </c>
      <c r="D3746" t="s">
        <v>920</v>
      </c>
      <c r="E3746" t="s">
        <v>1275</v>
      </c>
      <c r="F3746" t="s">
        <v>123</v>
      </c>
      <c r="G3746">
        <v>1270.1699474940542</v>
      </c>
      <c r="H3746" t="s">
        <v>248</v>
      </c>
      <c r="I3746">
        <v>0</v>
      </c>
      <c r="J3746">
        <v>0</v>
      </c>
      <c r="K3746">
        <v>0</v>
      </c>
      <c r="L3746">
        <v>0</v>
      </c>
      <c r="M3746" t="s">
        <v>188</v>
      </c>
      <c r="N3746">
        <v>1970.9508666086599</v>
      </c>
      <c r="O3746" t="s">
        <v>248</v>
      </c>
      <c r="P3746" t="b">
        <v>1</v>
      </c>
      <c r="Q3746">
        <v>5067.6549830177592</v>
      </c>
      <c r="R3746">
        <v>23522.29651017757</v>
      </c>
      <c r="S3746">
        <v>7.3978575243329878</v>
      </c>
      <c r="T3746">
        <v>88.087954292445602</v>
      </c>
      <c r="U3746">
        <v>0</v>
      </c>
      <c r="V3746">
        <v>0</v>
      </c>
    </row>
    <row r="3747" spans="1:22" x14ac:dyDescent="0.2">
      <c r="A3747"/>
      <c r="B3747">
        <v>75034</v>
      </c>
      <c r="C3747" t="s">
        <v>404</v>
      </c>
      <c r="D3747" t="s">
        <v>920</v>
      </c>
      <c r="E3747" t="s">
        <v>1275</v>
      </c>
      <c r="F3747" t="s">
        <v>123</v>
      </c>
      <c r="G3747">
        <v>1284.7872402311941</v>
      </c>
      <c r="H3747" t="s">
        <v>248</v>
      </c>
      <c r="I3747">
        <v>0</v>
      </c>
      <c r="J3747">
        <v>0</v>
      </c>
      <c r="K3747">
        <v>0</v>
      </c>
      <c r="L3747">
        <v>0</v>
      </c>
      <c r="M3747" t="s">
        <v>188</v>
      </c>
      <c r="N3747">
        <v>1985.5681593458</v>
      </c>
      <c r="O3747" t="s">
        <v>248</v>
      </c>
      <c r="P3747" t="b">
        <v>1</v>
      </c>
      <c r="Q3747">
        <v>5068.1425346091855</v>
      </c>
      <c r="R3747">
        <v>23536.905669234671</v>
      </c>
      <c r="S3747">
        <v>7.4008731128051011</v>
      </c>
      <c r="T3747">
        <v>88.100790298617326</v>
      </c>
      <c r="U3747">
        <v>0</v>
      </c>
      <c r="V3747">
        <v>0</v>
      </c>
    </row>
    <row r="3748" spans="1:22" x14ac:dyDescent="0.2">
      <c r="A3748"/>
      <c r="B3748">
        <v>75035</v>
      </c>
      <c r="C3748" t="s">
        <v>405</v>
      </c>
      <c r="D3748" t="s">
        <v>920</v>
      </c>
      <c r="E3748" t="s">
        <v>1275</v>
      </c>
      <c r="F3748" t="s">
        <v>123</v>
      </c>
      <c r="G3748">
        <v>1287.7382414567242</v>
      </c>
      <c r="H3748" t="s">
        <v>248</v>
      </c>
      <c r="I3748">
        <v>0</v>
      </c>
      <c r="J3748">
        <v>0</v>
      </c>
      <c r="K3748">
        <v>0</v>
      </c>
      <c r="L3748">
        <v>0</v>
      </c>
      <c r="M3748" t="s">
        <v>188</v>
      </c>
      <c r="N3748">
        <v>1988.5191605713301</v>
      </c>
      <c r="O3748" t="s">
        <v>248</v>
      </c>
      <c r="P3748" t="b">
        <v>1</v>
      </c>
      <c r="Q3748">
        <v>5068.2401916359813</v>
      </c>
      <c r="R3748">
        <v>23539.855054068161</v>
      </c>
      <c r="S3748">
        <v>7.4015329033936439</v>
      </c>
      <c r="T3748">
        <v>88.10635755196914</v>
      </c>
      <c r="U3748">
        <v>0</v>
      </c>
      <c r="V3748">
        <v>0</v>
      </c>
    </row>
    <row r="3749" spans="1:22" x14ac:dyDescent="0.2">
      <c r="A3749"/>
      <c r="B3749">
        <v>75036</v>
      </c>
      <c r="C3749" t="s">
        <v>406</v>
      </c>
      <c r="D3749" t="s">
        <v>920</v>
      </c>
      <c r="E3749" t="s">
        <v>1275</v>
      </c>
      <c r="F3749" t="s">
        <v>123</v>
      </c>
      <c r="G3749">
        <v>1307.3328895942641</v>
      </c>
      <c r="H3749" t="s">
        <v>248</v>
      </c>
      <c r="I3749">
        <v>0</v>
      </c>
      <c r="J3749">
        <v>0</v>
      </c>
      <c r="K3749">
        <v>0</v>
      </c>
      <c r="L3749">
        <v>0</v>
      </c>
      <c r="M3749" t="s">
        <v>188</v>
      </c>
      <c r="N3749">
        <v>2008.11380870887</v>
      </c>
      <c r="O3749" t="s">
        <v>248</v>
      </c>
      <c r="P3749" t="b">
        <v>1</v>
      </c>
      <c r="Q3749">
        <v>5068.8813433156365</v>
      </c>
      <c r="R3749">
        <v>23559.439209136344</v>
      </c>
      <c r="S3749">
        <v>7.4056509192668898</v>
      </c>
      <c r="T3749">
        <v>88.143502170756406</v>
      </c>
      <c r="U3749">
        <v>0</v>
      </c>
      <c r="V3749">
        <v>0</v>
      </c>
    </row>
    <row r="3750" spans="1:22" x14ac:dyDescent="0.2">
      <c r="A3750"/>
      <c r="B3750">
        <v>75037</v>
      </c>
      <c r="C3750" t="s">
        <v>407</v>
      </c>
      <c r="D3750" t="s">
        <v>920</v>
      </c>
      <c r="E3750" t="s">
        <v>1275</v>
      </c>
      <c r="F3750" t="s">
        <v>123</v>
      </c>
      <c r="G3750">
        <v>1310.2838908198041</v>
      </c>
      <c r="H3750" t="s">
        <v>248</v>
      </c>
      <c r="I3750">
        <v>0</v>
      </c>
      <c r="J3750">
        <v>0</v>
      </c>
      <c r="K3750">
        <v>0</v>
      </c>
      <c r="L3750">
        <v>0</v>
      </c>
      <c r="M3750" t="s">
        <v>188</v>
      </c>
      <c r="N3750">
        <v>2011.0648099344101</v>
      </c>
      <c r="O3750" t="s">
        <v>248</v>
      </c>
      <c r="P3750" t="b">
        <v>1</v>
      </c>
      <c r="Q3750">
        <v>5068.9768002789533</v>
      </c>
      <c r="R3750">
        <v>23562.388666011302</v>
      </c>
      <c r="S3750">
        <v>7.4062314949332801</v>
      </c>
      <c r="T3750">
        <v>88.149123055593535</v>
      </c>
      <c r="U3750">
        <v>0</v>
      </c>
      <c r="V3750">
        <v>0</v>
      </c>
    </row>
    <row r="3751" spans="1:22" x14ac:dyDescent="0.2">
      <c r="A3751"/>
      <c r="B3751">
        <v>75038</v>
      </c>
      <c r="C3751" t="s">
        <v>408</v>
      </c>
      <c r="D3751" t="s">
        <v>920</v>
      </c>
      <c r="E3751" t="s">
        <v>1275</v>
      </c>
      <c r="F3751" t="s">
        <v>123</v>
      </c>
      <c r="G3751">
        <v>1367.3562545216141</v>
      </c>
      <c r="H3751" t="s">
        <v>248</v>
      </c>
      <c r="I3751">
        <v>0</v>
      </c>
      <c r="J3751">
        <v>0</v>
      </c>
      <c r="K3751">
        <v>0</v>
      </c>
      <c r="L3751">
        <v>0</v>
      </c>
      <c r="M3751" t="s">
        <v>188</v>
      </c>
      <c r="N3751">
        <v>2068.1371736362198</v>
      </c>
      <c r="O3751" t="s">
        <v>248</v>
      </c>
      <c r="P3751" t="b">
        <v>1</v>
      </c>
      <c r="Q3751">
        <v>5070.765555015998</v>
      </c>
      <c r="R3751">
        <v>23619.432981829832</v>
      </c>
      <c r="S3751">
        <v>7.4154204823643965</v>
      </c>
      <c r="T3751">
        <v>88.259211682852197</v>
      </c>
      <c r="U3751">
        <v>0</v>
      </c>
      <c r="V3751">
        <v>0</v>
      </c>
    </row>
    <row r="3752" spans="1:22" x14ac:dyDescent="0.2">
      <c r="A3752"/>
      <c r="B3752">
        <v>75039</v>
      </c>
      <c r="C3752" t="s">
        <v>409</v>
      </c>
      <c r="D3752" t="s">
        <v>920</v>
      </c>
      <c r="E3752" t="s">
        <v>1275</v>
      </c>
      <c r="F3752" t="s">
        <v>123</v>
      </c>
      <c r="G3752">
        <v>1401.8829688603541</v>
      </c>
      <c r="H3752" t="s">
        <v>248</v>
      </c>
      <c r="I3752">
        <v>0</v>
      </c>
      <c r="J3752">
        <v>0</v>
      </c>
      <c r="K3752">
        <v>0</v>
      </c>
      <c r="L3752">
        <v>0</v>
      </c>
      <c r="M3752" t="s">
        <v>188</v>
      </c>
      <c r="N3752">
        <v>2102.6638879749598</v>
      </c>
      <c r="O3752" t="s">
        <v>248</v>
      </c>
      <c r="P3752" t="b">
        <v>1</v>
      </c>
      <c r="Q3752">
        <v>5071.7940078343881</v>
      </c>
      <c r="R3752">
        <v>23653.944373206243</v>
      </c>
      <c r="S3752">
        <v>7.4190967442336557</v>
      </c>
      <c r="T3752">
        <v>88.32708600618237</v>
      </c>
      <c r="U3752">
        <v>0</v>
      </c>
      <c r="V3752">
        <v>0</v>
      </c>
    </row>
    <row r="3753" spans="1:22" x14ac:dyDescent="0.2">
      <c r="A3753"/>
      <c r="B3753">
        <v>75040</v>
      </c>
      <c r="C3753" t="s">
        <v>410</v>
      </c>
      <c r="D3753" t="s">
        <v>920</v>
      </c>
      <c r="E3753" t="s">
        <v>1275</v>
      </c>
      <c r="F3753" t="s">
        <v>123</v>
      </c>
      <c r="G3753">
        <v>1404.8339700858842</v>
      </c>
      <c r="H3753" t="s">
        <v>248</v>
      </c>
      <c r="I3753">
        <v>0</v>
      </c>
      <c r="J3753">
        <v>0</v>
      </c>
      <c r="K3753">
        <v>0</v>
      </c>
      <c r="L3753">
        <v>0</v>
      </c>
      <c r="M3753" t="s">
        <v>188</v>
      </c>
      <c r="N3753">
        <v>2105.6148892004899</v>
      </c>
      <c r="O3753" t="s">
        <v>248</v>
      </c>
      <c r="P3753" t="b">
        <v>1</v>
      </c>
      <c r="Q3753">
        <v>5071.8800080558158</v>
      </c>
      <c r="R3753">
        <v>23656.894121013385</v>
      </c>
      <c r="S3753">
        <v>7.4193451149257896</v>
      </c>
      <c r="T3753">
        <v>88.332931806305851</v>
      </c>
      <c r="U3753">
        <v>0</v>
      </c>
      <c r="V3753">
        <v>0</v>
      </c>
    </row>
    <row r="3754" spans="1:22" x14ac:dyDescent="0.2">
      <c r="A3754"/>
      <c r="B3754">
        <v>75041</v>
      </c>
      <c r="C3754" t="s">
        <v>411</v>
      </c>
      <c r="D3754" t="s">
        <v>920</v>
      </c>
      <c r="E3754" t="s">
        <v>1275</v>
      </c>
      <c r="F3754" t="s">
        <v>123</v>
      </c>
      <c r="G3754">
        <v>1424.4286182234241</v>
      </c>
      <c r="H3754" t="s">
        <v>248</v>
      </c>
      <c r="I3754">
        <v>0</v>
      </c>
      <c r="J3754">
        <v>0</v>
      </c>
      <c r="K3754">
        <v>0</v>
      </c>
      <c r="L3754">
        <v>0</v>
      </c>
      <c r="M3754" t="s">
        <v>188</v>
      </c>
      <c r="N3754">
        <v>2125.2095373380298</v>
      </c>
      <c r="O3754" t="s">
        <v>248</v>
      </c>
      <c r="P3754" t="b">
        <v>1</v>
      </c>
      <c r="Q3754">
        <v>5072.4433939103264</v>
      </c>
      <c r="R3754">
        <v>23676.480667805863</v>
      </c>
      <c r="S3754">
        <v>7.4207313035949198</v>
      </c>
      <c r="T3754">
        <v>88.371925975657106</v>
      </c>
      <c r="U3754">
        <v>0</v>
      </c>
      <c r="V3754">
        <v>0</v>
      </c>
    </row>
    <row r="3755" spans="1:22" x14ac:dyDescent="0.2">
      <c r="A3755"/>
      <c r="B3755">
        <v>75042</v>
      </c>
      <c r="C3755" t="s">
        <v>412</v>
      </c>
      <c r="D3755" t="s">
        <v>920</v>
      </c>
      <c r="E3755" t="s">
        <v>1275</v>
      </c>
      <c r="F3755" t="s">
        <v>123</v>
      </c>
      <c r="G3755">
        <v>1427.3796194489641</v>
      </c>
      <c r="H3755" t="s">
        <v>248</v>
      </c>
      <c r="I3755">
        <v>0</v>
      </c>
      <c r="J3755">
        <v>0</v>
      </c>
      <c r="K3755">
        <v>0</v>
      </c>
      <c r="L3755">
        <v>0</v>
      </c>
      <c r="M3755" t="s">
        <v>188</v>
      </c>
      <c r="N3755">
        <v>2128.1605385635698</v>
      </c>
      <c r="O3755" t="s">
        <v>248</v>
      </c>
      <c r="P3755" t="b">
        <v>1</v>
      </c>
      <c r="Q3755">
        <v>5072.5270842375421</v>
      </c>
      <c r="R3755">
        <v>23679.430482058655</v>
      </c>
      <c r="S3755">
        <v>7.4209004594813166</v>
      </c>
      <c r="T3755">
        <v>88.377825407265902</v>
      </c>
      <c r="U3755">
        <v>0</v>
      </c>
      <c r="V3755">
        <v>0</v>
      </c>
    </row>
    <row r="3756" spans="1:22" x14ac:dyDescent="0.2">
      <c r="A3756"/>
      <c r="B3756">
        <v>75043</v>
      </c>
      <c r="C3756" t="s">
        <v>414</v>
      </c>
      <c r="D3756" t="s">
        <v>920</v>
      </c>
      <c r="E3756" t="s">
        <v>1275</v>
      </c>
      <c r="F3756" t="s">
        <v>123</v>
      </c>
      <c r="G3756">
        <v>1478.9434475297844</v>
      </c>
      <c r="H3756" t="s">
        <v>248</v>
      </c>
      <c r="I3756">
        <v>0</v>
      </c>
      <c r="J3756">
        <v>0</v>
      </c>
      <c r="K3756">
        <v>0</v>
      </c>
      <c r="L3756">
        <v>0</v>
      </c>
      <c r="M3756" t="s">
        <v>188</v>
      </c>
      <c r="N3756">
        <v>2179.7243666443901</v>
      </c>
      <c r="O3756" t="s">
        <v>248</v>
      </c>
      <c r="P3756" t="b">
        <v>1</v>
      </c>
      <c r="Q3756">
        <v>5073.9400813946677</v>
      </c>
      <c r="R3756">
        <v>23730.974928775875</v>
      </c>
      <c r="S3756">
        <v>7.4068715797977616</v>
      </c>
      <c r="T3756">
        <v>88.481824138446157</v>
      </c>
      <c r="U3756">
        <v>0</v>
      </c>
      <c r="V3756">
        <v>0</v>
      </c>
    </row>
    <row r="3757" spans="1:22" x14ac:dyDescent="0.2">
      <c r="A3757"/>
      <c r="B3757">
        <v>75044</v>
      </c>
      <c r="C3757" t="s">
        <v>415</v>
      </c>
      <c r="D3757" t="s">
        <v>920</v>
      </c>
      <c r="E3757" t="s">
        <v>1275</v>
      </c>
      <c r="F3757" t="s">
        <v>123</v>
      </c>
      <c r="G3757">
        <v>1558.0696270570843</v>
      </c>
      <c r="H3757" t="s">
        <v>248</v>
      </c>
      <c r="I3757">
        <v>0</v>
      </c>
      <c r="J3757">
        <v>0</v>
      </c>
      <c r="K3757">
        <v>0</v>
      </c>
      <c r="L3757">
        <v>0</v>
      </c>
      <c r="M3757" t="s">
        <v>188</v>
      </c>
      <c r="N3757">
        <v>2258.85054617169</v>
      </c>
      <c r="O3757" t="s">
        <v>248</v>
      </c>
      <c r="P3757" t="b">
        <v>1</v>
      </c>
      <c r="Q3757">
        <v>5075.9278829579325</v>
      </c>
      <c r="R3757">
        <v>23810.074311713292</v>
      </c>
      <c r="S3757">
        <v>6.8967028842071691</v>
      </c>
      <c r="T3757">
        <v>88.638710978564006</v>
      </c>
      <c r="U3757">
        <v>0</v>
      </c>
      <c r="V3757">
        <v>0</v>
      </c>
    </row>
    <row r="3758" spans="1:22" x14ac:dyDescent="0.2">
      <c r="A3758"/>
      <c r="B3758">
        <v>75045</v>
      </c>
      <c r="C3758" t="s">
        <v>416</v>
      </c>
      <c r="D3758" t="s">
        <v>920</v>
      </c>
      <c r="E3758" t="s">
        <v>1275</v>
      </c>
      <c r="F3758" t="s">
        <v>123</v>
      </c>
      <c r="G3758">
        <v>1578.7266356358141</v>
      </c>
      <c r="H3758" t="s">
        <v>248</v>
      </c>
      <c r="I3758">
        <v>0</v>
      </c>
      <c r="J3758">
        <v>0</v>
      </c>
      <c r="K3758">
        <v>0</v>
      </c>
      <c r="L3758">
        <v>0</v>
      </c>
      <c r="M3758" t="s">
        <v>188</v>
      </c>
      <c r="N3758">
        <v>2279.5075547504198</v>
      </c>
      <c r="O3758" t="s">
        <v>248</v>
      </c>
      <c r="P3758" t="b">
        <v>1</v>
      </c>
      <c r="Q3758">
        <v>5076.411180907915</v>
      </c>
      <c r="R3758">
        <v>23830.724985471345</v>
      </c>
      <c r="S3758">
        <v>6.7291278722460071</v>
      </c>
      <c r="T3758">
        <v>88.679989529175486</v>
      </c>
      <c r="U3758">
        <v>0</v>
      </c>
      <c r="V3758">
        <v>0</v>
      </c>
    </row>
    <row r="3759" spans="1:22" x14ac:dyDescent="0.2">
      <c r="A3759"/>
      <c r="B3759">
        <v>75046</v>
      </c>
      <c r="C3759" t="s">
        <v>417</v>
      </c>
      <c r="D3759" t="s">
        <v>920</v>
      </c>
      <c r="E3759" t="s">
        <v>1275</v>
      </c>
      <c r="F3759" t="s">
        <v>123</v>
      </c>
      <c r="G3759">
        <v>1706.603355408924</v>
      </c>
      <c r="H3759" t="s">
        <v>248</v>
      </c>
      <c r="I3759">
        <v>0</v>
      </c>
      <c r="J3759">
        <v>0</v>
      </c>
      <c r="K3759">
        <v>0</v>
      </c>
      <c r="L3759">
        <v>0</v>
      </c>
      <c r="M3759" t="s">
        <v>188</v>
      </c>
      <c r="N3759">
        <v>2407.3842745235302</v>
      </c>
      <c r="O3759" t="s">
        <v>248</v>
      </c>
      <c r="P3759" t="b">
        <v>1</v>
      </c>
      <c r="Q3759">
        <v>5079.066131003523</v>
      </c>
      <c r="R3759">
        <v>23958.569764243144</v>
      </c>
      <c r="S3759">
        <v>5.6848444662123514</v>
      </c>
      <c r="T3759">
        <v>88.940638013718456</v>
      </c>
      <c r="U3759">
        <v>0</v>
      </c>
      <c r="V3759">
        <v>0</v>
      </c>
    </row>
    <row r="3760" spans="1:22" x14ac:dyDescent="0.2">
      <c r="A3760"/>
      <c r="B3760">
        <v>75047</v>
      </c>
      <c r="C3760" t="s">
        <v>418</v>
      </c>
      <c r="D3760" t="s">
        <v>920</v>
      </c>
      <c r="E3760" t="s">
        <v>1275</v>
      </c>
      <c r="F3760" t="s">
        <v>123</v>
      </c>
      <c r="G3760">
        <v>1883.6634289409239</v>
      </c>
      <c r="H3760" t="s">
        <v>248</v>
      </c>
      <c r="I3760">
        <v>0</v>
      </c>
      <c r="J3760">
        <v>0</v>
      </c>
      <c r="K3760">
        <v>0</v>
      </c>
      <c r="L3760">
        <v>0</v>
      </c>
      <c r="M3760" t="s">
        <v>188</v>
      </c>
      <c r="N3760">
        <v>2584.4443480555301</v>
      </c>
      <c r="O3760" t="s">
        <v>248</v>
      </c>
      <c r="P3760" t="b">
        <v>1</v>
      </c>
      <c r="Q3760">
        <v>5081.6303711480423</v>
      </c>
      <c r="R3760">
        <v>24135.605716041511</v>
      </c>
      <c r="S3760">
        <v>5.4029987469010496</v>
      </c>
      <c r="T3760">
        <v>89.716508606920328</v>
      </c>
      <c r="U3760">
        <v>0</v>
      </c>
      <c r="V3760">
        <v>0</v>
      </c>
    </row>
    <row r="3761" spans="1:22" x14ac:dyDescent="0.2">
      <c r="A3761"/>
      <c r="B3761">
        <v>75048</v>
      </c>
      <c r="C3761" t="s">
        <v>419</v>
      </c>
      <c r="D3761" t="s">
        <v>920</v>
      </c>
      <c r="E3761" t="s">
        <v>1275</v>
      </c>
      <c r="F3761" t="s">
        <v>123</v>
      </c>
      <c r="G3761">
        <v>2060.7235024729239</v>
      </c>
      <c r="H3761" t="s">
        <v>248</v>
      </c>
      <c r="I3761">
        <v>0</v>
      </c>
      <c r="J3761">
        <v>0</v>
      </c>
      <c r="K3761">
        <v>0</v>
      </c>
      <c r="L3761">
        <v>0</v>
      </c>
      <c r="M3761" t="s">
        <v>188</v>
      </c>
      <c r="N3761">
        <v>2761.50442158753</v>
      </c>
      <c r="O3761" t="s">
        <v>248</v>
      </c>
      <c r="P3761" t="b">
        <v>1</v>
      </c>
      <c r="Q3761">
        <v>5082.2695852471152</v>
      </c>
      <c r="R3761">
        <v>24312.664237969246</v>
      </c>
      <c r="S3761">
        <v>5.1300992813093709</v>
      </c>
      <c r="T3761">
        <v>89.842637182872309</v>
      </c>
      <c r="U3761">
        <v>0</v>
      </c>
      <c r="V3761">
        <v>0</v>
      </c>
    </row>
    <row r="3762" spans="1:22" x14ac:dyDescent="0.2">
      <c r="A3762"/>
      <c r="B3762">
        <v>75049</v>
      </c>
      <c r="C3762" t="s">
        <v>420</v>
      </c>
      <c r="D3762" t="s">
        <v>920</v>
      </c>
      <c r="E3762" t="s">
        <v>1275</v>
      </c>
      <c r="F3762" t="s">
        <v>123</v>
      </c>
      <c r="G3762">
        <v>2237.7835760049238</v>
      </c>
      <c r="H3762" t="s">
        <v>248</v>
      </c>
      <c r="I3762">
        <v>0</v>
      </c>
      <c r="J3762">
        <v>0</v>
      </c>
      <c r="K3762">
        <v>0</v>
      </c>
      <c r="L3762">
        <v>0</v>
      </c>
      <c r="M3762" t="s">
        <v>188</v>
      </c>
      <c r="N3762">
        <v>2938.56449511953</v>
      </c>
      <c r="O3762" t="s">
        <v>248</v>
      </c>
      <c r="P3762" t="b">
        <v>1</v>
      </c>
      <c r="Q3762">
        <v>5082.8260241374592</v>
      </c>
      <c r="R3762">
        <v>24489.71204813783</v>
      </c>
      <c r="S3762">
        <v>3.1270901182772066</v>
      </c>
      <c r="T3762">
        <v>89.782432907111385</v>
      </c>
      <c r="U3762">
        <v>0</v>
      </c>
      <c r="V3762">
        <v>0</v>
      </c>
    </row>
    <row r="3763" spans="1:22" x14ac:dyDescent="0.2">
      <c r="A3763"/>
      <c r="B3763">
        <v>75050</v>
      </c>
      <c r="C3763" t="s">
        <v>421</v>
      </c>
      <c r="D3763" t="s">
        <v>920</v>
      </c>
      <c r="E3763" t="s">
        <v>1275</v>
      </c>
      <c r="F3763" t="s">
        <v>123</v>
      </c>
      <c r="G3763">
        <v>2434.5169910404838</v>
      </c>
      <c r="H3763" t="s">
        <v>248</v>
      </c>
      <c r="I3763">
        <v>0</v>
      </c>
      <c r="J3763">
        <v>0</v>
      </c>
      <c r="K3763">
        <v>0</v>
      </c>
      <c r="L3763">
        <v>0</v>
      </c>
      <c r="M3763" t="s">
        <v>188</v>
      </c>
      <c r="N3763">
        <v>3135.29791015509</v>
      </c>
      <c r="O3763" t="s">
        <v>248</v>
      </c>
      <c r="P3763" t="b">
        <v>1</v>
      </c>
      <c r="Q3763">
        <v>5061.6698567200938</v>
      </c>
      <c r="R3763">
        <v>24685.05684339019</v>
      </c>
      <c r="S3763">
        <v>0.87821883205590923</v>
      </c>
      <c r="T3763">
        <v>94.723231853741083</v>
      </c>
      <c r="U3763">
        <v>0</v>
      </c>
      <c r="V3763">
        <v>0</v>
      </c>
    </row>
    <row r="3764" spans="1:22" x14ac:dyDescent="0.2">
      <c r="A3764"/>
      <c r="B3764">
        <v>75051</v>
      </c>
      <c r="C3764" t="s">
        <v>422</v>
      </c>
      <c r="D3764" t="s">
        <v>920</v>
      </c>
      <c r="E3764" t="s">
        <v>1275</v>
      </c>
      <c r="F3764" t="s">
        <v>123</v>
      </c>
      <c r="G3764">
        <v>2598.7893925951639</v>
      </c>
      <c r="H3764" t="s">
        <v>248</v>
      </c>
      <c r="I3764">
        <v>0</v>
      </c>
      <c r="J3764">
        <v>0</v>
      </c>
      <c r="K3764">
        <v>0</v>
      </c>
      <c r="L3764">
        <v>0</v>
      </c>
      <c r="M3764" t="s">
        <v>188</v>
      </c>
      <c r="N3764">
        <v>3299.5703117097701</v>
      </c>
      <c r="O3764" t="s">
        <v>248</v>
      </c>
      <c r="P3764" t="b">
        <v>1</v>
      </c>
      <c r="Q3764">
        <v>5060.5893420958528</v>
      </c>
      <c r="R3764">
        <v>24849.270944965472</v>
      </c>
      <c r="S3764">
        <v>-1.0237262269333134</v>
      </c>
      <c r="T3764">
        <v>89.997754293119215</v>
      </c>
      <c r="U3764">
        <v>0</v>
      </c>
      <c r="V3764">
        <v>0</v>
      </c>
    </row>
    <row r="3765" spans="1:22" x14ac:dyDescent="0.2">
      <c r="A3765"/>
      <c r="B3765">
        <v>75052</v>
      </c>
      <c r="C3765" t="s">
        <v>423</v>
      </c>
      <c r="D3765" t="s">
        <v>920</v>
      </c>
      <c r="E3765" t="s">
        <v>1275</v>
      </c>
      <c r="F3765" t="s">
        <v>123</v>
      </c>
      <c r="G3765">
        <v>2721.7477769923939</v>
      </c>
      <c r="H3765" t="s">
        <v>248</v>
      </c>
      <c r="I3765">
        <v>0</v>
      </c>
      <c r="J3765">
        <v>0</v>
      </c>
      <c r="K3765">
        <v>0</v>
      </c>
      <c r="L3765">
        <v>0</v>
      </c>
      <c r="M3765" t="s">
        <v>188</v>
      </c>
      <c r="N3765">
        <v>3422.5286961070001</v>
      </c>
      <c r="O3765" t="s">
        <v>248</v>
      </c>
      <c r="P3765" t="b">
        <v>1</v>
      </c>
      <c r="Q3765">
        <v>5061.9506183797812</v>
      </c>
      <c r="R3765">
        <v>24972.151618575561</v>
      </c>
      <c r="S3765">
        <v>-2.4264364073450007</v>
      </c>
      <c r="T3765">
        <v>83.939125853963148</v>
      </c>
      <c r="U3765">
        <v>0</v>
      </c>
      <c r="V3765">
        <v>0</v>
      </c>
    </row>
    <row r="3766" spans="1:22" x14ac:dyDescent="0.2">
      <c r="A3766"/>
      <c r="B3766">
        <v>75053</v>
      </c>
      <c r="C3766" t="s">
        <v>424</v>
      </c>
      <c r="D3766" t="s">
        <v>920</v>
      </c>
      <c r="E3766" t="s">
        <v>1275</v>
      </c>
      <c r="F3766" t="s">
        <v>123</v>
      </c>
      <c r="G3766">
        <v>2742.4047855711237</v>
      </c>
      <c r="H3766" t="s">
        <v>248</v>
      </c>
      <c r="I3766">
        <v>0</v>
      </c>
      <c r="J3766">
        <v>0</v>
      </c>
      <c r="K3766">
        <v>0</v>
      </c>
      <c r="L3766">
        <v>0</v>
      </c>
      <c r="M3766" t="s">
        <v>188</v>
      </c>
      <c r="N3766">
        <v>3443.1857046857299</v>
      </c>
      <c r="O3766" t="s">
        <v>248</v>
      </c>
      <c r="P3766" t="b">
        <v>1</v>
      </c>
      <c r="Q3766">
        <v>5064.7528457455874</v>
      </c>
      <c r="R3766">
        <v>24992.613782462111</v>
      </c>
      <c r="S3766">
        <v>-2.5915070406575533</v>
      </c>
      <c r="T3766">
        <v>80.464546350984691</v>
      </c>
      <c r="U3766">
        <v>0</v>
      </c>
      <c r="V3766">
        <v>0</v>
      </c>
    </row>
    <row r="3767" spans="1:22" x14ac:dyDescent="0.2">
      <c r="A3767"/>
      <c r="B3767">
        <v>75054</v>
      </c>
      <c r="C3767" t="s">
        <v>425</v>
      </c>
      <c r="D3767" t="s">
        <v>920</v>
      </c>
      <c r="E3767" t="s">
        <v>1275</v>
      </c>
      <c r="F3767" t="s">
        <v>123</v>
      </c>
      <c r="G3767">
        <v>2836.7581314221738</v>
      </c>
      <c r="H3767" t="s">
        <v>248</v>
      </c>
      <c r="I3767">
        <v>0</v>
      </c>
      <c r="J3767">
        <v>0</v>
      </c>
      <c r="K3767">
        <v>0</v>
      </c>
      <c r="L3767">
        <v>0</v>
      </c>
      <c r="M3767" t="s">
        <v>188</v>
      </c>
      <c r="N3767">
        <v>3537.53905053678</v>
      </c>
      <c r="O3767" t="s">
        <v>248</v>
      </c>
      <c r="P3767" t="b">
        <v>1</v>
      </c>
      <c r="Q3767">
        <v>5091.4951053267068</v>
      </c>
      <c r="R3767">
        <v>25082.921871751223</v>
      </c>
      <c r="S3767">
        <v>-2.6213383567670059</v>
      </c>
      <c r="T3767">
        <v>70.126739279972711</v>
      </c>
      <c r="U3767">
        <v>0</v>
      </c>
      <c r="V3767">
        <v>0</v>
      </c>
    </row>
    <row r="3768" spans="1:22" x14ac:dyDescent="0.2">
      <c r="A3768"/>
      <c r="B3768">
        <v>75055</v>
      </c>
      <c r="C3768" t="s">
        <v>426</v>
      </c>
      <c r="D3768" t="s">
        <v>920</v>
      </c>
      <c r="E3768" t="s">
        <v>1275</v>
      </c>
      <c r="F3768" t="s">
        <v>123</v>
      </c>
      <c r="G3768">
        <v>2851.3754241593138</v>
      </c>
      <c r="H3768" t="s">
        <v>248</v>
      </c>
      <c r="I3768">
        <v>0</v>
      </c>
      <c r="J3768">
        <v>0</v>
      </c>
      <c r="K3768">
        <v>0</v>
      </c>
      <c r="L3768">
        <v>0</v>
      </c>
      <c r="M3768" t="s">
        <v>188</v>
      </c>
      <c r="N3768">
        <v>3552.1563432739199</v>
      </c>
      <c r="O3768" t="s">
        <v>248</v>
      </c>
      <c r="P3768" t="b">
        <v>1</v>
      </c>
      <c r="Q3768">
        <v>5096.4687341458111</v>
      </c>
      <c r="R3768">
        <v>25096.666989156336</v>
      </c>
      <c r="S3768">
        <v>-2.6230684470070225</v>
      </c>
      <c r="T3768">
        <v>70.088677692427439</v>
      </c>
      <c r="U3768">
        <v>0</v>
      </c>
      <c r="V3768">
        <v>0</v>
      </c>
    </row>
    <row r="3769" spans="1:22" x14ac:dyDescent="0.2">
      <c r="A3769"/>
      <c r="B3769">
        <v>75056</v>
      </c>
      <c r="C3769" t="s">
        <v>427</v>
      </c>
      <c r="D3769" t="s">
        <v>920</v>
      </c>
      <c r="E3769" t="s">
        <v>1275</v>
      </c>
      <c r="F3769" t="s">
        <v>123</v>
      </c>
      <c r="G3769">
        <v>2854.3264253848538</v>
      </c>
      <c r="H3769" t="s">
        <v>248</v>
      </c>
      <c r="I3769">
        <v>0</v>
      </c>
      <c r="J3769">
        <v>0</v>
      </c>
      <c r="K3769">
        <v>0</v>
      </c>
      <c r="L3769">
        <v>0</v>
      </c>
      <c r="M3769" t="s">
        <v>188</v>
      </c>
      <c r="N3769">
        <v>3555.1073444994599</v>
      </c>
      <c r="O3769" t="s">
        <v>248</v>
      </c>
      <c r="P3769" t="b">
        <v>1</v>
      </c>
      <c r="Q3769">
        <v>5097.4739219483999</v>
      </c>
      <c r="R3769">
        <v>25099.441517150739</v>
      </c>
      <c r="S3769">
        <v>-2.6234014718943905</v>
      </c>
      <c r="T3769">
        <v>70.08130086737674</v>
      </c>
      <c r="U3769">
        <v>0</v>
      </c>
      <c r="V3769">
        <v>0</v>
      </c>
    </row>
    <row r="3770" spans="1:22" x14ac:dyDescent="0.2">
      <c r="A3770"/>
      <c r="B3770">
        <v>75057</v>
      </c>
      <c r="C3770" t="s">
        <v>428</v>
      </c>
      <c r="D3770" t="s">
        <v>920</v>
      </c>
      <c r="E3770" t="s">
        <v>1275</v>
      </c>
      <c r="F3770" t="s">
        <v>123</v>
      </c>
      <c r="G3770">
        <v>2873.9210735223937</v>
      </c>
      <c r="H3770" t="s">
        <v>248</v>
      </c>
      <c r="I3770">
        <v>0</v>
      </c>
      <c r="J3770">
        <v>0</v>
      </c>
      <c r="K3770">
        <v>0</v>
      </c>
      <c r="L3770">
        <v>0</v>
      </c>
      <c r="M3770" t="s">
        <v>188</v>
      </c>
      <c r="N3770">
        <v>3574.7019926369999</v>
      </c>
      <c r="O3770" t="s">
        <v>248</v>
      </c>
      <c r="P3770" t="b">
        <v>1</v>
      </c>
      <c r="Q3770">
        <v>5104.157127144792</v>
      </c>
      <c r="R3770">
        <v>25117.861207123176</v>
      </c>
      <c r="S3770">
        <v>-2.6254742625320029</v>
      </c>
      <c r="T3770">
        <v>70.03493655080419</v>
      </c>
      <c r="U3770">
        <v>0</v>
      </c>
      <c r="V3770">
        <v>0</v>
      </c>
    </row>
    <row r="3771" spans="1:22" x14ac:dyDescent="0.2">
      <c r="A3771"/>
      <c r="B3771">
        <v>75058</v>
      </c>
      <c r="C3771" t="s">
        <v>429</v>
      </c>
      <c r="D3771" t="s">
        <v>920</v>
      </c>
      <c r="E3771" t="s">
        <v>1275</v>
      </c>
      <c r="F3771" t="s">
        <v>123</v>
      </c>
      <c r="G3771">
        <v>2876.8720747479238</v>
      </c>
      <c r="H3771" t="s">
        <v>248</v>
      </c>
      <c r="I3771">
        <v>0</v>
      </c>
      <c r="J3771">
        <v>0</v>
      </c>
      <c r="K3771">
        <v>0</v>
      </c>
      <c r="L3771">
        <v>0</v>
      </c>
      <c r="M3771" t="s">
        <v>188</v>
      </c>
      <c r="N3771">
        <v>3577.6529938625299</v>
      </c>
      <c r="O3771" t="s">
        <v>248</v>
      </c>
      <c r="P3771" t="b">
        <v>1</v>
      </c>
      <c r="Q3771">
        <v>5105.1648967513565</v>
      </c>
      <c r="R3771">
        <v>25120.634798398809</v>
      </c>
      <c r="S3771">
        <v>-2.6257563660025713</v>
      </c>
      <c r="T3771">
        <v>70.02841689814106</v>
      </c>
      <c r="U3771">
        <v>0</v>
      </c>
      <c r="V3771">
        <v>0</v>
      </c>
    </row>
    <row r="3772" spans="1:22" x14ac:dyDescent="0.2">
      <c r="A3772"/>
      <c r="B3772">
        <v>75059</v>
      </c>
      <c r="C3772" t="s">
        <v>430</v>
      </c>
      <c r="D3772" t="s">
        <v>920</v>
      </c>
      <c r="E3772" t="s">
        <v>1275</v>
      </c>
      <c r="F3772" t="s">
        <v>123</v>
      </c>
      <c r="G3772">
        <v>2933.9444384497438</v>
      </c>
      <c r="H3772" t="s">
        <v>248</v>
      </c>
      <c r="I3772">
        <v>0</v>
      </c>
      <c r="J3772">
        <v>0</v>
      </c>
      <c r="K3772">
        <v>0</v>
      </c>
      <c r="L3772">
        <v>0</v>
      </c>
      <c r="M3772" t="s">
        <v>188</v>
      </c>
      <c r="N3772">
        <v>3634.7253575643499</v>
      </c>
      <c r="O3772" t="s">
        <v>248</v>
      </c>
      <c r="P3772" t="b">
        <v>1</v>
      </c>
      <c r="Q3772">
        <v>5124.7013943562761</v>
      </c>
      <c r="R3772">
        <v>25174.259228040552</v>
      </c>
      <c r="S3772">
        <v>-2.6262297698401031</v>
      </c>
      <c r="T3772">
        <v>69.95178628226752</v>
      </c>
      <c r="U3772">
        <v>0</v>
      </c>
      <c r="V3772">
        <v>0</v>
      </c>
    </row>
    <row r="3773" spans="1:22" x14ac:dyDescent="0.2">
      <c r="A3773"/>
      <c r="B3773">
        <v>75060</v>
      </c>
      <c r="C3773" t="s">
        <v>431</v>
      </c>
      <c r="D3773" t="s">
        <v>920</v>
      </c>
      <c r="E3773" t="s">
        <v>1275</v>
      </c>
      <c r="F3773" t="s">
        <v>123</v>
      </c>
      <c r="G3773">
        <v>2968.4711527884838</v>
      </c>
      <c r="H3773" t="s">
        <v>248</v>
      </c>
      <c r="I3773">
        <v>0</v>
      </c>
      <c r="J3773">
        <v>0</v>
      </c>
      <c r="K3773">
        <v>0</v>
      </c>
      <c r="L3773">
        <v>0</v>
      </c>
      <c r="M3773" t="s">
        <v>188</v>
      </c>
      <c r="N3773">
        <v>3669.2520719030899</v>
      </c>
      <c r="O3773" t="s">
        <v>248</v>
      </c>
      <c r="P3773" t="b">
        <v>1</v>
      </c>
      <c r="Q3773">
        <v>5136.5393442877576</v>
      </c>
      <c r="R3773">
        <v>25206.693113472706</v>
      </c>
      <c r="S3773">
        <v>-2.6219160440947977</v>
      </c>
      <c r="T3773">
        <v>69.951090746230264</v>
      </c>
      <c r="U3773">
        <v>0</v>
      </c>
      <c r="V3773">
        <v>0</v>
      </c>
    </row>
    <row r="3774" spans="1:22" x14ac:dyDescent="0.2">
      <c r="A3774"/>
      <c r="B3774">
        <v>75061</v>
      </c>
      <c r="C3774" t="s">
        <v>432</v>
      </c>
      <c r="D3774" t="s">
        <v>920</v>
      </c>
      <c r="E3774" t="s">
        <v>1275</v>
      </c>
      <c r="F3774" t="s">
        <v>123</v>
      </c>
      <c r="G3774">
        <v>2971.4221540140138</v>
      </c>
      <c r="H3774" t="s">
        <v>248</v>
      </c>
      <c r="I3774">
        <v>0</v>
      </c>
      <c r="J3774">
        <v>0</v>
      </c>
      <c r="K3774">
        <v>0</v>
      </c>
      <c r="L3774">
        <v>0</v>
      </c>
      <c r="M3774" t="s">
        <v>188</v>
      </c>
      <c r="N3774">
        <v>3672.20307312862</v>
      </c>
      <c r="O3774" t="s">
        <v>248</v>
      </c>
      <c r="P3774" t="b">
        <v>1</v>
      </c>
      <c r="Q3774">
        <v>5137.5509767252097</v>
      </c>
      <c r="R3774">
        <v>25209.465298128092</v>
      </c>
      <c r="S3774">
        <v>-2.6213864833104541</v>
      </c>
      <c r="T3774">
        <v>69.952628143154186</v>
      </c>
      <c r="U3774">
        <v>0</v>
      </c>
      <c r="V3774">
        <v>0</v>
      </c>
    </row>
    <row r="3775" spans="1:22" x14ac:dyDescent="0.2">
      <c r="A3775"/>
      <c r="B3775">
        <v>75062</v>
      </c>
      <c r="C3775" t="s">
        <v>433</v>
      </c>
      <c r="D3775" t="s">
        <v>920</v>
      </c>
      <c r="E3775" t="s">
        <v>1275</v>
      </c>
      <c r="F3775" t="s">
        <v>123</v>
      </c>
      <c r="G3775">
        <v>2991.0168021515537</v>
      </c>
      <c r="H3775" t="s">
        <v>248</v>
      </c>
      <c r="I3775">
        <v>0</v>
      </c>
      <c r="J3775">
        <v>0</v>
      </c>
      <c r="K3775">
        <v>0</v>
      </c>
      <c r="L3775">
        <v>0</v>
      </c>
      <c r="M3775" t="s">
        <v>188</v>
      </c>
      <c r="N3775">
        <v>3691.7977212661599</v>
      </c>
      <c r="O3775" t="s">
        <v>248</v>
      </c>
      <c r="P3775" t="b">
        <v>1</v>
      </c>
      <c r="Q3775">
        <v>5144.2655947045432</v>
      </c>
      <c r="R3775">
        <v>25227.873560428594</v>
      </c>
      <c r="S3775">
        <v>-2.6172276259155129</v>
      </c>
      <c r="T3775">
        <v>69.969214984723862</v>
      </c>
      <c r="U3775">
        <v>0</v>
      </c>
      <c r="V3775">
        <v>0</v>
      </c>
    </row>
    <row r="3776" spans="1:22" x14ac:dyDescent="0.2">
      <c r="A3776"/>
      <c r="B3776">
        <v>75063</v>
      </c>
      <c r="C3776" t="s">
        <v>434</v>
      </c>
      <c r="D3776" t="s">
        <v>920</v>
      </c>
      <c r="E3776" t="s">
        <v>1275</v>
      </c>
      <c r="F3776" t="s">
        <v>123</v>
      </c>
      <c r="G3776">
        <v>2993.9678033770838</v>
      </c>
      <c r="H3776" t="s">
        <v>248</v>
      </c>
      <c r="I3776">
        <v>0</v>
      </c>
      <c r="J3776">
        <v>0</v>
      </c>
      <c r="K3776">
        <v>0</v>
      </c>
      <c r="L3776">
        <v>0</v>
      </c>
      <c r="M3776" t="s">
        <v>188</v>
      </c>
      <c r="N3776">
        <v>3694.7487224916899</v>
      </c>
      <c r="O3776" t="s">
        <v>248</v>
      </c>
      <c r="P3776" t="b">
        <v>1</v>
      </c>
      <c r="Q3776">
        <v>5145.2763036746155</v>
      </c>
      <c r="R3776">
        <v>25230.646081859584</v>
      </c>
      <c r="S3776">
        <v>-2.6165045188378659</v>
      </c>
      <c r="T3776">
        <v>69.972673624417283</v>
      </c>
      <c r="U3776">
        <v>0</v>
      </c>
      <c r="V3776">
        <v>0</v>
      </c>
    </row>
    <row r="3777" spans="1:22" x14ac:dyDescent="0.2">
      <c r="A3777"/>
      <c r="B3777">
        <v>75064</v>
      </c>
      <c r="C3777" t="s">
        <v>435</v>
      </c>
      <c r="D3777" t="s">
        <v>920</v>
      </c>
      <c r="E3777" t="s">
        <v>1275</v>
      </c>
      <c r="F3777" t="s">
        <v>123</v>
      </c>
      <c r="G3777">
        <v>3045.531631457904</v>
      </c>
      <c r="H3777" t="s">
        <v>248</v>
      </c>
      <c r="I3777">
        <v>0</v>
      </c>
      <c r="J3777">
        <v>0</v>
      </c>
      <c r="K3777">
        <v>0</v>
      </c>
      <c r="L3777">
        <v>0</v>
      </c>
      <c r="M3777" t="s">
        <v>188</v>
      </c>
      <c r="N3777">
        <v>3746.3125505725102</v>
      </c>
      <c r="O3777" t="s">
        <v>248</v>
      </c>
      <c r="P3777" t="b">
        <v>1</v>
      </c>
      <c r="Q3777">
        <v>5162.8962471513714</v>
      </c>
      <c r="R3777">
        <v>25279.105045688382</v>
      </c>
      <c r="S3777">
        <v>-2.8376102466582829</v>
      </c>
      <c r="T3777">
        <v>70.080521240849677</v>
      </c>
      <c r="U3777">
        <v>0</v>
      </c>
      <c r="V3777">
        <v>0</v>
      </c>
    </row>
    <row r="3778" spans="1:22" x14ac:dyDescent="0.2">
      <c r="A3778"/>
      <c r="B3778">
        <v>75065</v>
      </c>
      <c r="C3778" t="s">
        <v>436</v>
      </c>
      <c r="D3778" t="s">
        <v>920</v>
      </c>
      <c r="E3778" t="s">
        <v>1275</v>
      </c>
      <c r="F3778" t="s">
        <v>123</v>
      </c>
      <c r="G3778">
        <v>3124.0676107401036</v>
      </c>
      <c r="H3778" t="s">
        <v>248</v>
      </c>
      <c r="I3778">
        <v>0</v>
      </c>
      <c r="J3778">
        <v>0</v>
      </c>
      <c r="K3778">
        <v>0</v>
      </c>
      <c r="L3778">
        <v>0</v>
      </c>
      <c r="M3778" t="s">
        <v>188</v>
      </c>
      <c r="N3778">
        <v>3824.8485298547098</v>
      </c>
      <c r="O3778" t="s">
        <v>248</v>
      </c>
      <c r="P3778" t="b">
        <v>1</v>
      </c>
      <c r="Q3778">
        <v>5189.3338733111195</v>
      </c>
      <c r="R3778">
        <v>25353.044095446501</v>
      </c>
      <c r="S3778">
        <v>-4.1562513116048754</v>
      </c>
      <c r="T3778">
        <v>71.603445279224601</v>
      </c>
      <c r="U3778">
        <v>0</v>
      </c>
      <c r="V3778">
        <v>0</v>
      </c>
    </row>
    <row r="3779" spans="1:22" x14ac:dyDescent="0.2">
      <c r="A3779"/>
      <c r="B3779">
        <v>75066</v>
      </c>
      <c r="C3779" t="s">
        <v>437</v>
      </c>
      <c r="D3779" t="s">
        <v>920</v>
      </c>
      <c r="E3779" t="s">
        <v>1275</v>
      </c>
      <c r="F3779" t="s">
        <v>123</v>
      </c>
      <c r="G3779">
        <v>3144.7246193188339</v>
      </c>
      <c r="H3779" t="s">
        <v>248</v>
      </c>
      <c r="I3779">
        <v>0</v>
      </c>
      <c r="J3779">
        <v>0</v>
      </c>
      <c r="K3779">
        <v>0</v>
      </c>
      <c r="L3779">
        <v>0</v>
      </c>
      <c r="M3779" t="s">
        <v>188</v>
      </c>
      <c r="N3779">
        <v>3845.5055384334401</v>
      </c>
      <c r="O3779" t="s">
        <v>248</v>
      </c>
      <c r="P3779" t="b">
        <v>1</v>
      </c>
      <c r="Q3779">
        <v>5195.5263326398381</v>
      </c>
      <c r="R3779">
        <v>25372.746734300392</v>
      </c>
      <c r="S3779">
        <v>-4.5198564972859563</v>
      </c>
      <c r="T3779">
        <v>73.507543286405905</v>
      </c>
      <c r="U3779">
        <v>0</v>
      </c>
      <c r="V3779">
        <v>0</v>
      </c>
    </row>
    <row r="3780" spans="1:22" x14ac:dyDescent="0.2">
      <c r="A3780"/>
      <c r="B3780">
        <v>75067</v>
      </c>
      <c r="C3780" t="s">
        <v>438</v>
      </c>
      <c r="D3780" t="s">
        <v>920</v>
      </c>
      <c r="E3780" t="s">
        <v>1275</v>
      </c>
      <c r="F3780" t="s">
        <v>123</v>
      </c>
      <c r="G3780">
        <v>3262.764668340164</v>
      </c>
      <c r="H3780" t="s">
        <v>248</v>
      </c>
      <c r="I3780">
        <v>0</v>
      </c>
      <c r="J3780">
        <v>0</v>
      </c>
      <c r="K3780">
        <v>0</v>
      </c>
      <c r="L3780">
        <v>0</v>
      </c>
      <c r="M3780" t="s">
        <v>188</v>
      </c>
      <c r="N3780">
        <v>3963.5455874547702</v>
      </c>
      <c r="O3780" t="s">
        <v>248</v>
      </c>
      <c r="P3780" t="b">
        <v>1</v>
      </c>
      <c r="Q3780">
        <v>5219.450635189799</v>
      </c>
      <c r="R3780">
        <v>25488.200367014389</v>
      </c>
      <c r="S3780">
        <v>-6.5899685870985207</v>
      </c>
      <c r="T3780">
        <v>81.947143599956533</v>
      </c>
      <c r="U3780">
        <v>0</v>
      </c>
      <c r="V3780">
        <v>0</v>
      </c>
    </row>
    <row r="3781" spans="1:22" x14ac:dyDescent="0.2">
      <c r="A3781"/>
      <c r="B3781">
        <v>75068</v>
      </c>
      <c r="C3781" t="s">
        <v>439</v>
      </c>
      <c r="D3781" t="s">
        <v>920</v>
      </c>
      <c r="E3781" t="s">
        <v>1275</v>
      </c>
      <c r="F3781" t="s">
        <v>123</v>
      </c>
      <c r="G3781">
        <v>3459.4980833757236</v>
      </c>
      <c r="H3781" t="s">
        <v>248</v>
      </c>
      <c r="I3781">
        <v>0</v>
      </c>
      <c r="J3781">
        <v>0</v>
      </c>
      <c r="K3781">
        <v>0</v>
      </c>
      <c r="L3781">
        <v>0</v>
      </c>
      <c r="M3781" t="s">
        <v>188</v>
      </c>
      <c r="N3781">
        <v>4160.2790024903297</v>
      </c>
      <c r="O3781" t="s">
        <v>248</v>
      </c>
      <c r="P3781" t="b">
        <v>1</v>
      </c>
      <c r="Q3781">
        <v>5246.8572229667834</v>
      </c>
      <c r="R3781">
        <v>25682.989474982482</v>
      </c>
      <c r="S3781">
        <v>-9.6713405420687497</v>
      </c>
      <c r="T3781">
        <v>81.981457460994648</v>
      </c>
      <c r="U3781">
        <v>0</v>
      </c>
      <c r="V3781">
        <v>0</v>
      </c>
    </row>
    <row r="3782" spans="1:22" x14ac:dyDescent="0.2">
      <c r="A3782"/>
      <c r="B3782">
        <v>75069</v>
      </c>
      <c r="C3782" t="s">
        <v>440</v>
      </c>
      <c r="D3782" t="s">
        <v>920</v>
      </c>
      <c r="E3782" t="s">
        <v>1275</v>
      </c>
      <c r="F3782" t="s">
        <v>123</v>
      </c>
      <c r="G3782">
        <v>3647.378494734674</v>
      </c>
      <c r="H3782" t="s">
        <v>248</v>
      </c>
      <c r="I3782">
        <v>0</v>
      </c>
      <c r="J3782">
        <v>0</v>
      </c>
      <c r="K3782">
        <v>0</v>
      </c>
      <c r="L3782">
        <v>0</v>
      </c>
      <c r="M3782" t="s">
        <v>188</v>
      </c>
      <c r="N3782">
        <v>4348.1594138492801</v>
      </c>
      <c r="O3782" t="s">
        <v>248</v>
      </c>
      <c r="P3782" t="b">
        <v>1</v>
      </c>
      <c r="Q3782">
        <v>5273.7029799191469</v>
      </c>
      <c r="R3782">
        <v>25868.908650236452</v>
      </c>
      <c r="S3782">
        <v>-6.4464834319172883</v>
      </c>
      <c r="T3782">
        <v>81.519545277998148</v>
      </c>
      <c r="U3782">
        <v>0</v>
      </c>
      <c r="V3782">
        <v>0</v>
      </c>
    </row>
    <row r="3783" spans="1:22" x14ac:dyDescent="0.2">
      <c r="A3783"/>
      <c r="B3783">
        <v>75070</v>
      </c>
      <c r="C3783" t="s">
        <v>441</v>
      </c>
      <c r="D3783" t="s">
        <v>920</v>
      </c>
      <c r="E3783" t="s">
        <v>1275</v>
      </c>
      <c r="F3783" t="s">
        <v>123</v>
      </c>
      <c r="G3783">
        <v>3765.4185437560132</v>
      </c>
      <c r="H3783" t="s">
        <v>248</v>
      </c>
      <c r="I3783">
        <v>0</v>
      </c>
      <c r="J3783">
        <v>0</v>
      </c>
      <c r="K3783">
        <v>0</v>
      </c>
      <c r="L3783">
        <v>0</v>
      </c>
      <c r="M3783" t="s">
        <v>188</v>
      </c>
      <c r="N3783">
        <v>4466.1994628706198</v>
      </c>
      <c r="O3783" t="s">
        <v>248</v>
      </c>
      <c r="P3783" t="b">
        <v>1</v>
      </c>
      <c r="Q3783">
        <v>5290.8753921521256</v>
      </c>
      <c r="R3783">
        <v>25985.664271921669</v>
      </c>
      <c r="S3783">
        <v>-3.8832810264691444</v>
      </c>
      <c r="T3783">
        <v>82.019223612272796</v>
      </c>
      <c r="U3783">
        <v>0</v>
      </c>
      <c r="V3783">
        <v>0</v>
      </c>
    </row>
    <row r="3784" spans="1:22" x14ac:dyDescent="0.2">
      <c r="A3784"/>
      <c r="B3784">
        <v>75071</v>
      </c>
      <c r="C3784" t="s">
        <v>442</v>
      </c>
      <c r="D3784" t="s">
        <v>920</v>
      </c>
      <c r="E3784" t="s">
        <v>1275</v>
      </c>
      <c r="F3784" t="s">
        <v>123</v>
      </c>
      <c r="G3784">
        <v>3786.075552334743</v>
      </c>
      <c r="H3784" t="s">
        <v>248</v>
      </c>
      <c r="I3784">
        <v>0</v>
      </c>
      <c r="J3784">
        <v>0</v>
      </c>
      <c r="K3784">
        <v>0</v>
      </c>
      <c r="L3784">
        <v>0</v>
      </c>
      <c r="M3784" t="s">
        <v>188</v>
      </c>
      <c r="N3784">
        <v>4486.8564714493496</v>
      </c>
      <c r="O3784" t="s">
        <v>248</v>
      </c>
      <c r="P3784" t="b">
        <v>1</v>
      </c>
      <c r="Q3784">
        <v>5293.7049156378562</v>
      </c>
      <c r="R3784">
        <v>26006.121764877655</v>
      </c>
      <c r="S3784">
        <v>-3.4402537569956122</v>
      </c>
      <c r="T3784">
        <v>82.235943429907763</v>
      </c>
      <c r="U3784">
        <v>0</v>
      </c>
      <c r="V3784">
        <v>0</v>
      </c>
    </row>
    <row r="3785" spans="1:22" x14ac:dyDescent="0.2">
      <c r="A3785"/>
      <c r="B3785">
        <v>75072</v>
      </c>
      <c r="C3785" t="s">
        <v>443</v>
      </c>
      <c r="D3785" t="s">
        <v>920</v>
      </c>
      <c r="E3785" t="s">
        <v>1275</v>
      </c>
      <c r="F3785" t="s">
        <v>123</v>
      </c>
      <c r="G3785">
        <v>3880.4977548810634</v>
      </c>
      <c r="H3785" t="s">
        <v>248</v>
      </c>
      <c r="I3785">
        <v>0</v>
      </c>
      <c r="J3785">
        <v>0</v>
      </c>
      <c r="K3785">
        <v>0</v>
      </c>
      <c r="L3785">
        <v>0</v>
      </c>
      <c r="M3785" t="s">
        <v>188</v>
      </c>
      <c r="N3785">
        <v>4581.27867399567</v>
      </c>
      <c r="O3785" t="s">
        <v>248</v>
      </c>
      <c r="P3785" t="b">
        <v>1</v>
      </c>
      <c r="Q3785">
        <v>5306.3044358265606</v>
      </c>
      <c r="R3785">
        <v>26099.690442731615</v>
      </c>
      <c r="S3785">
        <v>-2.3350708442260011</v>
      </c>
      <c r="T3785">
        <v>82.374990778021797</v>
      </c>
      <c r="U3785">
        <v>0</v>
      </c>
      <c r="V3785">
        <v>0</v>
      </c>
    </row>
    <row r="3786" spans="1:22" x14ac:dyDescent="0.2">
      <c r="A3786"/>
      <c r="B3786">
        <v>75073</v>
      </c>
      <c r="C3786" t="s">
        <v>444</v>
      </c>
      <c r="D3786" t="s">
        <v>920</v>
      </c>
      <c r="E3786" t="s">
        <v>1275</v>
      </c>
      <c r="F3786" t="s">
        <v>123</v>
      </c>
      <c r="G3786">
        <v>3895.1150476182033</v>
      </c>
      <c r="H3786" t="s">
        <v>248</v>
      </c>
      <c r="I3786">
        <v>0</v>
      </c>
      <c r="J3786">
        <v>0</v>
      </c>
      <c r="K3786">
        <v>0</v>
      </c>
      <c r="L3786">
        <v>0</v>
      </c>
      <c r="M3786" t="s">
        <v>188</v>
      </c>
      <c r="N3786">
        <v>4595.8959667328099</v>
      </c>
      <c r="O3786" t="s">
        <v>248</v>
      </c>
      <c r="P3786" t="b">
        <v>1</v>
      </c>
      <c r="Q3786">
        <v>5308.2427500021076</v>
      </c>
      <c r="R3786">
        <v>26114.178651196238</v>
      </c>
      <c r="S3786">
        <v>-2.3354173697982414</v>
      </c>
      <c r="T3786">
        <v>82.384443037903367</v>
      </c>
      <c r="U3786">
        <v>0</v>
      </c>
      <c r="V3786">
        <v>0</v>
      </c>
    </row>
    <row r="3787" spans="1:22" x14ac:dyDescent="0.2">
      <c r="A3787"/>
      <c r="B3787">
        <v>75074</v>
      </c>
      <c r="C3787" t="s">
        <v>445</v>
      </c>
      <c r="D3787" t="s">
        <v>920</v>
      </c>
      <c r="E3787" t="s">
        <v>1275</v>
      </c>
      <c r="F3787" t="s">
        <v>123</v>
      </c>
      <c r="G3787">
        <v>3898.0660488437338</v>
      </c>
      <c r="H3787" t="s">
        <v>248</v>
      </c>
      <c r="I3787">
        <v>0</v>
      </c>
      <c r="J3787">
        <v>0</v>
      </c>
      <c r="K3787">
        <v>0</v>
      </c>
      <c r="L3787">
        <v>0</v>
      </c>
      <c r="M3787" t="s">
        <v>188</v>
      </c>
      <c r="N3787">
        <v>4598.8469679583404</v>
      </c>
      <c r="O3787" t="s">
        <v>248</v>
      </c>
      <c r="P3787" t="b">
        <v>1</v>
      </c>
      <c r="Q3787">
        <v>5308.6337905420678</v>
      </c>
      <c r="R3787">
        <v>26117.103629063189</v>
      </c>
      <c r="S3787">
        <v>-2.3354976018410607</v>
      </c>
      <c r="T3787">
        <v>82.386090853502253</v>
      </c>
      <c r="U3787">
        <v>0</v>
      </c>
      <c r="V3787">
        <v>0</v>
      </c>
    </row>
    <row r="3788" spans="1:22" x14ac:dyDescent="0.2">
      <c r="A3788"/>
      <c r="B3788">
        <v>75075</v>
      </c>
      <c r="C3788" t="s">
        <v>446</v>
      </c>
      <c r="D3788" t="s">
        <v>920</v>
      </c>
      <c r="E3788" t="s">
        <v>1275</v>
      </c>
      <c r="F3788" t="s">
        <v>123</v>
      </c>
      <c r="G3788">
        <v>3917.6606969812733</v>
      </c>
      <c r="H3788" t="s">
        <v>248</v>
      </c>
      <c r="I3788">
        <v>0</v>
      </c>
      <c r="J3788">
        <v>0</v>
      </c>
      <c r="K3788">
        <v>0</v>
      </c>
      <c r="L3788">
        <v>0</v>
      </c>
      <c r="M3788" t="s">
        <v>188</v>
      </c>
      <c r="N3788">
        <v>4618.4416160958799</v>
      </c>
      <c r="O3788" t="s">
        <v>248</v>
      </c>
      <c r="P3788" t="b">
        <v>1</v>
      </c>
      <c r="Q3788">
        <v>5311.2284356280325</v>
      </c>
      <c r="R3788">
        <v>26136.525731199192</v>
      </c>
      <c r="S3788">
        <v>-2.3361178854931577</v>
      </c>
      <c r="T3788">
        <v>82.394813027129217</v>
      </c>
      <c r="U3788">
        <v>0</v>
      </c>
      <c r="V3788">
        <v>0</v>
      </c>
    </row>
    <row r="3789" spans="1:22" x14ac:dyDescent="0.2">
      <c r="A3789"/>
      <c r="B3789">
        <v>75076</v>
      </c>
      <c r="C3789" t="s">
        <v>447</v>
      </c>
      <c r="D3789" t="s">
        <v>920</v>
      </c>
      <c r="E3789" t="s">
        <v>1275</v>
      </c>
      <c r="F3789" t="s">
        <v>123</v>
      </c>
      <c r="G3789">
        <v>3920.6116982068138</v>
      </c>
      <c r="H3789" t="s">
        <v>248</v>
      </c>
      <c r="I3789">
        <v>0</v>
      </c>
      <c r="J3789">
        <v>0</v>
      </c>
      <c r="K3789">
        <v>0</v>
      </c>
      <c r="L3789">
        <v>0</v>
      </c>
      <c r="M3789" t="s">
        <v>188</v>
      </c>
      <c r="N3789">
        <v>4621.3926173214204</v>
      </c>
      <c r="O3789" t="s">
        <v>248</v>
      </c>
      <c r="P3789" t="b">
        <v>1</v>
      </c>
      <c r="Q3789">
        <v>5311.6189638316937</v>
      </c>
      <c r="R3789">
        <v>26139.45077751399</v>
      </c>
      <c r="S3789">
        <v>-2.3362244865376933</v>
      </c>
      <c r="T3789">
        <v>82.395792372261354</v>
      </c>
      <c r="U3789">
        <v>0</v>
      </c>
      <c r="V3789">
        <v>0</v>
      </c>
    </row>
    <row r="3790" spans="1:22" x14ac:dyDescent="0.2">
      <c r="A3790"/>
      <c r="B3790">
        <v>75077</v>
      </c>
      <c r="C3790" t="s">
        <v>448</v>
      </c>
      <c r="D3790" t="s">
        <v>920</v>
      </c>
      <c r="E3790" t="s">
        <v>1275</v>
      </c>
      <c r="F3790" t="s">
        <v>123</v>
      </c>
      <c r="G3790">
        <v>3977.6840619086238</v>
      </c>
      <c r="H3790" t="s">
        <v>248</v>
      </c>
      <c r="I3790">
        <v>0</v>
      </c>
      <c r="J3790">
        <v>0</v>
      </c>
      <c r="K3790">
        <v>0</v>
      </c>
      <c r="L3790">
        <v>0</v>
      </c>
      <c r="M3790" t="s">
        <v>188</v>
      </c>
      <c r="N3790">
        <v>4678.4649810232304</v>
      </c>
      <c r="O3790" t="s">
        <v>248</v>
      </c>
      <c r="P3790" t="b">
        <v>1</v>
      </c>
      <c r="Q3790">
        <v>5319.167755698455</v>
      </c>
      <c r="R3790">
        <v>26196.021710248839</v>
      </c>
      <c r="S3790">
        <v>-2.3389649991397246</v>
      </c>
      <c r="T3790">
        <v>82.3975234849336</v>
      </c>
      <c r="U3790">
        <v>0</v>
      </c>
      <c r="V3790">
        <v>0</v>
      </c>
    </row>
    <row r="3791" spans="1:22" x14ac:dyDescent="0.2">
      <c r="A3791"/>
      <c r="B3791">
        <v>75078</v>
      </c>
      <c r="C3791" t="s">
        <v>449</v>
      </c>
      <c r="D3791" t="s">
        <v>920</v>
      </c>
      <c r="E3791" t="s">
        <v>1275</v>
      </c>
      <c r="F3791" t="s">
        <v>123</v>
      </c>
      <c r="G3791">
        <v>4012.2107762473638</v>
      </c>
      <c r="H3791" t="s">
        <v>248</v>
      </c>
      <c r="I3791">
        <v>0</v>
      </c>
      <c r="J3791">
        <v>0</v>
      </c>
      <c r="K3791">
        <v>0</v>
      </c>
      <c r="L3791">
        <v>0</v>
      </c>
      <c r="M3791" t="s">
        <v>188</v>
      </c>
      <c r="N3791">
        <v>4712.9916953619704</v>
      </c>
      <c r="O3791" t="s">
        <v>248</v>
      </c>
      <c r="P3791" t="b">
        <v>1</v>
      </c>
      <c r="Q3791">
        <v>5323.7394495331828</v>
      </c>
      <c r="R3791">
        <v>26230.244416257206</v>
      </c>
      <c r="S3791">
        <v>-2.341249634929417</v>
      </c>
      <c r="T3791">
        <v>82.382682847375591</v>
      </c>
      <c r="U3791">
        <v>0</v>
      </c>
      <c r="V3791">
        <v>0</v>
      </c>
    </row>
    <row r="3792" spans="1:22" x14ac:dyDescent="0.2">
      <c r="A3792"/>
      <c r="B3792">
        <v>75079</v>
      </c>
      <c r="C3792" t="s">
        <v>450</v>
      </c>
      <c r="D3792" t="s">
        <v>920</v>
      </c>
      <c r="E3792" t="s">
        <v>1275</v>
      </c>
      <c r="F3792" t="s">
        <v>123</v>
      </c>
      <c r="G3792">
        <v>4015.1617774728934</v>
      </c>
      <c r="H3792" t="s">
        <v>248</v>
      </c>
      <c r="I3792">
        <v>0</v>
      </c>
      <c r="J3792">
        <v>0</v>
      </c>
      <c r="K3792">
        <v>0</v>
      </c>
      <c r="L3792">
        <v>0</v>
      </c>
      <c r="M3792" t="s">
        <v>188</v>
      </c>
      <c r="N3792">
        <v>4715.9426965875</v>
      </c>
      <c r="O3792" t="s">
        <v>248</v>
      </c>
      <c r="P3792" t="b">
        <v>1</v>
      </c>
      <c r="Q3792">
        <v>5324.1306685498366</v>
      </c>
      <c r="R3792">
        <v>26233.169370251064</v>
      </c>
      <c r="S3792">
        <v>-2.3414668198194786</v>
      </c>
      <c r="T3792">
        <v>82.380858816361652</v>
      </c>
      <c r="U3792">
        <v>0</v>
      </c>
      <c r="V3792">
        <v>0</v>
      </c>
    </row>
    <row r="3793" spans="1:22" x14ac:dyDescent="0.2">
      <c r="A3793"/>
      <c r="B3793">
        <v>75080</v>
      </c>
      <c r="C3793" t="s">
        <v>451</v>
      </c>
      <c r="D3793" t="s">
        <v>920</v>
      </c>
      <c r="E3793" t="s">
        <v>1275</v>
      </c>
      <c r="F3793" t="s">
        <v>123</v>
      </c>
      <c r="G3793">
        <v>4034.7564256104338</v>
      </c>
      <c r="H3793" t="s">
        <v>248</v>
      </c>
      <c r="I3793">
        <v>0</v>
      </c>
      <c r="J3793">
        <v>0</v>
      </c>
      <c r="K3793">
        <v>0</v>
      </c>
      <c r="L3793">
        <v>0</v>
      </c>
      <c r="M3793" t="s">
        <v>188</v>
      </c>
      <c r="N3793">
        <v>4735.5373447250404</v>
      </c>
      <c r="O3793" t="s">
        <v>248</v>
      </c>
      <c r="P3793" t="b">
        <v>1</v>
      </c>
      <c r="Q3793">
        <v>5326.7309943269865</v>
      </c>
      <c r="R3793">
        <v>26252.590712561545</v>
      </c>
      <c r="S3793">
        <v>-2.3429964701164945</v>
      </c>
      <c r="T3793">
        <v>82.366527928479442</v>
      </c>
      <c r="U3793">
        <v>0</v>
      </c>
      <c r="V3793">
        <v>0</v>
      </c>
    </row>
    <row r="3794" spans="1:22" x14ac:dyDescent="0.2">
      <c r="A3794"/>
      <c r="B3794">
        <v>75081</v>
      </c>
      <c r="C3794" t="s">
        <v>452</v>
      </c>
      <c r="D3794" t="s">
        <v>920</v>
      </c>
      <c r="E3794" t="s">
        <v>1275</v>
      </c>
      <c r="F3794" t="s">
        <v>123</v>
      </c>
      <c r="G3794">
        <v>4037.7074268359734</v>
      </c>
      <c r="H3794" t="s">
        <v>248</v>
      </c>
      <c r="I3794">
        <v>0</v>
      </c>
      <c r="J3794">
        <v>0</v>
      </c>
      <c r="K3794">
        <v>0</v>
      </c>
      <c r="L3794">
        <v>0</v>
      </c>
      <c r="M3794" t="s">
        <v>188</v>
      </c>
      <c r="N3794">
        <v>4738.48834595058</v>
      </c>
      <c r="O3794" t="s">
        <v>248</v>
      </c>
      <c r="P3794" t="b">
        <v>1</v>
      </c>
      <c r="Q3794">
        <v>5327.1230550997398</v>
      </c>
      <c r="R3794">
        <v>26255.515553843205</v>
      </c>
      <c r="S3794">
        <v>-2.3432400240082725</v>
      </c>
      <c r="T3794">
        <v>82.36403542699874</v>
      </c>
      <c r="U3794">
        <v>0</v>
      </c>
      <c r="V3794">
        <v>0</v>
      </c>
    </row>
    <row r="3795" spans="1:22" x14ac:dyDescent="0.2">
      <c r="A3795"/>
      <c r="B3795">
        <v>75082</v>
      </c>
      <c r="C3795" t="s">
        <v>453</v>
      </c>
      <c r="D3795" t="s">
        <v>920</v>
      </c>
      <c r="E3795" t="s">
        <v>1275</v>
      </c>
      <c r="F3795" t="s">
        <v>123</v>
      </c>
      <c r="G3795">
        <v>4089.2712549167932</v>
      </c>
      <c r="H3795" t="s">
        <v>248</v>
      </c>
      <c r="I3795">
        <v>0</v>
      </c>
      <c r="J3795">
        <v>0</v>
      </c>
      <c r="K3795">
        <v>0</v>
      </c>
      <c r="L3795">
        <v>0</v>
      </c>
      <c r="M3795" t="s">
        <v>188</v>
      </c>
      <c r="N3795">
        <v>4790.0521740313998</v>
      </c>
      <c r="O3795" t="s">
        <v>248</v>
      </c>
      <c r="P3795" t="b">
        <v>1</v>
      </c>
      <c r="Q3795">
        <v>5334.0032294125449</v>
      </c>
      <c r="R3795">
        <v>26306.618279914539</v>
      </c>
      <c r="S3795">
        <v>-2.3759506201440583</v>
      </c>
      <c r="T3795">
        <v>82.210800837830249</v>
      </c>
      <c r="U3795">
        <v>0</v>
      </c>
      <c r="V3795">
        <v>0</v>
      </c>
    </row>
    <row r="3796" spans="1:22" x14ac:dyDescent="0.2">
      <c r="A3796"/>
      <c r="B3796">
        <v>75083</v>
      </c>
      <c r="C3796" t="s">
        <v>454</v>
      </c>
      <c r="D3796" t="s">
        <v>920</v>
      </c>
      <c r="E3796" t="s">
        <v>1275</v>
      </c>
      <c r="F3796" t="s">
        <v>123</v>
      </c>
      <c r="G3796">
        <v>4167.7383775037242</v>
      </c>
      <c r="H3796" t="s">
        <v>248</v>
      </c>
      <c r="I3796">
        <v>0</v>
      </c>
      <c r="J3796">
        <v>0</v>
      </c>
      <c r="K3796">
        <v>0</v>
      </c>
      <c r="L3796">
        <v>0</v>
      </c>
      <c r="M3796" t="s">
        <v>188</v>
      </c>
      <c r="N3796">
        <v>4868.5192966183304</v>
      </c>
      <c r="O3796" t="s">
        <v>248</v>
      </c>
      <c r="P3796" t="b">
        <v>1</v>
      </c>
      <c r="Q3796">
        <v>5347.0192998460107</v>
      </c>
      <c r="R3796">
        <v>26383.982389519333</v>
      </c>
      <c r="S3796">
        <v>-3.5230971845625509</v>
      </c>
      <c r="T3796">
        <v>80.297444157130514</v>
      </c>
      <c r="U3796">
        <v>0</v>
      </c>
      <c r="V3796">
        <v>0</v>
      </c>
    </row>
    <row r="3797" spans="1:22" x14ac:dyDescent="0.2">
      <c r="A3797"/>
      <c r="B3797">
        <v>75084</v>
      </c>
      <c r="C3797" t="s">
        <v>455</v>
      </c>
      <c r="D3797" t="s">
        <v>920</v>
      </c>
      <c r="E3797" t="s">
        <v>1275</v>
      </c>
      <c r="F3797" t="s">
        <v>123</v>
      </c>
      <c r="G3797">
        <v>4188.395386082454</v>
      </c>
      <c r="H3797" t="s">
        <v>248</v>
      </c>
      <c r="I3797">
        <v>0</v>
      </c>
      <c r="J3797">
        <v>0</v>
      </c>
      <c r="K3797">
        <v>0</v>
      </c>
      <c r="L3797">
        <v>0</v>
      </c>
      <c r="M3797" t="s">
        <v>188</v>
      </c>
      <c r="N3797">
        <v>4889.1763051970602</v>
      </c>
      <c r="O3797" t="s">
        <v>248</v>
      </c>
      <c r="P3797" t="b">
        <v>1</v>
      </c>
      <c r="Q3797">
        <v>5350.5094732553362</v>
      </c>
      <c r="R3797">
        <v>26404.33830886229</v>
      </c>
      <c r="S3797">
        <v>-3.9315709219974759</v>
      </c>
      <c r="T3797">
        <v>80.125206022273602</v>
      </c>
      <c r="U3797">
        <v>0</v>
      </c>
      <c r="V3797">
        <v>0</v>
      </c>
    </row>
    <row r="3798" spans="1:22" x14ac:dyDescent="0.2">
      <c r="A3798"/>
      <c r="B3798">
        <v>75085</v>
      </c>
      <c r="C3798" t="s">
        <v>456</v>
      </c>
      <c r="D3798" t="s">
        <v>920</v>
      </c>
      <c r="E3798" t="s">
        <v>1275</v>
      </c>
      <c r="F3798" t="s">
        <v>123</v>
      </c>
      <c r="G3798">
        <v>4306.4354351037837</v>
      </c>
      <c r="H3798" t="s">
        <v>248</v>
      </c>
      <c r="I3798">
        <v>0</v>
      </c>
      <c r="J3798">
        <v>0</v>
      </c>
      <c r="K3798">
        <v>0</v>
      </c>
      <c r="L3798">
        <v>0</v>
      </c>
      <c r="M3798" t="s">
        <v>188</v>
      </c>
      <c r="N3798">
        <v>5007.2163542183898</v>
      </c>
      <c r="O3798" t="s">
        <v>248</v>
      </c>
      <c r="P3798" t="b">
        <v>1</v>
      </c>
      <c r="Q3798">
        <v>5374.3650697626899</v>
      </c>
      <c r="R3798">
        <v>26519.909371059715</v>
      </c>
      <c r="S3798">
        <v>-6.2740621860726149</v>
      </c>
      <c r="T3798">
        <v>78.092119966849424</v>
      </c>
      <c r="U3798">
        <v>0</v>
      </c>
      <c r="V3798">
        <v>0</v>
      </c>
    </row>
    <row r="3799" spans="1:22" x14ac:dyDescent="0.2">
      <c r="A3799"/>
      <c r="B3799">
        <v>75086</v>
      </c>
      <c r="C3799" t="s">
        <v>457</v>
      </c>
      <c r="D3799" t="s">
        <v>920</v>
      </c>
      <c r="E3799" t="s">
        <v>1275</v>
      </c>
      <c r="F3799" t="s">
        <v>123</v>
      </c>
      <c r="G3799">
        <v>4503.1688501393437</v>
      </c>
      <c r="H3799" t="s">
        <v>248</v>
      </c>
      <c r="I3799">
        <v>0</v>
      </c>
      <c r="J3799">
        <v>0</v>
      </c>
      <c r="K3799">
        <v>0</v>
      </c>
      <c r="L3799">
        <v>0</v>
      </c>
      <c r="M3799" t="s">
        <v>188</v>
      </c>
      <c r="N3799">
        <v>5203.9497692539499</v>
      </c>
      <c r="O3799" t="s">
        <v>248</v>
      </c>
      <c r="P3799" t="b">
        <v>1</v>
      </c>
      <c r="Q3799">
        <v>5412.2787005039263</v>
      </c>
      <c r="R3799">
        <v>26712.917485028578</v>
      </c>
      <c r="S3799">
        <v>-9.9110534360441456</v>
      </c>
      <c r="T3799">
        <v>79.063167888847957</v>
      </c>
      <c r="U3799">
        <v>0</v>
      </c>
      <c r="V3799">
        <v>0</v>
      </c>
    </row>
    <row r="3800" spans="1:22" x14ac:dyDescent="0.2">
      <c r="A3800"/>
      <c r="B3800">
        <v>75087</v>
      </c>
      <c r="C3800" t="s">
        <v>458</v>
      </c>
      <c r="D3800" t="s">
        <v>920</v>
      </c>
      <c r="E3800" t="s">
        <v>1275</v>
      </c>
      <c r="F3800" t="s">
        <v>123</v>
      </c>
      <c r="G3800">
        <v>4699.9022651748937</v>
      </c>
      <c r="H3800" t="s">
        <v>248</v>
      </c>
      <c r="I3800">
        <v>0</v>
      </c>
      <c r="J3800">
        <v>0</v>
      </c>
      <c r="K3800">
        <v>0</v>
      </c>
      <c r="L3800">
        <v>0</v>
      </c>
      <c r="M3800" t="s">
        <v>188</v>
      </c>
      <c r="N3800">
        <v>5400.6831842894999</v>
      </c>
      <c r="O3800" t="s">
        <v>248</v>
      </c>
      <c r="P3800" t="b">
        <v>1</v>
      </c>
      <c r="Q3800">
        <v>5449.480012608321</v>
      </c>
      <c r="R3800">
        <v>26906.08985883979</v>
      </c>
      <c r="S3800">
        <v>-8.0219143065140113</v>
      </c>
      <c r="T3800">
        <v>79.132449549792895</v>
      </c>
      <c r="U3800">
        <v>0</v>
      </c>
      <c r="V3800">
        <v>0</v>
      </c>
    </row>
    <row r="3801" spans="1:22" x14ac:dyDescent="0.2">
      <c r="A3801"/>
      <c r="B3801">
        <v>75088</v>
      </c>
      <c r="C3801" t="s">
        <v>459</v>
      </c>
      <c r="D3801" t="s">
        <v>920</v>
      </c>
      <c r="E3801" t="s">
        <v>1275</v>
      </c>
      <c r="F3801" t="s">
        <v>123</v>
      </c>
      <c r="G3801">
        <v>4896.6356802104538</v>
      </c>
      <c r="H3801" t="s">
        <v>248</v>
      </c>
      <c r="I3801">
        <v>0</v>
      </c>
      <c r="J3801">
        <v>0</v>
      </c>
      <c r="K3801">
        <v>0</v>
      </c>
      <c r="L3801">
        <v>0</v>
      </c>
      <c r="M3801" t="s">
        <v>188</v>
      </c>
      <c r="N3801">
        <v>5597.4165993250599</v>
      </c>
      <c r="O3801" t="s">
        <v>248</v>
      </c>
      <c r="P3801" t="b">
        <v>1</v>
      </c>
      <c r="Q3801">
        <v>5485.5341820433441</v>
      </c>
      <c r="R3801">
        <v>27099.472753764156</v>
      </c>
      <c r="S3801">
        <v>-5.9795203738589118</v>
      </c>
      <c r="T3801">
        <v>80.605525873436221</v>
      </c>
      <c r="U3801">
        <v>0</v>
      </c>
      <c r="V3801">
        <v>0</v>
      </c>
    </row>
    <row r="3802" spans="1:22" x14ac:dyDescent="0.2">
      <c r="A3802"/>
      <c r="B3802">
        <v>75089</v>
      </c>
      <c r="C3802" t="s">
        <v>460</v>
      </c>
      <c r="D3802" t="s">
        <v>920</v>
      </c>
      <c r="E3802" t="s">
        <v>1275</v>
      </c>
      <c r="F3802" t="s">
        <v>123</v>
      </c>
      <c r="G3802">
        <v>5093.3690952460138</v>
      </c>
      <c r="H3802" t="s">
        <v>248</v>
      </c>
      <c r="I3802">
        <v>0</v>
      </c>
      <c r="J3802">
        <v>0</v>
      </c>
      <c r="K3802">
        <v>0</v>
      </c>
      <c r="L3802">
        <v>0</v>
      </c>
      <c r="M3802" t="s">
        <v>188</v>
      </c>
      <c r="N3802">
        <v>5794.1500143606199</v>
      </c>
      <c r="O3802" t="s">
        <v>248</v>
      </c>
      <c r="P3802" t="b">
        <v>1</v>
      </c>
      <c r="Q3802">
        <v>5518.0852887201945</v>
      </c>
      <c r="R3802">
        <v>27293.462033927404</v>
      </c>
      <c r="S3802">
        <v>-2.8738437633876606</v>
      </c>
      <c r="T3802">
        <v>80.394432787039648</v>
      </c>
      <c r="U3802">
        <v>0</v>
      </c>
      <c r="V3802">
        <v>0</v>
      </c>
    </row>
    <row r="3803" spans="1:22" x14ac:dyDescent="0.2">
      <c r="A3803"/>
      <c r="B3803">
        <v>75090</v>
      </c>
      <c r="C3803" t="s">
        <v>461</v>
      </c>
      <c r="D3803" t="s">
        <v>920</v>
      </c>
      <c r="E3803" t="s">
        <v>1275</v>
      </c>
      <c r="F3803" t="s">
        <v>123</v>
      </c>
      <c r="G3803">
        <v>5278.8788689537841</v>
      </c>
      <c r="H3803" t="s">
        <v>248</v>
      </c>
      <c r="I3803">
        <v>0</v>
      </c>
      <c r="J3803">
        <v>0</v>
      </c>
      <c r="K3803">
        <v>0</v>
      </c>
      <c r="L3803">
        <v>0</v>
      </c>
      <c r="M3803" t="s">
        <v>188</v>
      </c>
      <c r="N3803">
        <v>5979.6597880683903</v>
      </c>
      <c r="O3803" t="s">
        <v>248</v>
      </c>
      <c r="P3803" t="b">
        <v>1</v>
      </c>
      <c r="Q3803">
        <v>5549.2432211364776</v>
      </c>
      <c r="R3803">
        <v>27476.251350371851</v>
      </c>
      <c r="S3803">
        <v>2.7036621351578356</v>
      </c>
      <c r="T3803">
        <v>80.257377692156055</v>
      </c>
      <c r="U3803">
        <v>0</v>
      </c>
      <c r="V3803">
        <v>0</v>
      </c>
    </row>
    <row r="3804" spans="1:22" x14ac:dyDescent="0.2">
      <c r="A3804"/>
      <c r="B3804">
        <v>75091</v>
      </c>
      <c r="C3804" t="s">
        <v>462</v>
      </c>
      <c r="D3804" t="s">
        <v>920</v>
      </c>
      <c r="E3804" t="s">
        <v>1275</v>
      </c>
      <c r="F3804" t="s">
        <v>123</v>
      </c>
      <c r="G3804">
        <v>5321.7470800900337</v>
      </c>
      <c r="H3804" t="s">
        <v>248</v>
      </c>
      <c r="I3804">
        <v>0</v>
      </c>
      <c r="J3804">
        <v>0</v>
      </c>
      <c r="K3804">
        <v>0</v>
      </c>
      <c r="L3804">
        <v>0</v>
      </c>
      <c r="M3804" t="s">
        <v>188</v>
      </c>
      <c r="N3804">
        <v>6022.5279992046399</v>
      </c>
      <c r="O3804" t="s">
        <v>248</v>
      </c>
      <c r="P3804" t="b">
        <v>1</v>
      </c>
      <c r="Q3804">
        <v>5556.5061890817924</v>
      </c>
      <c r="R3804">
        <v>27518.480089771991</v>
      </c>
      <c r="S3804">
        <v>3.994437394239879</v>
      </c>
      <c r="T3804">
        <v>80.224814007290348</v>
      </c>
      <c r="U3804">
        <v>0</v>
      </c>
      <c r="V3804">
        <v>0</v>
      </c>
    </row>
    <row r="3805" spans="1:22" x14ac:dyDescent="0.2">
      <c r="A3805"/>
      <c r="B3805">
        <v>75092</v>
      </c>
      <c r="C3805" t="s">
        <v>463</v>
      </c>
      <c r="D3805" t="s">
        <v>920</v>
      </c>
      <c r="E3805" t="s">
        <v>1275</v>
      </c>
      <c r="F3805" t="s">
        <v>123</v>
      </c>
      <c r="G3805">
        <v>5376.2422360548835</v>
      </c>
      <c r="H3805" t="s">
        <v>248</v>
      </c>
      <c r="I3805">
        <v>0</v>
      </c>
      <c r="J3805">
        <v>0</v>
      </c>
      <c r="K3805">
        <v>0</v>
      </c>
      <c r="L3805">
        <v>0</v>
      </c>
      <c r="M3805" t="s">
        <v>188</v>
      </c>
      <c r="N3805">
        <v>6077.0231551694897</v>
      </c>
      <c r="O3805" t="s">
        <v>248</v>
      </c>
      <c r="P3805" t="b">
        <v>1</v>
      </c>
      <c r="Q3805">
        <v>5565.7753024516969</v>
      </c>
      <c r="R3805">
        <v>27572.169788013187</v>
      </c>
      <c r="S3805">
        <v>5.0647382440292983</v>
      </c>
      <c r="T3805">
        <v>80.185598584419239</v>
      </c>
      <c r="U3805">
        <v>0</v>
      </c>
      <c r="V3805">
        <v>0</v>
      </c>
    </row>
    <row r="3806" spans="1:22" x14ac:dyDescent="0.2">
      <c r="A3806"/>
      <c r="B3806">
        <v>75093</v>
      </c>
      <c r="C3806" t="s">
        <v>464</v>
      </c>
      <c r="D3806" t="s">
        <v>920</v>
      </c>
      <c r="E3806" t="s">
        <v>1275</v>
      </c>
      <c r="F3806" t="s">
        <v>123</v>
      </c>
      <c r="G3806">
        <v>5461.3982947530239</v>
      </c>
      <c r="H3806" t="s">
        <v>248</v>
      </c>
      <c r="I3806">
        <v>0</v>
      </c>
      <c r="J3806">
        <v>0</v>
      </c>
      <c r="K3806">
        <v>0</v>
      </c>
      <c r="L3806">
        <v>0</v>
      </c>
      <c r="M3806" t="s">
        <v>188</v>
      </c>
      <c r="N3806">
        <v>6162.1792138676301</v>
      </c>
      <c r="O3806" t="s">
        <v>248</v>
      </c>
      <c r="P3806" t="b">
        <v>1</v>
      </c>
      <c r="Q3806">
        <v>5580.3311775038283</v>
      </c>
      <c r="R3806">
        <v>27656.071903386019</v>
      </c>
      <c r="S3806">
        <v>5.2144687790199207</v>
      </c>
      <c r="T3806">
        <v>80.131301739948611</v>
      </c>
      <c r="U3806">
        <v>0</v>
      </c>
      <c r="V3806">
        <v>0</v>
      </c>
    </row>
    <row r="3807" spans="1:22" x14ac:dyDescent="0.2">
      <c r="A3807"/>
      <c r="B3807">
        <v>75094</v>
      </c>
      <c r="C3807" t="s">
        <v>465</v>
      </c>
      <c r="D3807" t="s">
        <v>920</v>
      </c>
      <c r="E3807" t="s">
        <v>1275</v>
      </c>
      <c r="F3807" t="s">
        <v>123</v>
      </c>
      <c r="G3807">
        <v>5516.3459375724542</v>
      </c>
      <c r="H3807" t="s">
        <v>248</v>
      </c>
      <c r="I3807">
        <v>0</v>
      </c>
      <c r="J3807">
        <v>0</v>
      </c>
      <c r="K3807">
        <v>0</v>
      </c>
      <c r="L3807">
        <v>0</v>
      </c>
      <c r="M3807" t="s">
        <v>188</v>
      </c>
      <c r="N3807">
        <v>6217.1268566870604</v>
      </c>
      <c r="O3807" t="s">
        <v>248</v>
      </c>
      <c r="P3807" t="b">
        <v>1</v>
      </c>
      <c r="Q3807">
        <v>5589.764196912337</v>
      </c>
      <c r="R3807">
        <v>27710.203788612343</v>
      </c>
      <c r="S3807">
        <v>5.2304762633860484</v>
      </c>
      <c r="T3807">
        <v>80.098787247464685</v>
      </c>
      <c r="U3807">
        <v>0</v>
      </c>
      <c r="V3807">
        <v>0</v>
      </c>
    </row>
    <row r="3808" spans="1:22" x14ac:dyDescent="0.2">
      <c r="A3808"/>
      <c r="B3808">
        <v>75095</v>
      </c>
      <c r="C3808" t="s">
        <v>466</v>
      </c>
      <c r="D3808" t="s">
        <v>920</v>
      </c>
      <c r="E3808" t="s">
        <v>1275</v>
      </c>
      <c r="F3808" t="s">
        <v>123</v>
      </c>
      <c r="G3808">
        <v>5634.3859865937839</v>
      </c>
      <c r="H3808" t="s">
        <v>248</v>
      </c>
      <c r="I3808">
        <v>0</v>
      </c>
      <c r="J3808">
        <v>0</v>
      </c>
      <c r="K3808">
        <v>0</v>
      </c>
      <c r="L3808">
        <v>0</v>
      </c>
      <c r="M3808" t="s">
        <v>188</v>
      </c>
      <c r="N3808">
        <v>6335.16690570839</v>
      </c>
      <c r="O3808" t="s">
        <v>248</v>
      </c>
      <c r="P3808" t="b">
        <v>1</v>
      </c>
      <c r="Q3808">
        <v>5609.7263727839827</v>
      </c>
      <c r="R3808">
        <v>27826.542483871381</v>
      </c>
      <c r="S3808">
        <v>5.2365784502516162</v>
      </c>
      <c r="T3808">
        <v>80.798466444984442</v>
      </c>
      <c r="U3808">
        <v>0</v>
      </c>
      <c r="V3808">
        <v>0</v>
      </c>
    </row>
    <row r="3809" spans="1:22" x14ac:dyDescent="0.2">
      <c r="A3809"/>
      <c r="B3809">
        <v>75096</v>
      </c>
      <c r="C3809" t="s">
        <v>467</v>
      </c>
      <c r="D3809" t="s">
        <v>920</v>
      </c>
      <c r="E3809" t="s">
        <v>1275</v>
      </c>
      <c r="F3809" t="s">
        <v>123</v>
      </c>
      <c r="G3809">
        <v>5655.0429951725237</v>
      </c>
      <c r="H3809" t="s">
        <v>248</v>
      </c>
      <c r="I3809">
        <v>0</v>
      </c>
      <c r="J3809">
        <v>0</v>
      </c>
      <c r="K3809">
        <v>0</v>
      </c>
      <c r="L3809">
        <v>0</v>
      </c>
      <c r="M3809" t="s">
        <v>188</v>
      </c>
      <c r="N3809">
        <v>6355.8239142871298</v>
      </c>
      <c r="O3809" t="s">
        <v>248</v>
      </c>
      <c r="P3809" t="b">
        <v>1</v>
      </c>
      <c r="Q3809">
        <v>5612.9993719317863</v>
      </c>
      <c r="R3809">
        <v>27846.938542649299</v>
      </c>
      <c r="S3809">
        <v>5.2418610272333881</v>
      </c>
      <c r="T3809">
        <v>80.931377651423659</v>
      </c>
      <c r="U3809">
        <v>0</v>
      </c>
      <c r="V3809">
        <v>0</v>
      </c>
    </row>
    <row r="3810" spans="1:22" x14ac:dyDescent="0.2">
      <c r="A3810"/>
      <c r="B3810">
        <v>75097</v>
      </c>
      <c r="C3810" t="s">
        <v>468</v>
      </c>
      <c r="D3810" t="s">
        <v>920</v>
      </c>
      <c r="E3810" t="s">
        <v>1275</v>
      </c>
      <c r="F3810" t="s">
        <v>124</v>
      </c>
      <c r="G3810">
        <v>37.210645630691943</v>
      </c>
      <c r="H3810" t="s">
        <v>248</v>
      </c>
      <c r="I3810">
        <v>0</v>
      </c>
      <c r="J3810">
        <v>0</v>
      </c>
      <c r="K3810">
        <v>0</v>
      </c>
      <c r="L3810">
        <v>0</v>
      </c>
      <c r="M3810" t="s">
        <v>188</v>
      </c>
      <c r="N3810">
        <v>6450.79549057227</v>
      </c>
      <c r="O3810" t="s">
        <v>248</v>
      </c>
      <c r="P3810" t="b">
        <v>1</v>
      </c>
      <c r="Q3810">
        <v>5628.236928651454</v>
      </c>
      <c r="R3810">
        <v>27940.67966288692</v>
      </c>
      <c r="S3810">
        <v>5.2269210182228454</v>
      </c>
      <c r="T3810">
        <v>80.708501606730351</v>
      </c>
      <c r="U3810">
        <v>0</v>
      </c>
      <c r="V3810">
        <v>0</v>
      </c>
    </row>
    <row r="3811" spans="1:22" x14ac:dyDescent="0.2">
      <c r="A3811"/>
      <c r="B3811">
        <v>75098</v>
      </c>
      <c r="C3811" t="s">
        <v>469</v>
      </c>
      <c r="D3811" t="s">
        <v>920</v>
      </c>
      <c r="E3811" t="s">
        <v>1275</v>
      </c>
      <c r="F3811" t="s">
        <v>124</v>
      </c>
      <c r="G3811">
        <v>51.897237770732318</v>
      </c>
      <c r="H3811" t="s">
        <v>248</v>
      </c>
      <c r="I3811">
        <v>0</v>
      </c>
      <c r="J3811">
        <v>0</v>
      </c>
      <c r="K3811">
        <v>0</v>
      </c>
      <c r="L3811">
        <v>0</v>
      </c>
      <c r="M3811" t="s">
        <v>188</v>
      </c>
      <c r="N3811">
        <v>6465.4820827123103</v>
      </c>
      <c r="O3811" t="s">
        <v>248</v>
      </c>
      <c r="P3811" t="b">
        <v>1</v>
      </c>
      <c r="Q3811">
        <v>5630.6082997738049</v>
      </c>
      <c r="R3811">
        <v>27955.173543579542</v>
      </c>
      <c r="S3811">
        <v>5.2301042379211031</v>
      </c>
      <c r="T3811">
        <v>80.707646016839519</v>
      </c>
      <c r="U3811">
        <v>0</v>
      </c>
      <c r="V3811">
        <v>0</v>
      </c>
    </row>
    <row r="3812" spans="1:22" x14ac:dyDescent="0.2">
      <c r="A3812"/>
      <c r="B3812">
        <v>75099</v>
      </c>
      <c r="C3812" t="s">
        <v>470</v>
      </c>
      <c r="D3812" t="s">
        <v>920</v>
      </c>
      <c r="E3812" t="s">
        <v>1275</v>
      </c>
      <c r="F3812" t="s">
        <v>124</v>
      </c>
      <c r="G3812">
        <v>54.862229454452063</v>
      </c>
      <c r="H3812" t="s">
        <v>248</v>
      </c>
      <c r="I3812">
        <v>0</v>
      </c>
      <c r="J3812">
        <v>0</v>
      </c>
      <c r="K3812">
        <v>0</v>
      </c>
      <c r="L3812">
        <v>0</v>
      </c>
      <c r="M3812" t="s">
        <v>188</v>
      </c>
      <c r="N3812">
        <v>6468.4470743960301</v>
      </c>
      <c r="O3812" t="s">
        <v>248</v>
      </c>
      <c r="P3812" t="b">
        <v>1</v>
      </c>
      <c r="Q3812">
        <v>5631.0870671095563</v>
      </c>
      <c r="R3812">
        <v>27958.099625803436</v>
      </c>
      <c r="S3812">
        <v>5.2306888144328587</v>
      </c>
      <c r="T3812">
        <v>80.707497143623328</v>
      </c>
      <c r="U3812">
        <v>0</v>
      </c>
      <c r="V3812">
        <v>0</v>
      </c>
    </row>
    <row r="3813" spans="1:22" x14ac:dyDescent="0.2">
      <c r="A3813"/>
      <c r="B3813">
        <v>75100</v>
      </c>
      <c r="C3813" t="s">
        <v>471</v>
      </c>
      <c r="D3813" t="s">
        <v>920</v>
      </c>
      <c r="E3813" t="s">
        <v>1275</v>
      </c>
      <c r="F3813" t="s">
        <v>124</v>
      </c>
      <c r="G3813">
        <v>74.549774234362303</v>
      </c>
      <c r="H3813" t="s">
        <v>248</v>
      </c>
      <c r="I3813">
        <v>0</v>
      </c>
      <c r="J3813">
        <v>0</v>
      </c>
      <c r="K3813">
        <v>0</v>
      </c>
      <c r="L3813">
        <v>0</v>
      </c>
      <c r="M3813" t="s">
        <v>188</v>
      </c>
      <c r="N3813">
        <v>6488.1346191759403</v>
      </c>
      <c r="O3813" t="s">
        <v>248</v>
      </c>
      <c r="P3813" t="b">
        <v>1</v>
      </c>
      <c r="Q3813">
        <v>5634.266250370807</v>
      </c>
      <c r="R3813">
        <v>27977.528784347083</v>
      </c>
      <c r="S3813">
        <v>5.2340756149595</v>
      </c>
      <c r="T3813">
        <v>80.706711915192216</v>
      </c>
      <c r="U3813">
        <v>0</v>
      </c>
      <c r="V3813">
        <v>0</v>
      </c>
    </row>
    <row r="3814" spans="1:22" x14ac:dyDescent="0.2">
      <c r="A3814"/>
      <c r="B3814">
        <v>75101</v>
      </c>
      <c r="C3814" t="s">
        <v>472</v>
      </c>
      <c r="D3814" t="s">
        <v>920</v>
      </c>
      <c r="E3814" t="s">
        <v>1275</v>
      </c>
      <c r="F3814" t="s">
        <v>124</v>
      </c>
      <c r="G3814">
        <v>77.514765918082048</v>
      </c>
      <c r="H3814" t="s">
        <v>248</v>
      </c>
      <c r="I3814">
        <v>0</v>
      </c>
      <c r="J3814">
        <v>0</v>
      </c>
      <c r="K3814">
        <v>0</v>
      </c>
      <c r="L3814">
        <v>0</v>
      </c>
      <c r="M3814" t="s">
        <v>188</v>
      </c>
      <c r="N3814">
        <v>6491.0996108596601</v>
      </c>
      <c r="O3814" t="s">
        <v>248</v>
      </c>
      <c r="P3814" t="b">
        <v>1</v>
      </c>
      <c r="Q3814">
        <v>5634.7450638514465</v>
      </c>
      <c r="R3814">
        <v>27980.454859046327</v>
      </c>
      <c r="S3814">
        <v>5.2345111590791822</v>
      </c>
      <c r="T3814">
        <v>80.706624273820708</v>
      </c>
      <c r="U3814">
        <v>0</v>
      </c>
      <c r="V3814">
        <v>0</v>
      </c>
    </row>
    <row r="3815" spans="1:22" x14ac:dyDescent="0.2">
      <c r="A3815"/>
      <c r="B3815">
        <v>75102</v>
      </c>
      <c r="C3815" t="s">
        <v>473</v>
      </c>
      <c r="D3815" t="s">
        <v>920</v>
      </c>
      <c r="E3815" t="s">
        <v>1275</v>
      </c>
      <c r="F3815" t="s">
        <v>124</v>
      </c>
      <c r="G3815">
        <v>134.85770508126188</v>
      </c>
      <c r="H3815" t="s">
        <v>248</v>
      </c>
      <c r="I3815">
        <v>0</v>
      </c>
      <c r="J3815">
        <v>0</v>
      </c>
      <c r="K3815">
        <v>0</v>
      </c>
      <c r="L3815">
        <v>0</v>
      </c>
      <c r="M3815" t="s">
        <v>188</v>
      </c>
      <c r="N3815">
        <v>6548.4425500228399</v>
      </c>
      <c r="O3815" t="s">
        <v>248</v>
      </c>
      <c r="P3815" t="b">
        <v>1</v>
      </c>
      <c r="Q3815">
        <v>5644.0056645606837</v>
      </c>
      <c r="R3815">
        <v>28037.045087185899</v>
      </c>
      <c r="S3815">
        <v>5.2390978213032104</v>
      </c>
      <c r="T3815">
        <v>80.706505671478922</v>
      </c>
      <c r="U3815">
        <v>0</v>
      </c>
      <c r="V3815">
        <v>0</v>
      </c>
    </row>
    <row r="3816" spans="1:22" x14ac:dyDescent="0.2">
      <c r="A3816"/>
      <c r="B3816">
        <v>75103</v>
      </c>
      <c r="C3816" t="s">
        <v>474</v>
      </c>
      <c r="D3816" t="s">
        <v>920</v>
      </c>
      <c r="E3816" t="s">
        <v>1275</v>
      </c>
      <c r="F3816" t="s">
        <v>124</v>
      </c>
      <c r="G3816">
        <v>169.54810778080173</v>
      </c>
      <c r="H3816" t="s">
        <v>248</v>
      </c>
      <c r="I3816">
        <v>0</v>
      </c>
      <c r="J3816">
        <v>0</v>
      </c>
      <c r="K3816">
        <v>0</v>
      </c>
      <c r="L3816">
        <v>0</v>
      </c>
      <c r="M3816" t="s">
        <v>188</v>
      </c>
      <c r="N3816">
        <v>6583.1329527223797</v>
      </c>
      <c r="O3816" t="s">
        <v>248</v>
      </c>
      <c r="P3816" t="b">
        <v>1</v>
      </c>
      <c r="Q3816">
        <v>5649.6075202668462</v>
      </c>
      <c r="R3816">
        <v>28071.280204402894</v>
      </c>
      <c r="S3816">
        <v>5.2383304524799206</v>
      </c>
      <c r="T3816">
        <v>80.707889251627947</v>
      </c>
      <c r="U3816">
        <v>0</v>
      </c>
      <c r="V3816">
        <v>0</v>
      </c>
    </row>
    <row r="3817" spans="1:22" x14ac:dyDescent="0.2">
      <c r="A3817"/>
      <c r="B3817">
        <v>75104</v>
      </c>
      <c r="C3817" t="s">
        <v>475</v>
      </c>
      <c r="D3817" t="s">
        <v>920</v>
      </c>
      <c r="E3817" t="s">
        <v>1275</v>
      </c>
      <c r="F3817" t="s">
        <v>124</v>
      </c>
      <c r="G3817">
        <v>172.51309946452238</v>
      </c>
      <c r="H3817" t="s">
        <v>248</v>
      </c>
      <c r="I3817">
        <v>0</v>
      </c>
      <c r="J3817">
        <v>0</v>
      </c>
      <c r="K3817">
        <v>0</v>
      </c>
      <c r="L3817">
        <v>0</v>
      </c>
      <c r="M3817" t="s">
        <v>188</v>
      </c>
      <c r="N3817">
        <v>6586.0979444061004</v>
      </c>
      <c r="O3817" t="s">
        <v>248</v>
      </c>
      <c r="P3817" t="b">
        <v>1</v>
      </c>
      <c r="Q3817">
        <v>5650.0862670683427</v>
      </c>
      <c r="R3817">
        <v>28074.206290038801</v>
      </c>
      <c r="S3817">
        <v>5.2381409969046109</v>
      </c>
      <c r="T3817">
        <v>80.70805839930145</v>
      </c>
      <c r="U3817">
        <v>0</v>
      </c>
      <c r="V3817">
        <v>0</v>
      </c>
    </row>
    <row r="3818" spans="1:22" x14ac:dyDescent="0.2">
      <c r="A3818"/>
      <c r="B3818">
        <v>75105</v>
      </c>
      <c r="C3818" t="s">
        <v>476</v>
      </c>
      <c r="D3818" t="s">
        <v>920</v>
      </c>
      <c r="E3818" t="s">
        <v>1275</v>
      </c>
      <c r="F3818" t="s">
        <v>124</v>
      </c>
      <c r="G3818">
        <v>192.20064424444172</v>
      </c>
      <c r="H3818" t="s">
        <v>248</v>
      </c>
      <c r="I3818">
        <v>0</v>
      </c>
      <c r="J3818">
        <v>0</v>
      </c>
      <c r="K3818">
        <v>0</v>
      </c>
      <c r="L3818">
        <v>0</v>
      </c>
      <c r="M3818" t="s">
        <v>188</v>
      </c>
      <c r="N3818">
        <v>6605.7854891860197</v>
      </c>
      <c r="O3818" t="s">
        <v>248</v>
      </c>
      <c r="P3818" t="b">
        <v>1</v>
      </c>
      <c r="Q3818">
        <v>5653.2649020046765</v>
      </c>
      <c r="R3818">
        <v>28093.635538512473</v>
      </c>
      <c r="S3818">
        <v>5.2363882239540436</v>
      </c>
      <c r="T3818">
        <v>80.709384829577928</v>
      </c>
      <c r="U3818">
        <v>0</v>
      </c>
      <c r="V3818">
        <v>0</v>
      </c>
    </row>
    <row r="3819" spans="1:22" x14ac:dyDescent="0.2">
      <c r="A3819"/>
      <c r="B3819">
        <v>75106</v>
      </c>
      <c r="C3819" t="s">
        <v>477</v>
      </c>
      <c r="D3819" t="s">
        <v>920</v>
      </c>
      <c r="E3819" t="s">
        <v>1275</v>
      </c>
      <c r="F3819" t="s">
        <v>124</v>
      </c>
      <c r="G3819">
        <v>195.16563592816237</v>
      </c>
      <c r="H3819" t="s">
        <v>248</v>
      </c>
      <c r="I3819">
        <v>0</v>
      </c>
      <c r="J3819">
        <v>0</v>
      </c>
      <c r="K3819">
        <v>0</v>
      </c>
      <c r="L3819">
        <v>0</v>
      </c>
      <c r="M3819" t="s">
        <v>188</v>
      </c>
      <c r="N3819">
        <v>6608.7504808697404</v>
      </c>
      <c r="O3819" t="s">
        <v>248</v>
      </c>
      <c r="P3819" t="b">
        <v>1</v>
      </c>
      <c r="Q3819">
        <v>5653.7435708614012</v>
      </c>
      <c r="R3819">
        <v>28096.561636886676</v>
      </c>
      <c r="S3819">
        <v>5.2360497359284528</v>
      </c>
      <c r="T3819">
        <v>80.709615209096128</v>
      </c>
      <c r="U3819">
        <v>0</v>
      </c>
      <c r="V3819">
        <v>0</v>
      </c>
    </row>
    <row r="3820" spans="1:22" x14ac:dyDescent="0.2">
      <c r="A3820"/>
      <c r="B3820">
        <v>75107</v>
      </c>
      <c r="C3820" t="s">
        <v>478</v>
      </c>
      <c r="D3820" t="s">
        <v>920</v>
      </c>
      <c r="E3820" t="s">
        <v>1275</v>
      </c>
      <c r="F3820" t="s">
        <v>124</v>
      </c>
      <c r="G3820">
        <v>243.40605062231225</v>
      </c>
      <c r="H3820" t="s">
        <v>248</v>
      </c>
      <c r="I3820">
        <v>0</v>
      </c>
      <c r="J3820">
        <v>0</v>
      </c>
      <c r="K3820">
        <v>0</v>
      </c>
      <c r="L3820">
        <v>0</v>
      </c>
      <c r="M3820" t="s">
        <v>188</v>
      </c>
      <c r="N3820">
        <v>6656.9908955638903</v>
      </c>
      <c r="O3820" t="s">
        <v>248</v>
      </c>
      <c r="P3820" t="b">
        <v>1</v>
      </c>
      <c r="Q3820">
        <v>5661.5391661692902</v>
      </c>
      <c r="R3820">
        <v>28144.168004155235</v>
      </c>
      <c r="S3820">
        <v>5.2321110063780862</v>
      </c>
      <c r="T3820">
        <v>80.674373848843857</v>
      </c>
      <c r="U3820">
        <v>0</v>
      </c>
      <c r="V3820">
        <v>0</v>
      </c>
    </row>
    <row r="3821" spans="1:22" x14ac:dyDescent="0.2">
      <c r="A3821"/>
      <c r="B3821">
        <v>75108</v>
      </c>
      <c r="C3821" t="s">
        <v>479</v>
      </c>
      <c r="D3821" t="s">
        <v>920</v>
      </c>
      <c r="E3821" t="s">
        <v>1275</v>
      </c>
      <c r="F3821" t="s">
        <v>125</v>
      </c>
      <c r="G3821">
        <v>78.18203880685914</v>
      </c>
      <c r="H3821" t="s">
        <v>248</v>
      </c>
      <c r="I3821">
        <v>0</v>
      </c>
      <c r="J3821">
        <v>0</v>
      </c>
      <c r="K3821">
        <v>0</v>
      </c>
      <c r="L3821">
        <v>0</v>
      </c>
      <c r="M3821" t="s">
        <v>188</v>
      </c>
      <c r="N3821">
        <v>6738.8495240585698</v>
      </c>
      <c r="O3821" t="s">
        <v>248</v>
      </c>
      <c r="P3821" t="b">
        <v>1</v>
      </c>
      <c r="Q3821">
        <v>5674.7605831206229</v>
      </c>
      <c r="R3821">
        <v>28224.951754533609</v>
      </c>
      <c r="S3821">
        <v>5.2296708083622532</v>
      </c>
      <c r="T3821">
        <v>80.899548696153289</v>
      </c>
      <c r="U3821">
        <v>0</v>
      </c>
      <c r="V3821">
        <v>0</v>
      </c>
    </row>
    <row r="3822" spans="1:22" x14ac:dyDescent="0.2">
      <c r="A3822"/>
      <c r="B3822">
        <v>75109</v>
      </c>
      <c r="C3822" t="s">
        <v>480</v>
      </c>
      <c r="D3822" t="s">
        <v>920</v>
      </c>
      <c r="E3822" t="s">
        <v>1275</v>
      </c>
      <c r="F3822" t="s">
        <v>125</v>
      </c>
      <c r="G3822">
        <v>99.155758977329327</v>
      </c>
      <c r="H3822" t="s">
        <v>248</v>
      </c>
      <c r="I3822">
        <v>0</v>
      </c>
      <c r="J3822">
        <v>0</v>
      </c>
      <c r="K3822">
        <v>0</v>
      </c>
      <c r="L3822">
        <v>0</v>
      </c>
      <c r="M3822" t="s">
        <v>188</v>
      </c>
      <c r="N3822">
        <v>6759.82324422904</v>
      </c>
      <c r="O3822" t="s">
        <v>248</v>
      </c>
      <c r="P3822" t="b">
        <v>1</v>
      </c>
      <c r="Q3822">
        <v>5678.0553064975084</v>
      </c>
      <c r="R3822">
        <v>28245.665071721785</v>
      </c>
      <c r="S3822">
        <v>5.2223486589936483</v>
      </c>
      <c r="T3822">
        <v>81.023320260390662</v>
      </c>
      <c r="U3822">
        <v>0</v>
      </c>
      <c r="V3822">
        <v>0</v>
      </c>
    </row>
    <row r="3823" spans="1:22" x14ac:dyDescent="0.2">
      <c r="A3823"/>
      <c r="B3823">
        <v>75110</v>
      </c>
      <c r="C3823" t="s">
        <v>481</v>
      </c>
      <c r="D3823" t="s">
        <v>920</v>
      </c>
      <c r="E3823" t="s">
        <v>1275</v>
      </c>
      <c r="F3823" t="s">
        <v>125</v>
      </c>
      <c r="G3823">
        <v>219.00558852286949</v>
      </c>
      <c r="H3823" t="s">
        <v>248</v>
      </c>
      <c r="I3823">
        <v>0</v>
      </c>
      <c r="J3823">
        <v>0</v>
      </c>
      <c r="K3823">
        <v>0</v>
      </c>
      <c r="L3823">
        <v>0</v>
      </c>
      <c r="M3823" t="s">
        <v>188</v>
      </c>
      <c r="N3823">
        <v>6879.6730737745802</v>
      </c>
      <c r="O3823" t="s">
        <v>248</v>
      </c>
      <c r="P3823" t="b">
        <v>1</v>
      </c>
      <c r="Q3823">
        <v>5696.0281252693303</v>
      </c>
      <c r="R3823">
        <v>28364.157589801784</v>
      </c>
      <c r="S3823">
        <v>4.7135635082801102</v>
      </c>
      <c r="T3823">
        <v>81.721497339252053</v>
      </c>
      <c r="U3823">
        <v>0</v>
      </c>
      <c r="V3823">
        <v>0</v>
      </c>
    </row>
    <row r="3824" spans="1:22" x14ac:dyDescent="0.2">
      <c r="A3824"/>
      <c r="B3824">
        <v>75111</v>
      </c>
      <c r="C3824" t="s">
        <v>482</v>
      </c>
      <c r="D3824" t="s">
        <v>920</v>
      </c>
      <c r="E3824" t="s">
        <v>1275</v>
      </c>
      <c r="F3824" t="s">
        <v>125</v>
      </c>
      <c r="G3824">
        <v>237.12288775582974</v>
      </c>
      <c r="H3824" t="s">
        <v>248</v>
      </c>
      <c r="I3824">
        <v>0</v>
      </c>
      <c r="J3824">
        <v>0</v>
      </c>
      <c r="K3824">
        <v>0</v>
      </c>
      <c r="L3824">
        <v>0</v>
      </c>
      <c r="M3824" t="s">
        <v>188</v>
      </c>
      <c r="N3824">
        <v>6897.7903730075404</v>
      </c>
      <c r="O3824" t="s">
        <v>248</v>
      </c>
      <c r="P3824" t="b">
        <v>1</v>
      </c>
      <c r="Q3824">
        <v>5698.6218022423373</v>
      </c>
      <c r="R3824">
        <v>28382.08802269592</v>
      </c>
      <c r="S3824">
        <v>4.6193789041486681</v>
      </c>
      <c r="T3824">
        <v>81.815924118852024</v>
      </c>
      <c r="U3824">
        <v>0</v>
      </c>
      <c r="V3824">
        <v>0</v>
      </c>
    </row>
    <row r="3825" spans="1:22" x14ac:dyDescent="0.2">
      <c r="A3825"/>
      <c r="B3825">
        <v>75112</v>
      </c>
      <c r="C3825" t="s">
        <v>483</v>
      </c>
      <c r="D3825" t="s">
        <v>920</v>
      </c>
      <c r="E3825" t="s">
        <v>1275</v>
      </c>
      <c r="F3825" t="s">
        <v>125</v>
      </c>
      <c r="G3825">
        <v>323.57456480133908</v>
      </c>
      <c r="H3825" t="s">
        <v>248</v>
      </c>
      <c r="I3825">
        <v>0</v>
      </c>
      <c r="J3825">
        <v>0</v>
      </c>
      <c r="K3825">
        <v>0</v>
      </c>
      <c r="L3825">
        <v>0</v>
      </c>
      <c r="M3825" t="s">
        <v>188</v>
      </c>
      <c r="N3825">
        <v>6984.2420500530498</v>
      </c>
      <c r="O3825" t="s">
        <v>248</v>
      </c>
      <c r="P3825" t="b">
        <v>1</v>
      </c>
      <c r="Q3825">
        <v>5710.8046461537069</v>
      </c>
      <c r="R3825">
        <v>28467.673990849617</v>
      </c>
      <c r="S3825">
        <v>4.8738518587036808</v>
      </c>
      <c r="T3825">
        <v>81.606769981156432</v>
      </c>
      <c r="U3825">
        <v>0</v>
      </c>
      <c r="V3825">
        <v>0</v>
      </c>
    </row>
    <row r="3826" spans="1:22" x14ac:dyDescent="0.2">
      <c r="A3826"/>
      <c r="B3826">
        <v>75113</v>
      </c>
      <c r="C3826" t="s">
        <v>484</v>
      </c>
      <c r="D3826" t="s">
        <v>920</v>
      </c>
      <c r="E3826" t="s">
        <v>1275</v>
      </c>
      <c r="F3826" t="s">
        <v>125</v>
      </c>
      <c r="G3826">
        <v>383.97887889228889</v>
      </c>
      <c r="H3826" t="s">
        <v>248</v>
      </c>
      <c r="I3826">
        <v>0</v>
      </c>
      <c r="J3826">
        <v>0</v>
      </c>
      <c r="K3826">
        <v>0</v>
      </c>
      <c r="L3826">
        <v>0</v>
      </c>
      <c r="M3826" t="s">
        <v>188</v>
      </c>
      <c r="N3826">
        <v>7044.6463641439996</v>
      </c>
      <c r="O3826" t="s">
        <v>248</v>
      </c>
      <c r="P3826" t="b">
        <v>1</v>
      </c>
      <c r="Q3826">
        <v>5719.0224081727756</v>
      </c>
      <c r="R3826">
        <v>28527.498077073717</v>
      </c>
      <c r="S3826">
        <v>6.2837726038485968</v>
      </c>
      <c r="T3826">
        <v>83.517318940248344</v>
      </c>
      <c r="U3826">
        <v>0</v>
      </c>
      <c r="V3826">
        <v>0</v>
      </c>
    </row>
    <row r="3827" spans="1:22" x14ac:dyDescent="0.2">
      <c r="A3827"/>
      <c r="B3827">
        <v>75114</v>
      </c>
      <c r="C3827" t="s">
        <v>485</v>
      </c>
      <c r="D3827" t="s">
        <v>920</v>
      </c>
      <c r="E3827" t="s">
        <v>1275</v>
      </c>
      <c r="F3827" t="s">
        <v>125</v>
      </c>
      <c r="G3827">
        <v>445.32201664801971</v>
      </c>
      <c r="H3827" t="s">
        <v>248</v>
      </c>
      <c r="I3827">
        <v>0</v>
      </c>
      <c r="J3827">
        <v>0</v>
      </c>
      <c r="K3827">
        <v>0</v>
      </c>
      <c r="L3827">
        <v>0</v>
      </c>
      <c r="M3827" t="s">
        <v>188</v>
      </c>
      <c r="N3827">
        <v>7105.9895018997304</v>
      </c>
      <c r="O3827" t="s">
        <v>248</v>
      </c>
      <c r="P3827" t="b">
        <v>1</v>
      </c>
      <c r="Q3827">
        <v>5722.4958068301112</v>
      </c>
      <c r="R3827">
        <v>28588.690530290471</v>
      </c>
      <c r="S3827">
        <v>7.8231441401947492</v>
      </c>
      <c r="T3827">
        <v>90.016057138342831</v>
      </c>
      <c r="U3827">
        <v>0</v>
      </c>
      <c r="V3827">
        <v>0</v>
      </c>
    </row>
    <row r="3828" spans="1:22" x14ac:dyDescent="0.2">
      <c r="A3828"/>
      <c r="B3828">
        <v>75115</v>
      </c>
      <c r="C3828" t="s">
        <v>486</v>
      </c>
      <c r="D3828" t="s">
        <v>920</v>
      </c>
      <c r="E3828" t="s">
        <v>1275</v>
      </c>
      <c r="F3828" t="s">
        <v>125</v>
      </c>
      <c r="G3828">
        <v>504.64768227304933</v>
      </c>
      <c r="H3828" t="s">
        <v>248</v>
      </c>
      <c r="I3828">
        <v>0</v>
      </c>
      <c r="J3828">
        <v>0</v>
      </c>
      <c r="K3828">
        <v>0</v>
      </c>
      <c r="L3828">
        <v>0</v>
      </c>
      <c r="M3828" t="s">
        <v>188</v>
      </c>
      <c r="N3828">
        <v>7165.31516752476</v>
      </c>
      <c r="O3828" t="s">
        <v>248</v>
      </c>
      <c r="P3828" t="b">
        <v>1</v>
      </c>
      <c r="Q3828">
        <v>5719.1537484392247</v>
      </c>
      <c r="R3828">
        <v>28647.872111314951</v>
      </c>
      <c r="S3828">
        <v>9.2996241875296661</v>
      </c>
      <c r="T3828">
        <v>96.477047912271601</v>
      </c>
      <c r="U3828">
        <v>0</v>
      </c>
      <c r="V3828">
        <v>0</v>
      </c>
    </row>
    <row r="3829" spans="1:22" x14ac:dyDescent="0.2">
      <c r="A3829"/>
      <c r="B3829">
        <v>75116</v>
      </c>
      <c r="C3829" t="s">
        <v>487</v>
      </c>
      <c r="D3829" t="s">
        <v>920</v>
      </c>
      <c r="E3829" t="s">
        <v>1275</v>
      </c>
      <c r="F3829" t="s">
        <v>125</v>
      </c>
      <c r="G3829">
        <v>704.39739818227929</v>
      </c>
      <c r="H3829" t="s">
        <v>248</v>
      </c>
      <c r="I3829">
        <v>0</v>
      </c>
      <c r="J3829">
        <v>0</v>
      </c>
      <c r="K3829">
        <v>0</v>
      </c>
      <c r="L3829">
        <v>0</v>
      </c>
      <c r="M3829" t="s">
        <v>188</v>
      </c>
      <c r="N3829">
        <v>7365.06488343399</v>
      </c>
      <c r="O3829" t="s">
        <v>248</v>
      </c>
      <c r="P3829" t="b">
        <v>1</v>
      </c>
      <c r="Q3829">
        <v>5673.0123263111163</v>
      </c>
      <c r="R3829">
        <v>28841.947942713578</v>
      </c>
      <c r="S3829">
        <v>14.267970661884334</v>
      </c>
      <c r="T3829">
        <v>105.15373511263459</v>
      </c>
      <c r="U3829">
        <v>0</v>
      </c>
      <c r="V3829">
        <v>0</v>
      </c>
    </row>
    <row r="3830" spans="1:22" x14ac:dyDescent="0.2">
      <c r="A3830"/>
      <c r="B3830">
        <v>75117</v>
      </c>
      <c r="C3830" t="s">
        <v>488</v>
      </c>
      <c r="D3830" t="s">
        <v>920</v>
      </c>
      <c r="E3830" t="s">
        <v>1275</v>
      </c>
      <c r="F3830" t="s">
        <v>125</v>
      </c>
      <c r="G3830">
        <v>824.24722772780945</v>
      </c>
      <c r="H3830" t="s">
        <v>248</v>
      </c>
      <c r="I3830">
        <v>0</v>
      </c>
      <c r="J3830">
        <v>0</v>
      </c>
      <c r="K3830">
        <v>0</v>
      </c>
      <c r="L3830">
        <v>0</v>
      </c>
      <c r="M3830" t="s">
        <v>188</v>
      </c>
      <c r="N3830">
        <v>7484.9147129795201</v>
      </c>
      <c r="O3830" t="s">
        <v>248</v>
      </c>
      <c r="P3830" t="b">
        <v>1</v>
      </c>
      <c r="Q3830">
        <v>5645.9203488978919</v>
      </c>
      <c r="R3830">
        <v>28958.552001205735</v>
      </c>
      <c r="S3830">
        <v>17.039037435960111</v>
      </c>
      <c r="T3830">
        <v>97.332099675171548</v>
      </c>
      <c r="U3830">
        <v>0</v>
      </c>
      <c r="V3830">
        <v>0</v>
      </c>
    </row>
    <row r="3831" spans="1:22" x14ac:dyDescent="0.2">
      <c r="A3831"/>
      <c r="B3831">
        <v>75118</v>
      </c>
      <c r="C3831" t="s">
        <v>489</v>
      </c>
      <c r="D3831" t="s">
        <v>920</v>
      </c>
      <c r="E3831" t="s">
        <v>1275</v>
      </c>
      <c r="F3831" t="s">
        <v>125</v>
      </c>
      <c r="G3831">
        <v>845.22094789827963</v>
      </c>
      <c r="H3831" t="s">
        <v>248</v>
      </c>
      <c r="I3831">
        <v>0</v>
      </c>
      <c r="J3831">
        <v>0</v>
      </c>
      <c r="K3831">
        <v>0</v>
      </c>
      <c r="L3831">
        <v>0</v>
      </c>
      <c r="M3831" t="s">
        <v>188</v>
      </c>
      <c r="N3831">
        <v>7505.8884331499903</v>
      </c>
      <c r="O3831" t="s">
        <v>248</v>
      </c>
      <c r="P3831" t="b">
        <v>1</v>
      </c>
      <c r="Q3831">
        <v>5643.7765016123149</v>
      </c>
      <c r="R3831">
        <v>28979.412630460629</v>
      </c>
      <c r="S3831">
        <v>17.225724998482931</v>
      </c>
      <c r="T3831">
        <v>94.374515062801905</v>
      </c>
      <c r="U3831">
        <v>0</v>
      </c>
      <c r="V3831">
        <v>0</v>
      </c>
    </row>
    <row r="3832" spans="1:22" x14ac:dyDescent="0.2">
      <c r="A3832"/>
      <c r="B3832">
        <v>75119</v>
      </c>
      <c r="C3832" t="s">
        <v>490</v>
      </c>
      <c r="D3832" t="s">
        <v>920</v>
      </c>
      <c r="E3832" t="s">
        <v>1275</v>
      </c>
      <c r="F3832" t="s">
        <v>125</v>
      </c>
      <c r="G3832">
        <v>940.30181267106957</v>
      </c>
      <c r="H3832" t="s">
        <v>248</v>
      </c>
      <c r="I3832">
        <v>0</v>
      </c>
      <c r="J3832">
        <v>0</v>
      </c>
      <c r="K3832">
        <v>0</v>
      </c>
      <c r="L3832">
        <v>0</v>
      </c>
      <c r="M3832" t="s">
        <v>188</v>
      </c>
      <c r="N3832">
        <v>7600.9692979227802</v>
      </c>
      <c r="O3832" t="s">
        <v>248</v>
      </c>
      <c r="P3832" t="b">
        <v>1</v>
      </c>
      <c r="Q3832">
        <v>5644.6097850091764</v>
      </c>
      <c r="R3832">
        <v>29074.43313520429</v>
      </c>
      <c r="S3832">
        <v>17.273578917407917</v>
      </c>
      <c r="T3832">
        <v>87.974245021394154</v>
      </c>
      <c r="U3832">
        <v>0</v>
      </c>
      <c r="V3832">
        <v>0</v>
      </c>
    </row>
    <row r="3833" spans="1:22" x14ac:dyDescent="0.2">
      <c r="A3833"/>
      <c r="B3833">
        <v>75120</v>
      </c>
      <c r="C3833" t="s">
        <v>491</v>
      </c>
      <c r="D3833" t="s">
        <v>920</v>
      </c>
      <c r="E3833" t="s">
        <v>1275</v>
      </c>
      <c r="F3833" t="s">
        <v>125</v>
      </c>
      <c r="G3833">
        <v>955.14321656311961</v>
      </c>
      <c r="H3833" t="s">
        <v>248</v>
      </c>
      <c r="I3833">
        <v>0</v>
      </c>
      <c r="J3833">
        <v>0</v>
      </c>
      <c r="K3833">
        <v>0</v>
      </c>
      <c r="L3833">
        <v>0</v>
      </c>
      <c r="M3833" t="s">
        <v>188</v>
      </c>
      <c r="N3833">
        <v>7615.8107018148303</v>
      </c>
      <c r="O3833" t="s">
        <v>248</v>
      </c>
      <c r="P3833" t="b">
        <v>1</v>
      </c>
      <c r="Q3833">
        <v>5645.1414588770513</v>
      </c>
      <c r="R3833">
        <v>29089.265012245833</v>
      </c>
      <c r="S3833">
        <v>17.27326665612452</v>
      </c>
      <c r="T3833">
        <v>87.921247893490317</v>
      </c>
      <c r="U3833">
        <v>0</v>
      </c>
      <c r="V3833">
        <v>0</v>
      </c>
    </row>
    <row r="3834" spans="1:22" x14ac:dyDescent="0.2">
      <c r="A3834"/>
      <c r="B3834">
        <v>75121</v>
      </c>
      <c r="C3834" t="s">
        <v>492</v>
      </c>
      <c r="D3834" t="s">
        <v>920</v>
      </c>
      <c r="E3834" t="s">
        <v>1275</v>
      </c>
      <c r="F3834" t="s">
        <v>125</v>
      </c>
      <c r="G3834">
        <v>958.13946230175964</v>
      </c>
      <c r="H3834" t="s">
        <v>248</v>
      </c>
      <c r="I3834">
        <v>0</v>
      </c>
      <c r="J3834">
        <v>0</v>
      </c>
      <c r="K3834">
        <v>0</v>
      </c>
      <c r="L3834">
        <v>0</v>
      </c>
      <c r="M3834" t="s">
        <v>188</v>
      </c>
      <c r="N3834">
        <v>7618.8069475534703</v>
      </c>
      <c r="O3834" t="s">
        <v>248</v>
      </c>
      <c r="P3834" t="b">
        <v>1</v>
      </c>
      <c r="Q3834">
        <v>5645.2503953075311</v>
      </c>
      <c r="R3834">
        <v>29092.259276989695</v>
      </c>
      <c r="S3834">
        <v>17.273212435921209</v>
      </c>
      <c r="T3834">
        <v>87.911614445233795</v>
      </c>
      <c r="U3834">
        <v>0</v>
      </c>
      <c r="V3834">
        <v>0</v>
      </c>
    </row>
    <row r="3835" spans="1:22" x14ac:dyDescent="0.2">
      <c r="A3835"/>
      <c r="B3835">
        <v>75122</v>
      </c>
      <c r="C3835" t="s">
        <v>493</v>
      </c>
      <c r="D3835" t="s">
        <v>920</v>
      </c>
      <c r="E3835" t="s">
        <v>1275</v>
      </c>
      <c r="F3835" t="s">
        <v>125</v>
      </c>
      <c r="G3835">
        <v>978.03453400631963</v>
      </c>
      <c r="H3835" t="s">
        <v>248</v>
      </c>
      <c r="I3835">
        <v>0</v>
      </c>
      <c r="J3835">
        <v>0</v>
      </c>
      <c r="K3835">
        <v>0</v>
      </c>
      <c r="L3835">
        <v>0</v>
      </c>
      <c r="M3835" t="s">
        <v>188</v>
      </c>
      <c r="N3835">
        <v>7638.7020192580303</v>
      </c>
      <c r="O3835" t="s">
        <v>248</v>
      </c>
      <c r="P3835" t="b">
        <v>1</v>
      </c>
      <c r="Q3835">
        <v>5645.9853731252333</v>
      </c>
      <c r="R3835">
        <v>29112.140767259461</v>
      </c>
      <c r="S3835">
        <v>17.272927577407586</v>
      </c>
      <c r="T3835">
        <v>87.856730571833253</v>
      </c>
      <c r="U3835">
        <v>0</v>
      </c>
      <c r="V3835">
        <v>0</v>
      </c>
    </row>
    <row r="3836" spans="1:22" x14ac:dyDescent="0.2">
      <c r="A3836"/>
      <c r="B3836">
        <v>75123</v>
      </c>
      <c r="C3836" t="s">
        <v>494</v>
      </c>
      <c r="D3836" t="s">
        <v>920</v>
      </c>
      <c r="E3836" t="s">
        <v>1275</v>
      </c>
      <c r="F3836" t="s">
        <v>125</v>
      </c>
      <c r="G3836">
        <v>981.03077974495966</v>
      </c>
      <c r="H3836" t="s">
        <v>248</v>
      </c>
      <c r="I3836">
        <v>0</v>
      </c>
      <c r="J3836">
        <v>0</v>
      </c>
      <c r="K3836">
        <v>0</v>
      </c>
      <c r="L3836">
        <v>0</v>
      </c>
      <c r="M3836" t="s">
        <v>188</v>
      </c>
      <c r="N3836">
        <v>7641.6982649966703</v>
      </c>
      <c r="O3836" t="s">
        <v>248</v>
      </c>
      <c r="P3836" t="b">
        <v>1</v>
      </c>
      <c r="Q3836">
        <v>5646.0976096687218</v>
      </c>
      <c r="R3836">
        <v>29115.134910120581</v>
      </c>
      <c r="S3836">
        <v>17.272895996724742</v>
      </c>
      <c r="T3836">
        <v>87.849832732920902</v>
      </c>
      <c r="U3836">
        <v>0</v>
      </c>
      <c r="V3836">
        <v>0</v>
      </c>
    </row>
    <row r="3837" spans="1:22" x14ac:dyDescent="0.2">
      <c r="A3837"/>
      <c r="B3837">
        <v>75124</v>
      </c>
      <c r="C3837" t="s">
        <v>495</v>
      </c>
      <c r="D3837" t="s">
        <v>920</v>
      </c>
      <c r="E3837" t="s">
        <v>1275</v>
      </c>
      <c r="F3837" t="s">
        <v>125</v>
      </c>
      <c r="G3837">
        <v>1038.9781723302194</v>
      </c>
      <c r="H3837" t="s">
        <v>248</v>
      </c>
      <c r="I3837">
        <v>0</v>
      </c>
      <c r="J3837">
        <v>0</v>
      </c>
      <c r="K3837">
        <v>0</v>
      </c>
      <c r="L3837">
        <v>0</v>
      </c>
      <c r="M3837" t="s">
        <v>188</v>
      </c>
      <c r="N3837">
        <v>7699.6456575819302</v>
      </c>
      <c r="O3837" t="s">
        <v>248</v>
      </c>
      <c r="P3837" t="b">
        <v>1</v>
      </c>
      <c r="Q3837">
        <v>5648.3148233149759</v>
      </c>
      <c r="R3837">
        <v>29173.039865931103</v>
      </c>
      <c r="S3837">
        <v>17.272868064032423</v>
      </c>
      <c r="T3837">
        <v>87.786855358665761</v>
      </c>
      <c r="U3837">
        <v>0</v>
      </c>
      <c r="V3837">
        <v>0</v>
      </c>
    </row>
    <row r="3838" spans="1:22" x14ac:dyDescent="0.2">
      <c r="A3838"/>
      <c r="B3838">
        <v>75125</v>
      </c>
      <c r="C3838" t="s">
        <v>496</v>
      </c>
      <c r="D3838" t="s">
        <v>920</v>
      </c>
      <c r="E3838" t="s">
        <v>1275</v>
      </c>
      <c r="F3838" t="s">
        <v>125</v>
      </c>
      <c r="G3838">
        <v>1074.0342474722893</v>
      </c>
      <c r="H3838" t="s">
        <v>248</v>
      </c>
      <c r="I3838">
        <v>0</v>
      </c>
      <c r="J3838">
        <v>0</v>
      </c>
      <c r="K3838">
        <v>0</v>
      </c>
      <c r="L3838">
        <v>0</v>
      </c>
      <c r="M3838" t="s">
        <v>188</v>
      </c>
      <c r="N3838">
        <v>7734.7017327240001</v>
      </c>
      <c r="O3838" t="s">
        <v>248</v>
      </c>
      <c r="P3838" t="b">
        <v>1</v>
      </c>
      <c r="Q3838">
        <v>5649.6628538166296</v>
      </c>
      <c r="R3838">
        <v>29208.070012861881</v>
      </c>
      <c r="S3838">
        <v>17.273389247977661</v>
      </c>
      <c r="T3838">
        <v>87.813775029177378</v>
      </c>
      <c r="U3838">
        <v>0</v>
      </c>
      <c r="V3838">
        <v>0</v>
      </c>
    </row>
    <row r="3839" spans="1:22" x14ac:dyDescent="0.2">
      <c r="A3839"/>
      <c r="B3839">
        <v>75126</v>
      </c>
      <c r="C3839" t="s">
        <v>497</v>
      </c>
      <c r="D3839" t="s">
        <v>920</v>
      </c>
      <c r="E3839" t="s">
        <v>1275</v>
      </c>
      <c r="F3839" t="s">
        <v>125</v>
      </c>
      <c r="G3839">
        <v>1077.0304932109293</v>
      </c>
      <c r="H3839" t="s">
        <v>248</v>
      </c>
      <c r="I3839">
        <v>0</v>
      </c>
      <c r="J3839">
        <v>0</v>
      </c>
      <c r="K3839">
        <v>0</v>
      </c>
      <c r="L3839">
        <v>0</v>
      </c>
      <c r="M3839" t="s">
        <v>188</v>
      </c>
      <c r="N3839">
        <v>7737.6979784626401</v>
      </c>
      <c r="O3839" t="s">
        <v>248</v>
      </c>
      <c r="P3839" t="b">
        <v>1</v>
      </c>
      <c r="Q3839">
        <v>5649.777035332474</v>
      </c>
      <c r="R3839">
        <v>29211.064082182886</v>
      </c>
      <c r="S3839">
        <v>17.273452610509025</v>
      </c>
      <c r="T3839">
        <v>87.81834956243614</v>
      </c>
      <c r="U3839">
        <v>0</v>
      </c>
      <c r="V3839">
        <v>0</v>
      </c>
    </row>
    <row r="3840" spans="1:22" x14ac:dyDescent="0.2">
      <c r="A3840"/>
      <c r="B3840">
        <v>75127</v>
      </c>
      <c r="C3840" t="s">
        <v>498</v>
      </c>
      <c r="D3840" t="s">
        <v>920</v>
      </c>
      <c r="E3840" t="s">
        <v>1275</v>
      </c>
      <c r="F3840" t="s">
        <v>125</v>
      </c>
      <c r="G3840">
        <v>1096.9255649154893</v>
      </c>
      <c r="H3840" t="s">
        <v>248</v>
      </c>
      <c r="I3840">
        <v>0</v>
      </c>
      <c r="J3840">
        <v>0</v>
      </c>
      <c r="K3840">
        <v>0</v>
      </c>
      <c r="L3840">
        <v>0</v>
      </c>
      <c r="M3840" t="s">
        <v>188</v>
      </c>
      <c r="N3840">
        <v>7757.5930501672001</v>
      </c>
      <c r="O3840" t="s">
        <v>248</v>
      </c>
      <c r="P3840" t="b">
        <v>1</v>
      </c>
      <c r="Q3840">
        <v>5650.5280208156883</v>
      </c>
      <c r="R3840">
        <v>29230.944974597744</v>
      </c>
      <c r="S3840">
        <v>17.273847570197496</v>
      </c>
      <c r="T3840">
        <v>87.857173893860136</v>
      </c>
      <c r="U3840">
        <v>0</v>
      </c>
      <c r="V3840">
        <v>0</v>
      </c>
    </row>
    <row r="3841" spans="1:22" x14ac:dyDescent="0.2">
      <c r="A3841"/>
      <c r="B3841">
        <v>75128</v>
      </c>
      <c r="C3841" t="s">
        <v>499</v>
      </c>
      <c r="D3841" t="s">
        <v>920</v>
      </c>
      <c r="E3841" t="s">
        <v>1275</v>
      </c>
      <c r="F3841" t="s">
        <v>125</v>
      </c>
      <c r="G3841">
        <v>1099.9218106541293</v>
      </c>
      <c r="H3841" t="s">
        <v>248</v>
      </c>
      <c r="I3841">
        <v>0</v>
      </c>
      <c r="J3841">
        <v>0</v>
      </c>
      <c r="K3841">
        <v>0</v>
      </c>
      <c r="L3841">
        <v>0</v>
      </c>
      <c r="M3841" t="s">
        <v>188</v>
      </c>
      <c r="N3841">
        <v>7760.5892959058401</v>
      </c>
      <c r="O3841" t="s">
        <v>248</v>
      </c>
      <c r="P3841" t="b">
        <v>1</v>
      </c>
      <c r="Q3841">
        <v>5650.6398980676831</v>
      </c>
      <c r="R3841">
        <v>29233.939130902039</v>
      </c>
      <c r="S3841">
        <v>17.273695976406408</v>
      </c>
      <c r="T3841">
        <v>87.862994333964821</v>
      </c>
      <c r="U3841">
        <v>0</v>
      </c>
      <c r="V3841">
        <v>0</v>
      </c>
    </row>
    <row r="3842" spans="1:22" x14ac:dyDescent="0.2">
      <c r="A3842"/>
      <c r="B3842">
        <v>75129</v>
      </c>
      <c r="C3842" t="s">
        <v>500</v>
      </c>
      <c r="D3842" t="s">
        <v>920</v>
      </c>
      <c r="E3842" t="s">
        <v>1275</v>
      </c>
      <c r="F3842" t="s">
        <v>125</v>
      </c>
      <c r="G3842">
        <v>1152.2762111939292</v>
      </c>
      <c r="H3842" t="s">
        <v>248</v>
      </c>
      <c r="I3842">
        <v>0</v>
      </c>
      <c r="J3842">
        <v>0</v>
      </c>
      <c r="K3842">
        <v>0</v>
      </c>
      <c r="L3842">
        <v>0</v>
      </c>
      <c r="M3842" t="s">
        <v>188</v>
      </c>
      <c r="N3842">
        <v>7812.9436964456399</v>
      </c>
      <c r="O3842" t="s">
        <v>248</v>
      </c>
      <c r="P3842" t="b">
        <v>1</v>
      </c>
      <c r="Q3842">
        <v>5653.3777577193241</v>
      </c>
      <c r="R3842">
        <v>29286.214898994047</v>
      </c>
      <c r="S3842">
        <v>17.266223333197576</v>
      </c>
      <c r="T3842">
        <v>85.083208304766089</v>
      </c>
      <c r="U3842">
        <v>0</v>
      </c>
      <c r="V3842">
        <v>0</v>
      </c>
    </row>
    <row r="3843" spans="1:22" x14ac:dyDescent="0.2">
      <c r="A3843"/>
      <c r="B3843">
        <v>75130</v>
      </c>
      <c r="C3843" t="s">
        <v>501</v>
      </c>
      <c r="D3843" t="s">
        <v>920</v>
      </c>
      <c r="E3843" t="s">
        <v>1275</v>
      </c>
      <c r="F3843" t="s">
        <v>125</v>
      </c>
      <c r="G3843">
        <v>1231.7366481826193</v>
      </c>
      <c r="H3843" t="s">
        <v>248</v>
      </c>
      <c r="I3843">
        <v>0</v>
      </c>
      <c r="J3843">
        <v>0</v>
      </c>
      <c r="K3843">
        <v>0</v>
      </c>
      <c r="L3843">
        <v>0</v>
      </c>
      <c r="M3843" t="s">
        <v>188</v>
      </c>
      <c r="N3843">
        <v>7892.4041334343301</v>
      </c>
      <c r="O3843" t="s">
        <v>248</v>
      </c>
      <c r="P3843" t="b">
        <v>1</v>
      </c>
      <c r="Q3843">
        <v>5662.6891424746163</v>
      </c>
      <c r="R3843">
        <v>29365.121651354646</v>
      </c>
      <c r="S3843">
        <v>17.269392515374349</v>
      </c>
      <c r="T3843">
        <v>82.874368778168346</v>
      </c>
      <c r="U3843">
        <v>0</v>
      </c>
      <c r="V3843">
        <v>0</v>
      </c>
    </row>
    <row r="3844" spans="1:22" x14ac:dyDescent="0.2">
      <c r="A3844"/>
      <c r="B3844">
        <v>75131</v>
      </c>
      <c r="C3844" t="s">
        <v>502</v>
      </c>
      <c r="D3844" t="s">
        <v>920</v>
      </c>
      <c r="E3844" t="s">
        <v>1275</v>
      </c>
      <c r="F3844" t="s">
        <v>125</v>
      </c>
      <c r="G3844">
        <v>1252.7103683530895</v>
      </c>
      <c r="H3844" t="s">
        <v>248</v>
      </c>
      <c r="I3844">
        <v>0</v>
      </c>
      <c r="J3844">
        <v>0</v>
      </c>
      <c r="K3844">
        <v>0</v>
      </c>
      <c r="L3844">
        <v>0</v>
      </c>
      <c r="M3844" t="s">
        <v>188</v>
      </c>
      <c r="N3844">
        <v>7913.3778536048003</v>
      </c>
      <c r="O3844" t="s">
        <v>248</v>
      </c>
      <c r="P3844" t="b">
        <v>1</v>
      </c>
      <c r="Q3844">
        <v>5665.1775050083897</v>
      </c>
      <c r="R3844">
        <v>29385.946949785168</v>
      </c>
      <c r="S3844">
        <v>17.197379645414774</v>
      </c>
      <c r="T3844">
        <v>83.590201229300135</v>
      </c>
      <c r="U3844">
        <v>0</v>
      </c>
      <c r="V3844">
        <v>0</v>
      </c>
    </row>
    <row r="3845" spans="1:22" x14ac:dyDescent="0.2">
      <c r="A3845"/>
      <c r="B3845">
        <v>75132</v>
      </c>
      <c r="C3845" t="s">
        <v>503</v>
      </c>
      <c r="D3845" t="s">
        <v>920</v>
      </c>
      <c r="E3845" t="s">
        <v>1275</v>
      </c>
      <c r="F3845" t="s">
        <v>126</v>
      </c>
      <c r="G3845">
        <v>17.657933095017597</v>
      </c>
      <c r="H3845" t="s">
        <v>248</v>
      </c>
      <c r="I3845">
        <v>0</v>
      </c>
      <c r="J3845">
        <v>0</v>
      </c>
      <c r="K3845">
        <v>0</v>
      </c>
      <c r="L3845">
        <v>0</v>
      </c>
      <c r="M3845" t="s">
        <v>188</v>
      </c>
      <c r="N3845">
        <v>8032.9081418135302</v>
      </c>
      <c r="O3845" t="s">
        <v>248</v>
      </c>
      <c r="P3845" t="b">
        <v>1</v>
      </c>
      <c r="Q3845">
        <v>5672.6498439832903</v>
      </c>
      <c r="R3845">
        <v>29505.199292225912</v>
      </c>
      <c r="S3845">
        <v>15.110490754635194</v>
      </c>
      <c r="T3845">
        <v>87.270228008359965</v>
      </c>
      <c r="U3845">
        <v>0</v>
      </c>
      <c r="V3845">
        <v>0</v>
      </c>
    </row>
    <row r="3846" spans="1:22" x14ac:dyDescent="0.2">
      <c r="A3846"/>
      <c r="B3846">
        <v>75133</v>
      </c>
      <c r="C3846" t="s">
        <v>504</v>
      </c>
      <c r="D3846" t="s">
        <v>920</v>
      </c>
      <c r="E3846" t="s">
        <v>1275</v>
      </c>
      <c r="F3846" t="s">
        <v>126</v>
      </c>
      <c r="G3846">
        <v>178.54132351639828</v>
      </c>
      <c r="H3846" t="s">
        <v>248</v>
      </c>
      <c r="I3846">
        <v>0</v>
      </c>
      <c r="J3846">
        <v>0</v>
      </c>
      <c r="K3846">
        <v>0</v>
      </c>
      <c r="L3846">
        <v>0</v>
      </c>
      <c r="M3846" t="s">
        <v>188</v>
      </c>
      <c r="N3846">
        <v>8193.7915322349108</v>
      </c>
      <c r="O3846" t="s">
        <v>248</v>
      </c>
      <c r="P3846" t="b">
        <v>1</v>
      </c>
      <c r="Q3846">
        <v>5684.964165942507</v>
      </c>
      <c r="R3846">
        <v>29665.465909646398</v>
      </c>
      <c r="S3846">
        <v>12.054079029318007</v>
      </c>
      <c r="T3846">
        <v>80.159236494707287</v>
      </c>
      <c r="U3846">
        <v>0</v>
      </c>
      <c r="V3846">
        <v>0</v>
      </c>
    </row>
    <row r="3847" spans="1:22" x14ac:dyDescent="0.2">
      <c r="A3847"/>
      <c r="B3847">
        <v>75134</v>
      </c>
      <c r="C3847" t="s">
        <v>505</v>
      </c>
      <c r="D3847" t="s">
        <v>920</v>
      </c>
      <c r="E3847" t="s">
        <v>1275</v>
      </c>
      <c r="F3847" t="s">
        <v>126</v>
      </c>
      <c r="G3847">
        <v>296.26087748325745</v>
      </c>
      <c r="H3847" t="s">
        <v>248</v>
      </c>
      <c r="I3847">
        <v>0</v>
      </c>
      <c r="J3847">
        <v>0</v>
      </c>
      <c r="K3847">
        <v>0</v>
      </c>
      <c r="L3847">
        <v>0</v>
      </c>
      <c r="M3847" t="s">
        <v>188</v>
      </c>
      <c r="N3847">
        <v>8311.51108620177</v>
      </c>
      <c r="O3847" t="s">
        <v>248</v>
      </c>
      <c r="P3847" t="b">
        <v>1</v>
      </c>
      <c r="Q3847">
        <v>5702.4120621340589</v>
      </c>
      <c r="R3847">
        <v>29781.794617092484</v>
      </c>
      <c r="S3847">
        <v>9.7984735383127965</v>
      </c>
      <c r="T3847">
        <v>86.15173803102806</v>
      </c>
      <c r="U3847">
        <v>0</v>
      </c>
      <c r="V3847">
        <v>0</v>
      </c>
    </row>
    <row r="3848" spans="1:22" x14ac:dyDescent="0.2">
      <c r="A3848"/>
      <c r="B3848">
        <v>75135</v>
      </c>
      <c r="C3848" t="s">
        <v>506</v>
      </c>
      <c r="D3848" t="s">
        <v>920</v>
      </c>
      <c r="E3848" t="s">
        <v>1275</v>
      </c>
      <c r="F3848" t="s">
        <v>126</v>
      </c>
      <c r="G3848">
        <v>316.86179942745775</v>
      </c>
      <c r="H3848" t="s">
        <v>248</v>
      </c>
      <c r="I3848">
        <v>0</v>
      </c>
      <c r="J3848">
        <v>0</v>
      </c>
      <c r="K3848">
        <v>0</v>
      </c>
      <c r="L3848">
        <v>0</v>
      </c>
      <c r="M3848" t="s">
        <v>188</v>
      </c>
      <c r="N3848">
        <v>8332.1120081459703</v>
      </c>
      <c r="O3848" t="s">
        <v>248</v>
      </c>
      <c r="P3848" t="b">
        <v>1</v>
      </c>
      <c r="Q3848">
        <v>5703.4040419466883</v>
      </c>
      <c r="R3848">
        <v>29802.367319971243</v>
      </c>
      <c r="S3848">
        <v>9.4240757591757305</v>
      </c>
      <c r="T3848">
        <v>87.847027450598787</v>
      </c>
      <c r="U3848">
        <v>0</v>
      </c>
      <c r="V3848">
        <v>0</v>
      </c>
    </row>
    <row r="3849" spans="1:22" x14ac:dyDescent="0.2">
      <c r="A3849"/>
      <c r="B3849">
        <v>75136</v>
      </c>
      <c r="C3849" t="s">
        <v>507</v>
      </c>
      <c r="D3849" t="s">
        <v>920</v>
      </c>
      <c r="E3849" t="s">
        <v>1275</v>
      </c>
      <c r="F3849" t="s">
        <v>126</v>
      </c>
      <c r="G3849">
        <v>410.13492602052656</v>
      </c>
      <c r="H3849" t="s">
        <v>248</v>
      </c>
      <c r="I3849">
        <v>0</v>
      </c>
      <c r="J3849">
        <v>0</v>
      </c>
      <c r="K3849">
        <v>0</v>
      </c>
      <c r="L3849">
        <v>0</v>
      </c>
      <c r="M3849" t="s">
        <v>188</v>
      </c>
      <c r="N3849">
        <v>8425.3851347390391</v>
      </c>
      <c r="O3849" t="s">
        <v>248</v>
      </c>
      <c r="P3849" t="b">
        <v>1</v>
      </c>
      <c r="Q3849">
        <v>5706.9384351399049</v>
      </c>
      <c r="R3849">
        <v>29895.568932879429</v>
      </c>
      <c r="S3849">
        <v>8.8018899257353755</v>
      </c>
      <c r="T3849">
        <v>87.905517107473344</v>
      </c>
      <c r="U3849">
        <v>0</v>
      </c>
      <c r="V3849">
        <v>0</v>
      </c>
    </row>
    <row r="3850" spans="1:22" x14ac:dyDescent="0.2">
      <c r="A3850"/>
      <c r="B3850">
        <v>75137</v>
      </c>
      <c r="C3850" t="s">
        <v>523</v>
      </c>
      <c r="D3850" t="s">
        <v>920</v>
      </c>
      <c r="E3850" t="s">
        <v>1275</v>
      </c>
      <c r="F3850" t="s">
        <v>126</v>
      </c>
      <c r="G3850">
        <v>424.71253078675863</v>
      </c>
      <c r="H3850" t="s">
        <v>248</v>
      </c>
      <c r="I3850">
        <v>0</v>
      </c>
      <c r="J3850">
        <v>0</v>
      </c>
      <c r="K3850">
        <v>0</v>
      </c>
      <c r="L3850">
        <v>0</v>
      </c>
      <c r="M3850" t="s">
        <v>188</v>
      </c>
      <c r="N3850">
        <v>8439.9627395052703</v>
      </c>
      <c r="O3850" t="s">
        <v>248</v>
      </c>
      <c r="P3850" t="b">
        <v>1</v>
      </c>
      <c r="Q3850">
        <v>5707.4680882665207</v>
      </c>
      <c r="R3850">
        <v>29910.136912282072</v>
      </c>
      <c r="S3850">
        <v>8.8029663851543578</v>
      </c>
      <c r="T3850">
        <v>87.930055276469716</v>
      </c>
      <c r="U3850">
        <v>0</v>
      </c>
      <c r="V3850">
        <v>0</v>
      </c>
    </row>
    <row r="3851" spans="1:22" x14ac:dyDescent="0.2">
      <c r="A3851"/>
      <c r="B3851">
        <v>75138</v>
      </c>
      <c r="C3851" t="s">
        <v>524</v>
      </c>
      <c r="D3851" t="s">
        <v>920</v>
      </c>
      <c r="E3851" t="s">
        <v>1275</v>
      </c>
      <c r="F3851" t="s">
        <v>126</v>
      </c>
      <c r="G3851">
        <v>427.65551963592907</v>
      </c>
      <c r="H3851" t="s">
        <v>248</v>
      </c>
      <c r="I3851">
        <v>0</v>
      </c>
      <c r="J3851">
        <v>0</v>
      </c>
      <c r="K3851">
        <v>0</v>
      </c>
      <c r="L3851">
        <v>0</v>
      </c>
      <c r="M3851" t="s">
        <v>188</v>
      </c>
      <c r="N3851">
        <v>8442.9057283544407</v>
      </c>
      <c r="O3851" t="s">
        <v>248</v>
      </c>
      <c r="P3851" t="b">
        <v>1</v>
      </c>
      <c r="Q3851">
        <v>5707.5742606757121</v>
      </c>
      <c r="R3851">
        <v>29913.077985341872</v>
      </c>
      <c r="S3851">
        <v>8.8031597971043798</v>
      </c>
      <c r="T3851">
        <v>87.934997161580725</v>
      </c>
      <c r="U3851">
        <v>0</v>
      </c>
      <c r="V3851">
        <v>0</v>
      </c>
    </row>
    <row r="3852" spans="1:22" x14ac:dyDescent="0.2">
      <c r="A3852"/>
      <c r="B3852">
        <v>75139</v>
      </c>
      <c r="C3852" t="s">
        <v>525</v>
      </c>
      <c r="D3852" t="s">
        <v>920</v>
      </c>
      <c r="E3852" t="s">
        <v>1275</v>
      </c>
      <c r="F3852" t="s">
        <v>126</v>
      </c>
      <c r="G3852">
        <v>447.19696559442809</v>
      </c>
      <c r="H3852" t="s">
        <v>248</v>
      </c>
      <c r="I3852">
        <v>0</v>
      </c>
      <c r="J3852">
        <v>0</v>
      </c>
      <c r="K3852">
        <v>0</v>
      </c>
      <c r="L3852">
        <v>0</v>
      </c>
      <c r="M3852" t="s">
        <v>188</v>
      </c>
      <c r="N3852">
        <v>8462.4471743129398</v>
      </c>
      <c r="O3852" t="s">
        <v>248</v>
      </c>
      <c r="P3852" t="b">
        <v>1</v>
      </c>
      <c r="Q3852">
        <v>5708.2728235140694</v>
      </c>
      <c r="R3852">
        <v>29932.606940986221</v>
      </c>
      <c r="S3852">
        <v>8.8042403250060293</v>
      </c>
      <c r="T3852">
        <v>87.967709153663378</v>
      </c>
      <c r="U3852">
        <v>0</v>
      </c>
      <c r="V3852">
        <v>0</v>
      </c>
    </row>
    <row r="3853" spans="1:22" x14ac:dyDescent="0.2">
      <c r="A3853"/>
      <c r="B3853">
        <v>75140</v>
      </c>
      <c r="C3853" t="s">
        <v>526</v>
      </c>
      <c r="D3853" t="s">
        <v>920</v>
      </c>
      <c r="E3853" t="s">
        <v>1275</v>
      </c>
      <c r="F3853" t="s">
        <v>126</v>
      </c>
      <c r="G3853">
        <v>450.13995444359853</v>
      </c>
      <c r="H3853" t="s">
        <v>248</v>
      </c>
      <c r="I3853">
        <v>0</v>
      </c>
      <c r="J3853">
        <v>0</v>
      </c>
      <c r="K3853">
        <v>0</v>
      </c>
      <c r="L3853">
        <v>0</v>
      </c>
      <c r="M3853" t="s">
        <v>188</v>
      </c>
      <c r="N3853">
        <v>8465.3901631621102</v>
      </c>
      <c r="O3853" t="s">
        <v>248</v>
      </c>
      <c r="P3853" t="b">
        <v>1</v>
      </c>
      <c r="Q3853">
        <v>5708.3770638635542</v>
      </c>
      <c r="R3853">
        <v>29935.548083161149</v>
      </c>
      <c r="S3853">
        <v>8.8043723730429324</v>
      </c>
      <c r="T3853">
        <v>87.972620278215828</v>
      </c>
      <c r="U3853">
        <v>0</v>
      </c>
      <c r="V3853">
        <v>0</v>
      </c>
    </row>
    <row r="3854" spans="1:22" x14ac:dyDescent="0.2">
      <c r="A3854"/>
      <c r="B3854">
        <v>75141</v>
      </c>
      <c r="C3854" t="s">
        <v>508</v>
      </c>
      <c r="D3854" t="s">
        <v>920</v>
      </c>
      <c r="E3854" t="s">
        <v>1275</v>
      </c>
      <c r="F3854" t="s">
        <v>126</v>
      </c>
      <c r="G3854">
        <v>507.05735878657788</v>
      </c>
      <c r="H3854" t="s">
        <v>248</v>
      </c>
      <c r="I3854">
        <v>0</v>
      </c>
      <c r="J3854">
        <v>0</v>
      </c>
      <c r="K3854">
        <v>0</v>
      </c>
      <c r="L3854">
        <v>0</v>
      </c>
      <c r="M3854" t="s">
        <v>188</v>
      </c>
      <c r="N3854">
        <v>8522.3075675050895</v>
      </c>
      <c r="O3854" t="s">
        <v>248</v>
      </c>
      <c r="P3854" t="b">
        <v>1</v>
      </c>
      <c r="Q3854">
        <v>5710.3437549261262</v>
      </c>
      <c r="R3854">
        <v>29992.431492975731</v>
      </c>
      <c r="S3854">
        <v>8.8053464097961101</v>
      </c>
      <c r="T3854">
        <v>88.066809512584783</v>
      </c>
      <c r="U3854">
        <v>0</v>
      </c>
      <c r="V3854">
        <v>0</v>
      </c>
    </row>
    <row r="3855" spans="1:22" x14ac:dyDescent="0.2">
      <c r="A3855"/>
      <c r="B3855">
        <v>75142</v>
      </c>
      <c r="C3855" t="s">
        <v>527</v>
      </c>
      <c r="D3855" t="s">
        <v>920</v>
      </c>
      <c r="E3855" t="s">
        <v>1275</v>
      </c>
      <c r="F3855" t="s">
        <v>126</v>
      </c>
      <c r="G3855">
        <v>541.49032832187868</v>
      </c>
      <c r="H3855" t="s">
        <v>248</v>
      </c>
      <c r="I3855">
        <v>0</v>
      </c>
      <c r="J3855">
        <v>0</v>
      </c>
      <c r="K3855">
        <v>0</v>
      </c>
      <c r="L3855">
        <v>0</v>
      </c>
      <c r="M3855" t="s">
        <v>188</v>
      </c>
      <c r="N3855">
        <v>8556.7405370403903</v>
      </c>
      <c r="O3855" t="s">
        <v>248</v>
      </c>
      <c r="P3855" t="b">
        <v>1</v>
      </c>
      <c r="Q3855">
        <v>5711.4884010689893</v>
      </c>
      <c r="R3855">
        <v>30026.845430270696</v>
      </c>
      <c r="S3855">
        <v>8.8044772029447618</v>
      </c>
      <c r="T3855">
        <v>88.123059487470087</v>
      </c>
      <c r="U3855">
        <v>0</v>
      </c>
      <c r="V3855">
        <v>0</v>
      </c>
    </row>
    <row r="3856" spans="1:22" x14ac:dyDescent="0.2">
      <c r="A3856"/>
      <c r="B3856">
        <v>75143</v>
      </c>
      <c r="C3856" t="s">
        <v>528</v>
      </c>
      <c r="D3856" t="s">
        <v>920</v>
      </c>
      <c r="E3856" t="s">
        <v>1275</v>
      </c>
      <c r="F3856" t="s">
        <v>126</v>
      </c>
      <c r="G3856">
        <v>544.43331717104911</v>
      </c>
      <c r="H3856" t="s">
        <v>248</v>
      </c>
      <c r="I3856">
        <v>0</v>
      </c>
      <c r="J3856">
        <v>0</v>
      </c>
      <c r="K3856">
        <v>0</v>
      </c>
      <c r="L3856">
        <v>0</v>
      </c>
      <c r="M3856" t="s">
        <v>188</v>
      </c>
      <c r="N3856">
        <v>8559.6835258895608</v>
      </c>
      <c r="O3856" t="s">
        <v>248</v>
      </c>
      <c r="P3856" t="b">
        <v>1</v>
      </c>
      <c r="Q3856">
        <v>5711.5846698175465</v>
      </c>
      <c r="R3856">
        <v>30029.786844160932</v>
      </c>
      <c r="S3856">
        <v>8.804351909324831</v>
      </c>
      <c r="T3856">
        <v>88.127841610936599</v>
      </c>
      <c r="U3856">
        <v>0</v>
      </c>
      <c r="V3856">
        <v>0</v>
      </c>
    </row>
    <row r="3857" spans="1:22" x14ac:dyDescent="0.2">
      <c r="A3857"/>
      <c r="B3857">
        <v>75144</v>
      </c>
      <c r="C3857" t="s">
        <v>529</v>
      </c>
      <c r="D3857" t="s">
        <v>920</v>
      </c>
      <c r="E3857" t="s">
        <v>1275</v>
      </c>
      <c r="F3857" t="s">
        <v>126</v>
      </c>
      <c r="G3857">
        <v>563.97476312954814</v>
      </c>
      <c r="H3857" t="s">
        <v>248</v>
      </c>
      <c r="I3857">
        <v>0</v>
      </c>
      <c r="J3857">
        <v>0</v>
      </c>
      <c r="K3857">
        <v>0</v>
      </c>
      <c r="L3857">
        <v>0</v>
      </c>
      <c r="M3857" t="s">
        <v>188</v>
      </c>
      <c r="N3857">
        <v>8579.2249718480598</v>
      </c>
      <c r="O3857" t="s">
        <v>248</v>
      </c>
      <c r="P3857" t="b">
        <v>1</v>
      </c>
      <c r="Q3857">
        <v>5712.2178158081006</v>
      </c>
      <c r="R3857">
        <v>30049.317955154562</v>
      </c>
      <c r="S3857">
        <v>8.7627414040415204</v>
      </c>
      <c r="T3857">
        <v>88.157915610408295</v>
      </c>
      <c r="U3857">
        <v>0</v>
      </c>
      <c r="V3857">
        <v>0</v>
      </c>
    </row>
    <row r="3858" spans="1:22" x14ac:dyDescent="0.2">
      <c r="A3858"/>
      <c r="B3858">
        <v>75145</v>
      </c>
      <c r="C3858" t="s">
        <v>530</v>
      </c>
      <c r="D3858" t="s">
        <v>920</v>
      </c>
      <c r="E3858" t="s">
        <v>1275</v>
      </c>
      <c r="F3858" t="s">
        <v>126</v>
      </c>
      <c r="G3858">
        <v>566.91775197871857</v>
      </c>
      <c r="H3858" t="s">
        <v>248</v>
      </c>
      <c r="I3858">
        <v>0</v>
      </c>
      <c r="J3858">
        <v>0</v>
      </c>
      <c r="K3858">
        <v>0</v>
      </c>
      <c r="L3858">
        <v>0</v>
      </c>
      <c r="M3858" t="s">
        <v>188</v>
      </c>
      <c r="N3858">
        <v>8582.1679606972302</v>
      </c>
      <c r="O3858" t="s">
        <v>248</v>
      </c>
      <c r="P3858" t="b">
        <v>1</v>
      </c>
      <c r="Q3858">
        <v>5712.3123110203105</v>
      </c>
      <c r="R3858">
        <v>30052.259374182886</v>
      </c>
      <c r="S3858">
        <v>8.7452107558409296</v>
      </c>
      <c r="T3858">
        <v>88.161992797695063</v>
      </c>
      <c r="U3858">
        <v>0</v>
      </c>
      <c r="V3858">
        <v>0</v>
      </c>
    </row>
    <row r="3859" spans="1:22" x14ac:dyDescent="0.2">
      <c r="A3859"/>
      <c r="B3859">
        <v>75146</v>
      </c>
      <c r="C3859" t="s">
        <v>509</v>
      </c>
      <c r="D3859" t="s">
        <v>920</v>
      </c>
      <c r="E3859" t="s">
        <v>1275</v>
      </c>
      <c r="F3859" t="s">
        <v>126</v>
      </c>
      <c r="G3859">
        <v>618.3415771365776</v>
      </c>
      <c r="H3859" t="s">
        <v>248</v>
      </c>
      <c r="I3859">
        <v>0</v>
      </c>
      <c r="J3859">
        <v>0</v>
      </c>
      <c r="K3859">
        <v>0</v>
      </c>
      <c r="L3859">
        <v>0</v>
      </c>
      <c r="M3859" t="s">
        <v>188</v>
      </c>
      <c r="N3859">
        <v>8633.5917858550893</v>
      </c>
      <c r="O3859" t="s">
        <v>248</v>
      </c>
      <c r="P3859" t="b">
        <v>1</v>
      </c>
      <c r="Q3859">
        <v>5713.9356219780493</v>
      </c>
      <c r="R3859">
        <v>30103.650566406261</v>
      </c>
      <c r="S3859">
        <v>7.941298908727175</v>
      </c>
      <c r="T3859">
        <v>88.213437243160712</v>
      </c>
      <c r="U3859">
        <v>0</v>
      </c>
      <c r="V3859">
        <v>0</v>
      </c>
    </row>
    <row r="3860" spans="1:22" x14ac:dyDescent="0.2">
      <c r="A3860"/>
      <c r="B3860">
        <v>75147</v>
      </c>
      <c r="C3860" t="s">
        <v>531</v>
      </c>
      <c r="D3860" t="s">
        <v>920</v>
      </c>
      <c r="E3860" t="s">
        <v>1275</v>
      </c>
      <c r="F3860" t="s">
        <v>126</v>
      </c>
      <c r="G3860">
        <v>697.48835725362869</v>
      </c>
      <c r="H3860" t="s">
        <v>248</v>
      </c>
      <c r="I3860">
        <v>0</v>
      </c>
      <c r="J3860">
        <v>0</v>
      </c>
      <c r="K3860">
        <v>0</v>
      </c>
      <c r="L3860">
        <v>0</v>
      </c>
      <c r="M3860" t="s">
        <v>188</v>
      </c>
      <c r="N3860">
        <v>8712.7385659721403</v>
      </c>
      <c r="O3860" t="s">
        <v>248</v>
      </c>
      <c r="P3860" t="b">
        <v>1</v>
      </c>
      <c r="Q3860">
        <v>5712.2260698161454</v>
      </c>
      <c r="R3860">
        <v>30182.671126016474</v>
      </c>
      <c r="S3860">
        <v>6.1243132374795435</v>
      </c>
      <c r="T3860">
        <v>95.713490852207059</v>
      </c>
      <c r="U3860">
        <v>0</v>
      </c>
      <c r="V3860">
        <v>0</v>
      </c>
    </row>
    <row r="3861" spans="1:22" x14ac:dyDescent="0.2">
      <c r="A3861"/>
      <c r="B3861">
        <v>75148</v>
      </c>
      <c r="C3861" t="s">
        <v>532</v>
      </c>
      <c r="D3861" t="s">
        <v>920</v>
      </c>
      <c r="E3861" t="s">
        <v>1275</v>
      </c>
      <c r="F3861" t="s">
        <v>126</v>
      </c>
      <c r="G3861">
        <v>718.089279197829</v>
      </c>
      <c r="H3861" t="s">
        <v>248</v>
      </c>
      <c r="I3861">
        <v>0</v>
      </c>
      <c r="J3861">
        <v>0</v>
      </c>
      <c r="K3861">
        <v>0</v>
      </c>
      <c r="L3861">
        <v>0</v>
      </c>
      <c r="M3861" t="s">
        <v>188</v>
      </c>
      <c r="N3861">
        <v>8733.3394879163407</v>
      </c>
      <c r="O3861" t="s">
        <v>248</v>
      </c>
      <c r="P3861" t="b">
        <v>1</v>
      </c>
      <c r="Q3861">
        <v>5709.9853918702684</v>
      </c>
      <c r="R3861">
        <v>30203.143987343221</v>
      </c>
      <c r="S3861">
        <v>5.6442948982492283</v>
      </c>
      <c r="T3861">
        <v>96.618874700908066</v>
      </c>
      <c r="U3861">
        <v>0</v>
      </c>
      <c r="V3861">
        <v>0</v>
      </c>
    </row>
    <row r="3862" spans="1:22" x14ac:dyDescent="0.2">
      <c r="A3862"/>
      <c r="B3862">
        <v>75149</v>
      </c>
      <c r="C3862" t="s">
        <v>533</v>
      </c>
      <c r="D3862" t="s">
        <v>920</v>
      </c>
      <c r="E3862" t="s">
        <v>1275</v>
      </c>
      <c r="F3862" t="s">
        <v>126</v>
      </c>
      <c r="G3862">
        <v>835.80883316468817</v>
      </c>
      <c r="H3862" t="s">
        <v>248</v>
      </c>
      <c r="I3862">
        <v>0</v>
      </c>
      <c r="J3862">
        <v>0</v>
      </c>
      <c r="K3862">
        <v>0</v>
      </c>
      <c r="L3862">
        <v>0</v>
      </c>
      <c r="M3862" t="s">
        <v>188</v>
      </c>
      <c r="N3862">
        <v>8851.0590418831998</v>
      </c>
      <c r="O3862" t="s">
        <v>248</v>
      </c>
      <c r="P3862" t="b">
        <v>1</v>
      </c>
      <c r="Q3862">
        <v>5704.0556054592525</v>
      </c>
      <c r="R3862">
        <v>30320.525325945066</v>
      </c>
      <c r="S3862">
        <v>4.6952612787862877</v>
      </c>
      <c r="T3862">
        <v>87.707183578844081</v>
      </c>
      <c r="U3862">
        <v>0</v>
      </c>
      <c r="V3862">
        <v>0</v>
      </c>
    </row>
    <row r="3863" spans="1:22" x14ac:dyDescent="0.2">
      <c r="A3863"/>
      <c r="B3863">
        <v>75150</v>
      </c>
      <c r="C3863" t="s">
        <v>534</v>
      </c>
      <c r="D3863" t="s">
        <v>920</v>
      </c>
      <c r="E3863" t="s">
        <v>1275</v>
      </c>
      <c r="F3863" t="s">
        <v>126</v>
      </c>
      <c r="G3863">
        <v>1032.0080897761168</v>
      </c>
      <c r="H3863" t="s">
        <v>248</v>
      </c>
      <c r="I3863">
        <v>0</v>
      </c>
      <c r="J3863">
        <v>0</v>
      </c>
      <c r="K3863">
        <v>0</v>
      </c>
      <c r="L3863">
        <v>0</v>
      </c>
      <c r="M3863" t="s">
        <v>188</v>
      </c>
      <c r="N3863">
        <v>9047.2582984946293</v>
      </c>
      <c r="O3863" t="s">
        <v>248</v>
      </c>
      <c r="P3863" t="b">
        <v>1</v>
      </c>
      <c r="Q3863">
        <v>5753.8819472711075</v>
      </c>
      <c r="R3863">
        <v>30506.300282969085</v>
      </c>
      <c r="S3863">
        <v>7.0220592224081599</v>
      </c>
      <c r="T3863">
        <v>56.389195329114088</v>
      </c>
      <c r="U3863">
        <v>0</v>
      </c>
      <c r="V3863">
        <v>0</v>
      </c>
    </row>
    <row r="3864" spans="1:22" x14ac:dyDescent="0.2">
      <c r="A3864"/>
      <c r="B3864">
        <v>75151</v>
      </c>
      <c r="C3864" t="s">
        <v>535</v>
      </c>
      <c r="D3864" t="s">
        <v>920</v>
      </c>
      <c r="E3864" t="s">
        <v>1275</v>
      </c>
      <c r="F3864" t="s">
        <v>126</v>
      </c>
      <c r="G3864">
        <v>1228.2073463875481</v>
      </c>
      <c r="H3864" t="s">
        <v>248</v>
      </c>
      <c r="I3864">
        <v>0</v>
      </c>
      <c r="J3864">
        <v>0</v>
      </c>
      <c r="K3864">
        <v>0</v>
      </c>
      <c r="L3864">
        <v>0</v>
      </c>
      <c r="M3864" t="s">
        <v>188</v>
      </c>
      <c r="N3864">
        <v>9243.4575551060607</v>
      </c>
      <c r="O3864" t="s">
        <v>248</v>
      </c>
      <c r="P3864" t="b">
        <v>1</v>
      </c>
      <c r="Q3864">
        <v>5860.1389799367407</v>
      </c>
      <c r="R3864">
        <v>30671.049220849749</v>
      </c>
      <c r="S3864">
        <v>10.875438919180056</v>
      </c>
      <c r="T3864">
        <v>62.765608673838578</v>
      </c>
      <c r="U3864">
        <v>0</v>
      </c>
      <c r="V3864">
        <v>0</v>
      </c>
    </row>
    <row r="3865" spans="1:22" x14ac:dyDescent="0.2">
      <c r="A3865"/>
      <c r="B3865">
        <v>75152</v>
      </c>
      <c r="C3865" t="s">
        <v>536</v>
      </c>
      <c r="D3865" t="s">
        <v>920</v>
      </c>
      <c r="E3865" t="s">
        <v>1275</v>
      </c>
      <c r="F3865" t="s">
        <v>126</v>
      </c>
      <c r="G3865">
        <v>1423.4256067159172</v>
      </c>
      <c r="H3865" t="s">
        <v>248</v>
      </c>
      <c r="I3865">
        <v>0</v>
      </c>
      <c r="J3865">
        <v>0</v>
      </c>
      <c r="K3865">
        <v>0</v>
      </c>
      <c r="L3865">
        <v>0</v>
      </c>
      <c r="M3865" t="s">
        <v>188</v>
      </c>
      <c r="N3865">
        <v>9438.6758154344298</v>
      </c>
      <c r="O3865" t="s">
        <v>248</v>
      </c>
      <c r="P3865" t="b">
        <v>1</v>
      </c>
      <c r="Q3865">
        <v>5922.1530971921375</v>
      </c>
      <c r="R3865">
        <v>30855.619067802912</v>
      </c>
      <c r="S3865">
        <v>9.2079548374363558</v>
      </c>
      <c r="T3865">
        <v>75.067023100669317</v>
      </c>
      <c r="U3865">
        <v>0</v>
      </c>
      <c r="V3865">
        <v>0</v>
      </c>
    </row>
    <row r="3866" spans="1:22" x14ac:dyDescent="0.2">
      <c r="A3866"/>
      <c r="B3866">
        <v>75153</v>
      </c>
      <c r="C3866" t="s">
        <v>537</v>
      </c>
      <c r="D3866" t="s">
        <v>920</v>
      </c>
      <c r="E3866" t="s">
        <v>1275</v>
      </c>
      <c r="F3866" t="s">
        <v>126</v>
      </c>
      <c r="G3866">
        <v>1541.1451606827782</v>
      </c>
      <c r="H3866" t="s">
        <v>248</v>
      </c>
      <c r="I3866">
        <v>0</v>
      </c>
      <c r="J3866">
        <v>0</v>
      </c>
      <c r="K3866">
        <v>0</v>
      </c>
      <c r="L3866">
        <v>0</v>
      </c>
      <c r="M3866" t="s">
        <v>188</v>
      </c>
      <c r="N3866">
        <v>9556.3953694012907</v>
      </c>
      <c r="O3866" t="s">
        <v>248</v>
      </c>
      <c r="P3866" t="b">
        <v>1</v>
      </c>
      <c r="Q3866">
        <v>5952.0485311886659</v>
      </c>
      <c r="R3866">
        <v>30969.47806385384</v>
      </c>
      <c r="S3866">
        <v>8.9924620971099145</v>
      </c>
      <c r="T3866">
        <v>75.528604899154146</v>
      </c>
      <c r="U3866">
        <v>0</v>
      </c>
      <c r="V3866">
        <v>0</v>
      </c>
    </row>
    <row r="3867" spans="1:22" x14ac:dyDescent="0.2">
      <c r="A3867"/>
      <c r="B3867">
        <v>75154</v>
      </c>
      <c r="C3867" t="s">
        <v>538</v>
      </c>
      <c r="D3867" t="s">
        <v>920</v>
      </c>
      <c r="E3867" t="s">
        <v>1275</v>
      </c>
      <c r="F3867" t="s">
        <v>126</v>
      </c>
      <c r="G3867">
        <v>1561.7460826269767</v>
      </c>
      <c r="H3867" t="s">
        <v>248</v>
      </c>
      <c r="I3867">
        <v>0</v>
      </c>
      <c r="J3867">
        <v>0</v>
      </c>
      <c r="K3867">
        <v>0</v>
      </c>
      <c r="L3867">
        <v>0</v>
      </c>
      <c r="M3867" t="s">
        <v>188</v>
      </c>
      <c r="N3867">
        <v>9576.9962913454892</v>
      </c>
      <c r="O3867" t="s">
        <v>248</v>
      </c>
      <c r="P3867" t="b">
        <v>1</v>
      </c>
      <c r="Q3867">
        <v>5957.1806150914235</v>
      </c>
      <c r="R3867">
        <v>30989.429495053741</v>
      </c>
      <c r="S3867">
        <v>8.9929669933583725</v>
      </c>
      <c r="T3867">
        <v>75.621189276527872</v>
      </c>
      <c r="U3867">
        <v>0</v>
      </c>
      <c r="V3867">
        <v>0</v>
      </c>
    </row>
    <row r="3868" spans="1:22" x14ac:dyDescent="0.2">
      <c r="A3868"/>
      <c r="B3868">
        <v>75155</v>
      </c>
      <c r="C3868" t="s">
        <v>510</v>
      </c>
      <c r="D3868" t="s">
        <v>920</v>
      </c>
      <c r="E3868" t="s">
        <v>1275</v>
      </c>
      <c r="F3868" t="s">
        <v>126</v>
      </c>
      <c r="G3868">
        <v>1656.5005136074674</v>
      </c>
      <c r="H3868" t="s">
        <v>248</v>
      </c>
      <c r="I3868">
        <v>0</v>
      </c>
      <c r="J3868">
        <v>0</v>
      </c>
      <c r="K3868">
        <v>0</v>
      </c>
      <c r="L3868">
        <v>0</v>
      </c>
      <c r="M3868" t="s">
        <v>188</v>
      </c>
      <c r="N3868">
        <v>9671.75072232598</v>
      </c>
      <c r="O3868" t="s">
        <v>248</v>
      </c>
      <c r="P3868" t="b">
        <v>1</v>
      </c>
      <c r="Q3868">
        <v>5979.4108606531736</v>
      </c>
      <c r="R3868">
        <v>31081.535517227167</v>
      </c>
      <c r="S3868">
        <v>8.9884526168487078</v>
      </c>
      <c r="T3868">
        <v>76.910443912660597</v>
      </c>
      <c r="U3868">
        <v>0</v>
      </c>
      <c r="V3868">
        <v>0</v>
      </c>
    </row>
    <row r="3869" spans="1:22" x14ac:dyDescent="0.2">
      <c r="A3869"/>
      <c r="B3869">
        <v>75156</v>
      </c>
      <c r="C3869" t="s">
        <v>539</v>
      </c>
      <c r="D3869" t="s">
        <v>920</v>
      </c>
      <c r="E3869" t="s">
        <v>1275</v>
      </c>
      <c r="F3869" t="s">
        <v>126</v>
      </c>
      <c r="G3869">
        <v>1671.0781183736967</v>
      </c>
      <c r="H3869" t="s">
        <v>248</v>
      </c>
      <c r="I3869">
        <v>0</v>
      </c>
      <c r="J3869">
        <v>0</v>
      </c>
      <c r="K3869">
        <v>0</v>
      </c>
      <c r="L3869">
        <v>0</v>
      </c>
      <c r="M3869" t="s">
        <v>188</v>
      </c>
      <c r="N3869">
        <v>9686.3283270922093</v>
      </c>
      <c r="O3869" t="s">
        <v>248</v>
      </c>
      <c r="P3869" t="b">
        <v>1</v>
      </c>
      <c r="Q3869">
        <v>5982.7082272366379</v>
      </c>
      <c r="R3869">
        <v>31095.735303452362</v>
      </c>
      <c r="S3869">
        <v>8.9887566890127069</v>
      </c>
      <c r="T3869">
        <v>76.942060117006662</v>
      </c>
      <c r="U3869">
        <v>0</v>
      </c>
      <c r="V3869">
        <v>0</v>
      </c>
    </row>
    <row r="3870" spans="1:22" x14ac:dyDescent="0.2">
      <c r="A3870"/>
      <c r="B3870">
        <v>75157</v>
      </c>
      <c r="C3870" t="s">
        <v>540</v>
      </c>
      <c r="D3870" t="s">
        <v>920</v>
      </c>
      <c r="E3870" t="s">
        <v>1275</v>
      </c>
      <c r="F3870" t="s">
        <v>126</v>
      </c>
      <c r="G3870">
        <v>1674.0211072228672</v>
      </c>
      <c r="H3870" t="s">
        <v>248</v>
      </c>
      <c r="I3870">
        <v>0</v>
      </c>
      <c r="J3870">
        <v>0</v>
      </c>
      <c r="K3870">
        <v>0</v>
      </c>
      <c r="L3870">
        <v>0</v>
      </c>
      <c r="M3870" t="s">
        <v>188</v>
      </c>
      <c r="N3870">
        <v>9689.2713159413797</v>
      </c>
      <c r="O3870" t="s">
        <v>248</v>
      </c>
      <c r="P3870" t="b">
        <v>1</v>
      </c>
      <c r="Q3870">
        <v>5983.3730177593461</v>
      </c>
      <c r="R3870">
        <v>31098.602224609174</v>
      </c>
      <c r="S3870">
        <v>8.9887937183982736</v>
      </c>
      <c r="T3870">
        <v>76.947498335913522</v>
      </c>
      <c r="U3870">
        <v>0</v>
      </c>
      <c r="V3870">
        <v>0</v>
      </c>
    </row>
    <row r="3871" spans="1:22" x14ac:dyDescent="0.2">
      <c r="A3871"/>
      <c r="B3871">
        <v>75158</v>
      </c>
      <c r="C3871" t="s">
        <v>541</v>
      </c>
      <c r="D3871" t="s">
        <v>920</v>
      </c>
      <c r="E3871" t="s">
        <v>1275</v>
      </c>
      <c r="F3871" t="s">
        <v>126</v>
      </c>
      <c r="G3871">
        <v>1693.562553181368</v>
      </c>
      <c r="H3871" t="s">
        <v>248</v>
      </c>
      <c r="I3871">
        <v>0</v>
      </c>
      <c r="J3871">
        <v>0</v>
      </c>
      <c r="K3871">
        <v>0</v>
      </c>
      <c r="L3871">
        <v>0</v>
      </c>
      <c r="M3871" t="s">
        <v>188</v>
      </c>
      <c r="N3871">
        <v>9708.8127618998806</v>
      </c>
      <c r="O3871" t="s">
        <v>248</v>
      </c>
      <c r="P3871" t="b">
        <v>1</v>
      </c>
      <c r="Q3871">
        <v>5987.7812830275188</v>
      </c>
      <c r="R3871">
        <v>31117.639958187458</v>
      </c>
      <c r="S3871">
        <v>8.9888320362686223</v>
      </c>
      <c r="T3871">
        <v>76.975559018583311</v>
      </c>
      <c r="U3871">
        <v>0</v>
      </c>
      <c r="V3871">
        <v>0</v>
      </c>
    </row>
    <row r="3872" spans="1:22" x14ac:dyDescent="0.2">
      <c r="A3872"/>
      <c r="B3872">
        <v>75159</v>
      </c>
      <c r="C3872" t="s">
        <v>542</v>
      </c>
      <c r="D3872" t="s">
        <v>920</v>
      </c>
      <c r="E3872" t="s">
        <v>1275</v>
      </c>
      <c r="F3872" t="s">
        <v>126</v>
      </c>
      <c r="G3872">
        <v>1696.5055420305366</v>
      </c>
      <c r="H3872" t="s">
        <v>248</v>
      </c>
      <c r="I3872">
        <v>0</v>
      </c>
      <c r="J3872">
        <v>0</v>
      </c>
      <c r="K3872">
        <v>0</v>
      </c>
      <c r="L3872">
        <v>0</v>
      </c>
      <c r="M3872" t="s">
        <v>188</v>
      </c>
      <c r="N3872">
        <v>9711.7557507490492</v>
      </c>
      <c r="O3872" t="s">
        <v>248</v>
      </c>
      <c r="P3872" t="b">
        <v>1</v>
      </c>
      <c r="Q3872">
        <v>5988.444457909005</v>
      </c>
      <c r="R3872">
        <v>31120.507253505391</v>
      </c>
      <c r="S3872">
        <v>8.9888065482980615</v>
      </c>
      <c r="T3872">
        <v>76.978572812528824</v>
      </c>
      <c r="U3872">
        <v>0</v>
      </c>
      <c r="V3872">
        <v>0</v>
      </c>
    </row>
    <row r="3873" spans="1:22" x14ac:dyDescent="0.2">
      <c r="A3873"/>
      <c r="B3873">
        <v>75160</v>
      </c>
      <c r="C3873" t="s">
        <v>511</v>
      </c>
      <c r="D3873" t="s">
        <v>920</v>
      </c>
      <c r="E3873" t="s">
        <v>1275</v>
      </c>
      <c r="F3873" t="s">
        <v>126</v>
      </c>
      <c r="G3873">
        <v>1753.4229463735178</v>
      </c>
      <c r="H3873" t="s">
        <v>248</v>
      </c>
      <c r="I3873">
        <v>0</v>
      </c>
      <c r="J3873">
        <v>0</v>
      </c>
      <c r="K3873">
        <v>0</v>
      </c>
      <c r="L3873">
        <v>0</v>
      </c>
      <c r="M3873" t="s">
        <v>188</v>
      </c>
      <c r="N3873">
        <v>9768.6731550920304</v>
      </c>
      <c r="O3873" t="s">
        <v>248</v>
      </c>
      <c r="P3873" t="b">
        <v>1</v>
      </c>
      <c r="Q3873">
        <v>6001.2612519417626</v>
      </c>
      <c r="R3873">
        <v>31175.962827453841</v>
      </c>
      <c r="S3873">
        <v>8.9867041294953829</v>
      </c>
      <c r="T3873">
        <v>76.974444036136958</v>
      </c>
      <c r="U3873">
        <v>0</v>
      </c>
      <c r="V3873">
        <v>0</v>
      </c>
    </row>
    <row r="3874" spans="1:22" x14ac:dyDescent="0.2">
      <c r="A3874"/>
      <c r="B3874">
        <v>75161</v>
      </c>
      <c r="C3874" t="s">
        <v>543</v>
      </c>
      <c r="D3874" t="s">
        <v>920</v>
      </c>
      <c r="E3874" t="s">
        <v>1275</v>
      </c>
      <c r="F3874" t="s">
        <v>126</v>
      </c>
      <c r="G3874">
        <v>1787.8559159088168</v>
      </c>
      <c r="H3874" t="s">
        <v>248</v>
      </c>
      <c r="I3874">
        <v>0</v>
      </c>
      <c r="J3874">
        <v>0</v>
      </c>
      <c r="K3874">
        <v>0</v>
      </c>
      <c r="L3874">
        <v>0</v>
      </c>
      <c r="M3874" t="s">
        <v>188</v>
      </c>
      <c r="N3874">
        <v>9803.1061246273293</v>
      </c>
      <c r="O3874" t="s">
        <v>248</v>
      </c>
      <c r="P3874" t="b">
        <v>1</v>
      </c>
      <c r="Q3874">
        <v>6009.0374283506553</v>
      </c>
      <c r="R3874">
        <v>31209.506237447997</v>
      </c>
      <c r="S3874">
        <v>8.9839463543637699</v>
      </c>
      <c r="T3874">
        <v>76.914323660389499</v>
      </c>
      <c r="U3874">
        <v>0</v>
      </c>
      <c r="V3874">
        <v>0</v>
      </c>
    </row>
    <row r="3875" spans="1:22" x14ac:dyDescent="0.2">
      <c r="A3875"/>
      <c r="B3875">
        <v>75162</v>
      </c>
      <c r="C3875" t="s">
        <v>544</v>
      </c>
      <c r="D3875" t="s">
        <v>920</v>
      </c>
      <c r="E3875" t="s">
        <v>1275</v>
      </c>
      <c r="F3875" t="s">
        <v>126</v>
      </c>
      <c r="G3875">
        <v>1790.7989047579872</v>
      </c>
      <c r="H3875" t="s">
        <v>248</v>
      </c>
      <c r="I3875">
        <v>0</v>
      </c>
      <c r="J3875">
        <v>0</v>
      </c>
      <c r="K3875">
        <v>0</v>
      </c>
      <c r="L3875">
        <v>0</v>
      </c>
      <c r="M3875" t="s">
        <v>188</v>
      </c>
      <c r="N3875">
        <v>9806.0491134764998</v>
      </c>
      <c r="O3875" t="s">
        <v>248</v>
      </c>
      <c r="P3875" t="b">
        <v>1</v>
      </c>
      <c r="Q3875">
        <v>6009.7039216364201</v>
      </c>
      <c r="R3875">
        <v>31212.372763214909</v>
      </c>
      <c r="S3875">
        <v>8.9836586855842775</v>
      </c>
      <c r="T3875">
        <v>76.907170101486585</v>
      </c>
      <c r="U3875">
        <v>0</v>
      </c>
      <c r="V3875">
        <v>0</v>
      </c>
    </row>
    <row r="3876" spans="1:22" x14ac:dyDescent="0.2">
      <c r="A3876"/>
      <c r="B3876">
        <v>75163</v>
      </c>
      <c r="C3876" t="s">
        <v>545</v>
      </c>
      <c r="D3876" t="s">
        <v>920</v>
      </c>
      <c r="E3876" t="s">
        <v>1275</v>
      </c>
      <c r="F3876" t="s">
        <v>126</v>
      </c>
      <c r="G3876">
        <v>1810.340350716488</v>
      </c>
      <c r="H3876" t="s">
        <v>248</v>
      </c>
      <c r="I3876">
        <v>0</v>
      </c>
      <c r="J3876">
        <v>0</v>
      </c>
      <c r="K3876">
        <v>0</v>
      </c>
      <c r="L3876">
        <v>0</v>
      </c>
      <c r="M3876" t="s">
        <v>188</v>
      </c>
      <c r="N3876">
        <v>9825.5905594350006</v>
      </c>
      <c r="O3876" t="s">
        <v>248</v>
      </c>
      <c r="P3876" t="b">
        <v>1</v>
      </c>
      <c r="Q3876">
        <v>6014.1394724002184</v>
      </c>
      <c r="R3876">
        <v>31231.404157414498</v>
      </c>
      <c r="S3876">
        <v>8.9815495770462164</v>
      </c>
      <c r="T3876">
        <v>76.851647572675319</v>
      </c>
      <c r="U3876">
        <v>0</v>
      </c>
      <c r="V3876">
        <v>0</v>
      </c>
    </row>
    <row r="3877" spans="1:22" x14ac:dyDescent="0.2">
      <c r="A3877"/>
      <c r="B3877">
        <v>75164</v>
      </c>
      <c r="C3877" t="s">
        <v>546</v>
      </c>
      <c r="D3877" t="s">
        <v>920</v>
      </c>
      <c r="E3877" t="s">
        <v>1275</v>
      </c>
      <c r="F3877" t="s">
        <v>126</v>
      </c>
      <c r="G3877">
        <v>1813.2833395656567</v>
      </c>
      <c r="H3877" t="s">
        <v>248</v>
      </c>
      <c r="I3877">
        <v>0</v>
      </c>
      <c r="J3877">
        <v>0</v>
      </c>
      <c r="K3877">
        <v>0</v>
      </c>
      <c r="L3877">
        <v>0</v>
      </c>
      <c r="M3877" t="s">
        <v>188</v>
      </c>
      <c r="N3877">
        <v>9828.5335482841692</v>
      </c>
      <c r="O3877" t="s">
        <v>248</v>
      </c>
      <c r="P3877" t="b">
        <v>1</v>
      </c>
      <c r="Q3877">
        <v>6014.809157143648</v>
      </c>
      <c r="R3877">
        <v>31234.269939264694</v>
      </c>
      <c r="S3877">
        <v>8.9812698613831614</v>
      </c>
      <c r="T3877">
        <v>76.842284890691559</v>
      </c>
      <c r="U3877">
        <v>0</v>
      </c>
      <c r="V3877">
        <v>0</v>
      </c>
    </row>
    <row r="3878" spans="1:22" x14ac:dyDescent="0.2">
      <c r="A3878"/>
      <c r="B3878">
        <v>75165</v>
      </c>
      <c r="C3878" t="s">
        <v>512</v>
      </c>
      <c r="D3878" t="s">
        <v>920</v>
      </c>
      <c r="E3878" t="s">
        <v>1275</v>
      </c>
      <c r="F3878" t="s">
        <v>126</v>
      </c>
      <c r="G3878">
        <v>1864.7071647235175</v>
      </c>
      <c r="H3878" t="s">
        <v>248</v>
      </c>
      <c r="I3878">
        <v>0</v>
      </c>
      <c r="J3878">
        <v>0</v>
      </c>
      <c r="K3878">
        <v>0</v>
      </c>
      <c r="L3878">
        <v>0</v>
      </c>
      <c r="M3878" t="s">
        <v>188</v>
      </c>
      <c r="N3878">
        <v>9879.9573734420301</v>
      </c>
      <c r="O3878" t="s">
        <v>248</v>
      </c>
      <c r="P3878" t="b">
        <v>1</v>
      </c>
      <c r="Q3878">
        <v>6026.5914855845285</v>
      </c>
      <c r="R3878">
        <v>31284.325730264365</v>
      </c>
      <c r="S3878">
        <v>8.9675093150917249</v>
      </c>
      <c r="T3878">
        <v>76.656926710324711</v>
      </c>
      <c r="U3878">
        <v>0</v>
      </c>
      <c r="V3878">
        <v>0</v>
      </c>
    </row>
    <row r="3879" spans="1:22" x14ac:dyDescent="0.2">
      <c r="A3879"/>
      <c r="B3879">
        <v>75166</v>
      </c>
      <c r="C3879" t="s">
        <v>547</v>
      </c>
      <c r="D3879" t="s">
        <v>920</v>
      </c>
      <c r="E3879" t="s">
        <v>1275</v>
      </c>
      <c r="F3879" t="s">
        <v>126</v>
      </c>
      <c r="G3879">
        <v>1942.3726404531467</v>
      </c>
      <c r="H3879" t="s">
        <v>248</v>
      </c>
      <c r="I3879">
        <v>0</v>
      </c>
      <c r="J3879">
        <v>0</v>
      </c>
      <c r="K3879">
        <v>0</v>
      </c>
      <c r="L3879">
        <v>0</v>
      </c>
      <c r="M3879" t="s">
        <v>188</v>
      </c>
      <c r="N3879">
        <v>9957.6228491716593</v>
      </c>
      <c r="O3879" t="s">
        <v>248</v>
      </c>
      <c r="P3879" t="b">
        <v>1</v>
      </c>
      <c r="Q3879">
        <v>6049.9609982148677</v>
      </c>
      <c r="R3879">
        <v>31358.287686004012</v>
      </c>
      <c r="S3879">
        <v>7.6703729364235427</v>
      </c>
      <c r="T3879">
        <v>68.52610022052221</v>
      </c>
      <c r="U3879">
        <v>0</v>
      </c>
      <c r="V3879">
        <v>0</v>
      </c>
    </row>
    <row r="3880" spans="1:22" x14ac:dyDescent="0.2">
      <c r="A3880"/>
      <c r="B3880">
        <v>75167</v>
      </c>
      <c r="C3880" t="s">
        <v>548</v>
      </c>
      <c r="D3880" t="s">
        <v>920</v>
      </c>
      <c r="E3880" t="s">
        <v>1275</v>
      </c>
      <c r="F3880" t="s">
        <v>126</v>
      </c>
      <c r="G3880">
        <v>1962.973562397347</v>
      </c>
      <c r="H3880" t="s">
        <v>248</v>
      </c>
      <c r="I3880">
        <v>0</v>
      </c>
      <c r="J3880">
        <v>0</v>
      </c>
      <c r="K3880">
        <v>0</v>
      </c>
      <c r="L3880">
        <v>0</v>
      </c>
      <c r="M3880" t="s">
        <v>188</v>
      </c>
      <c r="N3880">
        <v>9978.2237711158596</v>
      </c>
      <c r="O3880" t="s">
        <v>248</v>
      </c>
      <c r="P3880" t="b">
        <v>1</v>
      </c>
      <c r="Q3880">
        <v>6057.6550293053042</v>
      </c>
      <c r="R3880">
        <v>31377.389525158069</v>
      </c>
      <c r="S3880">
        <v>7.1107632246567176</v>
      </c>
      <c r="T3880">
        <v>67.763533556852138</v>
      </c>
      <c r="U3880">
        <v>0</v>
      </c>
      <c r="V3880">
        <v>0</v>
      </c>
    </row>
    <row r="3881" spans="1:22" x14ac:dyDescent="0.2">
      <c r="A3881"/>
      <c r="B3881">
        <v>75168</v>
      </c>
      <c r="C3881" t="s">
        <v>549</v>
      </c>
      <c r="D3881" t="s">
        <v>920</v>
      </c>
      <c r="E3881" t="s">
        <v>1275</v>
      </c>
      <c r="F3881" t="s">
        <v>126</v>
      </c>
      <c r="G3881">
        <v>2080.693116364188</v>
      </c>
      <c r="H3881" t="s">
        <v>248</v>
      </c>
      <c r="I3881">
        <v>0</v>
      </c>
      <c r="J3881">
        <v>0</v>
      </c>
      <c r="K3881">
        <v>0</v>
      </c>
      <c r="L3881">
        <v>0</v>
      </c>
      <c r="M3881" t="s">
        <v>188</v>
      </c>
      <c r="N3881">
        <v>10095.943325082701</v>
      </c>
      <c r="O3881" t="s">
        <v>248</v>
      </c>
      <c r="P3881" t="b">
        <v>1</v>
      </c>
      <c r="Q3881">
        <v>6103.3335243021229</v>
      </c>
      <c r="R3881">
        <v>31485.821254889255</v>
      </c>
      <c r="S3881">
        <v>3.9565655781188651</v>
      </c>
      <c r="T3881">
        <v>64.169483446129817</v>
      </c>
      <c r="U3881">
        <v>0</v>
      </c>
      <c r="V3881">
        <v>0</v>
      </c>
    </row>
    <row r="3882" spans="1:22" x14ac:dyDescent="0.2">
      <c r="A3882"/>
      <c r="B3882">
        <v>75169</v>
      </c>
      <c r="C3882" t="s">
        <v>550</v>
      </c>
      <c r="D3882" t="s">
        <v>920</v>
      </c>
      <c r="E3882" t="s">
        <v>1275</v>
      </c>
      <c r="F3882" t="s">
        <v>126</v>
      </c>
      <c r="G3882">
        <v>2127.7809379508876</v>
      </c>
      <c r="H3882" t="s">
        <v>248</v>
      </c>
      <c r="I3882">
        <v>0</v>
      </c>
      <c r="J3882">
        <v>0</v>
      </c>
      <c r="K3882">
        <v>0</v>
      </c>
      <c r="L3882">
        <v>0</v>
      </c>
      <c r="M3882" t="s">
        <v>188</v>
      </c>
      <c r="N3882">
        <v>10143.0311466694</v>
      </c>
      <c r="O3882" t="s">
        <v>248</v>
      </c>
      <c r="P3882" t="b">
        <v>1</v>
      </c>
      <c r="Q3882">
        <v>6125.7671873436666</v>
      </c>
      <c r="R3882">
        <v>31527.182505353019</v>
      </c>
      <c r="S3882">
        <v>2.6981755736794089</v>
      </c>
      <c r="T3882">
        <v>58.821581403285464</v>
      </c>
      <c r="U3882">
        <v>0</v>
      </c>
      <c r="V3882">
        <v>0</v>
      </c>
    </row>
    <row r="3883" spans="1:22" x14ac:dyDescent="0.2">
      <c r="A3883"/>
      <c r="B3883">
        <v>75170</v>
      </c>
      <c r="C3883" t="s">
        <v>551</v>
      </c>
      <c r="D3883" t="s">
        <v>920</v>
      </c>
      <c r="E3883" t="s">
        <v>1275</v>
      </c>
      <c r="F3883" t="s">
        <v>126</v>
      </c>
      <c r="G3883">
        <v>2245.5004919177868</v>
      </c>
      <c r="H3883" t="s">
        <v>248</v>
      </c>
      <c r="I3883">
        <v>0</v>
      </c>
      <c r="J3883">
        <v>0</v>
      </c>
      <c r="K3883">
        <v>0</v>
      </c>
      <c r="L3883">
        <v>0</v>
      </c>
      <c r="M3883" t="s">
        <v>188</v>
      </c>
      <c r="N3883">
        <v>10260.750700636299</v>
      </c>
      <c r="O3883" t="s">
        <v>248</v>
      </c>
      <c r="P3883" t="b">
        <v>1</v>
      </c>
      <c r="Q3883">
        <v>6190.9912018570567</v>
      </c>
      <c r="R3883">
        <v>31625.144553706985</v>
      </c>
      <c r="S3883">
        <v>0.9625671330207779</v>
      </c>
      <c r="T3883">
        <v>54.723325447614705</v>
      </c>
      <c r="U3883">
        <v>0</v>
      </c>
      <c r="V3883">
        <v>0</v>
      </c>
    </row>
    <row r="3884" spans="1:22" x14ac:dyDescent="0.2">
      <c r="A3884"/>
      <c r="B3884">
        <v>75171</v>
      </c>
      <c r="C3884" t="s">
        <v>552</v>
      </c>
      <c r="D3884" t="s">
        <v>920</v>
      </c>
      <c r="E3884" t="s">
        <v>1275</v>
      </c>
      <c r="F3884" t="s">
        <v>126</v>
      </c>
      <c r="G3884">
        <v>2266.1014138619871</v>
      </c>
      <c r="H3884" t="s">
        <v>248</v>
      </c>
      <c r="I3884">
        <v>0</v>
      </c>
      <c r="J3884">
        <v>0</v>
      </c>
      <c r="K3884">
        <v>0</v>
      </c>
      <c r="L3884">
        <v>0</v>
      </c>
      <c r="M3884" t="s">
        <v>188</v>
      </c>
      <c r="N3884">
        <v>10281.3516225805</v>
      </c>
      <c r="O3884" t="s">
        <v>248</v>
      </c>
      <c r="P3884" t="b">
        <v>1</v>
      </c>
      <c r="Q3884">
        <v>6203.2576608462205</v>
      </c>
      <c r="R3884">
        <v>31641.692934334951</v>
      </c>
      <c r="S3884">
        <v>0.95766316964986964</v>
      </c>
      <c r="T3884">
        <v>51.981721831749461</v>
      </c>
      <c r="U3884">
        <v>0</v>
      </c>
      <c r="V3884">
        <v>0</v>
      </c>
    </row>
    <row r="3885" spans="1:22" x14ac:dyDescent="0.2">
      <c r="A3885"/>
      <c r="B3885">
        <v>75172</v>
      </c>
      <c r="C3885" t="s">
        <v>513</v>
      </c>
      <c r="D3885" t="s">
        <v>920</v>
      </c>
      <c r="E3885" t="s">
        <v>1275</v>
      </c>
      <c r="F3885" t="s">
        <v>126</v>
      </c>
      <c r="G3885">
        <v>2350.7613930897883</v>
      </c>
      <c r="H3885" t="s">
        <v>248</v>
      </c>
      <c r="I3885">
        <v>0</v>
      </c>
      <c r="J3885">
        <v>0</v>
      </c>
      <c r="K3885">
        <v>0</v>
      </c>
      <c r="L3885">
        <v>0</v>
      </c>
      <c r="M3885" t="s">
        <v>188</v>
      </c>
      <c r="N3885">
        <v>10366.011601808301</v>
      </c>
      <c r="O3885" t="s">
        <v>248</v>
      </c>
      <c r="P3885" t="b">
        <v>1</v>
      </c>
      <c r="Q3885">
        <v>6261.5024096460602</v>
      </c>
      <c r="R3885">
        <v>31703.024021207664</v>
      </c>
      <c r="S3885">
        <v>0.97198720372561476</v>
      </c>
      <c r="T3885">
        <v>44.449372878131875</v>
      </c>
      <c r="U3885">
        <v>0</v>
      </c>
      <c r="V3885">
        <v>0</v>
      </c>
    </row>
    <row r="3886" spans="1:22" x14ac:dyDescent="0.2">
      <c r="A3886"/>
      <c r="B3886">
        <v>75173</v>
      </c>
      <c r="C3886" t="s">
        <v>553</v>
      </c>
      <c r="D3886" t="s">
        <v>920</v>
      </c>
      <c r="E3886" t="s">
        <v>1275</v>
      </c>
      <c r="F3886" t="s">
        <v>126</v>
      </c>
      <c r="G3886">
        <v>2365.3389978559867</v>
      </c>
      <c r="H3886" t="s">
        <v>248</v>
      </c>
      <c r="I3886">
        <v>0</v>
      </c>
      <c r="J3886">
        <v>0</v>
      </c>
      <c r="K3886">
        <v>0</v>
      </c>
      <c r="L3886">
        <v>0</v>
      </c>
      <c r="M3886" t="s">
        <v>188</v>
      </c>
      <c r="N3886">
        <v>10380.589206574499</v>
      </c>
      <c r="O3886" t="s">
        <v>248</v>
      </c>
      <c r="P3886" t="b">
        <v>1</v>
      </c>
      <c r="Q3886">
        <v>6271.9099825636358</v>
      </c>
      <c r="R3886">
        <v>31713.231321797368</v>
      </c>
      <c r="S3886">
        <v>0.97276087946537992</v>
      </c>
      <c r="T3886">
        <v>44.4375227014879</v>
      </c>
      <c r="U3886">
        <v>0</v>
      </c>
      <c r="V3886">
        <v>0</v>
      </c>
    </row>
    <row r="3887" spans="1:22" x14ac:dyDescent="0.2">
      <c r="A3887"/>
      <c r="B3887">
        <v>75174</v>
      </c>
      <c r="C3887" t="s">
        <v>554</v>
      </c>
      <c r="D3887" t="s">
        <v>920</v>
      </c>
      <c r="E3887" t="s">
        <v>1275</v>
      </c>
      <c r="F3887" t="s">
        <v>126</v>
      </c>
      <c r="G3887">
        <v>2368.281986705188</v>
      </c>
      <c r="H3887" t="s">
        <v>248</v>
      </c>
      <c r="I3887">
        <v>0</v>
      </c>
      <c r="J3887">
        <v>0</v>
      </c>
      <c r="K3887">
        <v>0</v>
      </c>
      <c r="L3887">
        <v>0</v>
      </c>
      <c r="M3887" t="s">
        <v>188</v>
      </c>
      <c r="N3887">
        <v>10383.532195423701</v>
      </c>
      <c r="O3887" t="s">
        <v>248</v>
      </c>
      <c r="P3887" t="b">
        <v>1</v>
      </c>
      <c r="Q3887">
        <v>6274.0113603891396</v>
      </c>
      <c r="R3887">
        <v>31715.291757328316</v>
      </c>
      <c r="S3887">
        <v>0.97291130109969637</v>
      </c>
      <c r="T3887">
        <v>44.435211181239481</v>
      </c>
      <c r="U3887">
        <v>0</v>
      </c>
      <c r="V3887">
        <v>0</v>
      </c>
    </row>
    <row r="3888" spans="1:22" x14ac:dyDescent="0.2">
      <c r="A3888"/>
      <c r="B3888">
        <v>75175</v>
      </c>
      <c r="C3888" t="s">
        <v>555</v>
      </c>
      <c r="D3888" t="s">
        <v>920</v>
      </c>
      <c r="E3888" t="s">
        <v>1275</v>
      </c>
      <c r="F3888" t="s">
        <v>126</v>
      </c>
      <c r="G3888">
        <v>2387.8234326636871</v>
      </c>
      <c r="H3888" t="s">
        <v>248</v>
      </c>
      <c r="I3888">
        <v>0</v>
      </c>
      <c r="J3888">
        <v>0</v>
      </c>
      <c r="K3888">
        <v>0</v>
      </c>
      <c r="L3888">
        <v>0</v>
      </c>
      <c r="M3888" t="s">
        <v>188</v>
      </c>
      <c r="N3888">
        <v>10403.0736413822</v>
      </c>
      <c r="O3888" t="s">
        <v>248</v>
      </c>
      <c r="P3888" t="b">
        <v>1</v>
      </c>
      <c r="Q3888">
        <v>6287.9665584587192</v>
      </c>
      <c r="R3888">
        <v>31728.970958840171</v>
      </c>
      <c r="S3888">
        <v>0.97386090833041927</v>
      </c>
      <c r="T3888">
        <v>44.420551573838239</v>
      </c>
      <c r="U3888">
        <v>0</v>
      </c>
      <c r="V3888">
        <v>0</v>
      </c>
    </row>
    <row r="3889" spans="1:22" x14ac:dyDescent="0.2">
      <c r="A3889"/>
      <c r="B3889">
        <v>75176</v>
      </c>
      <c r="C3889" t="s">
        <v>556</v>
      </c>
      <c r="D3889" t="s">
        <v>920</v>
      </c>
      <c r="E3889" t="s">
        <v>1275</v>
      </c>
      <c r="F3889" t="s">
        <v>126</v>
      </c>
      <c r="G3889">
        <v>2390.7664215128866</v>
      </c>
      <c r="H3889" t="s">
        <v>248</v>
      </c>
      <c r="I3889">
        <v>0</v>
      </c>
      <c r="J3889">
        <v>0</v>
      </c>
      <c r="K3889">
        <v>0</v>
      </c>
      <c r="L3889">
        <v>0</v>
      </c>
      <c r="M3889" t="s">
        <v>188</v>
      </c>
      <c r="N3889">
        <v>10406.016630231399</v>
      </c>
      <c r="O3889" t="s">
        <v>248</v>
      </c>
      <c r="P3889" t="b">
        <v>1</v>
      </c>
      <c r="Q3889">
        <v>6290.0685427680082</v>
      </c>
      <c r="R3889">
        <v>31731.030775655003</v>
      </c>
      <c r="S3889">
        <v>0.97399651355389616</v>
      </c>
      <c r="T3889">
        <v>44.418447549688636</v>
      </c>
      <c r="U3889">
        <v>0</v>
      </c>
      <c r="V3889">
        <v>0</v>
      </c>
    </row>
    <row r="3890" spans="1:22" x14ac:dyDescent="0.2">
      <c r="A3890"/>
      <c r="B3890">
        <v>75177</v>
      </c>
      <c r="C3890" t="s">
        <v>514</v>
      </c>
      <c r="D3890" t="s">
        <v>920</v>
      </c>
      <c r="E3890" t="s">
        <v>1275</v>
      </c>
      <c r="F3890" t="s">
        <v>126</v>
      </c>
      <c r="G3890">
        <v>2447.6838258558878</v>
      </c>
      <c r="H3890" t="s">
        <v>248</v>
      </c>
      <c r="I3890">
        <v>0</v>
      </c>
      <c r="J3890">
        <v>0</v>
      </c>
      <c r="K3890">
        <v>0</v>
      </c>
      <c r="L3890">
        <v>0</v>
      </c>
      <c r="M3890" t="s">
        <v>188</v>
      </c>
      <c r="N3890">
        <v>10462.9340345744</v>
      </c>
      <c r="O3890" t="s">
        <v>248</v>
      </c>
      <c r="P3890" t="b">
        <v>1</v>
      </c>
      <c r="Q3890">
        <v>6330.7345238986363</v>
      </c>
      <c r="R3890">
        <v>31770.853743749503</v>
      </c>
      <c r="S3890">
        <v>0.97623771711532137</v>
      </c>
      <c r="T3890">
        <v>44.383097601063646</v>
      </c>
      <c r="U3890">
        <v>0</v>
      </c>
      <c r="V3890">
        <v>0</v>
      </c>
    </row>
    <row r="3891" spans="1:22" x14ac:dyDescent="0.2">
      <c r="A3891"/>
      <c r="B3891">
        <v>75178</v>
      </c>
      <c r="C3891" t="s">
        <v>557</v>
      </c>
      <c r="D3891" t="s">
        <v>920</v>
      </c>
      <c r="E3891" t="s">
        <v>1275</v>
      </c>
      <c r="F3891" t="s">
        <v>126</v>
      </c>
      <c r="G3891">
        <v>2482.1167953911868</v>
      </c>
      <c r="H3891" t="s">
        <v>248</v>
      </c>
      <c r="I3891">
        <v>0</v>
      </c>
      <c r="J3891">
        <v>0</v>
      </c>
      <c r="K3891">
        <v>0</v>
      </c>
      <c r="L3891">
        <v>0</v>
      </c>
      <c r="M3891" t="s">
        <v>188</v>
      </c>
      <c r="N3891">
        <v>10497.367004109699</v>
      </c>
      <c r="O3891" t="s">
        <v>248</v>
      </c>
      <c r="P3891" t="b">
        <v>1</v>
      </c>
      <c r="Q3891">
        <v>6355.3466339152528</v>
      </c>
      <c r="R3891">
        <v>31794.934304838906</v>
      </c>
      <c r="S3891">
        <v>0.97724144443217775</v>
      </c>
      <c r="T3891">
        <v>44.366643833292976</v>
      </c>
      <c r="U3891">
        <v>0</v>
      </c>
      <c r="V3891">
        <v>0</v>
      </c>
    </row>
    <row r="3892" spans="1:22" x14ac:dyDescent="0.2">
      <c r="A3892"/>
      <c r="B3892">
        <v>75179</v>
      </c>
      <c r="C3892" t="s">
        <v>558</v>
      </c>
      <c r="D3892" t="s">
        <v>920</v>
      </c>
      <c r="E3892" t="s">
        <v>1275</v>
      </c>
      <c r="F3892" t="s">
        <v>126</v>
      </c>
      <c r="G3892">
        <v>2485.0597842402881</v>
      </c>
      <c r="H3892" t="s">
        <v>248</v>
      </c>
      <c r="I3892">
        <v>0</v>
      </c>
      <c r="J3892">
        <v>0</v>
      </c>
      <c r="K3892">
        <v>0</v>
      </c>
      <c r="L3892">
        <v>0</v>
      </c>
      <c r="M3892" t="s">
        <v>188</v>
      </c>
      <c r="N3892">
        <v>10500.309992958801</v>
      </c>
      <c r="O3892" t="s">
        <v>248</v>
      </c>
      <c r="P3892" t="b">
        <v>1</v>
      </c>
      <c r="Q3892">
        <v>6357.4505396835248</v>
      </c>
      <c r="R3892">
        <v>31796.992159031612</v>
      </c>
      <c r="S3892">
        <v>0.97731491926405689</v>
      </c>
      <c r="T3892">
        <v>44.365409989118113</v>
      </c>
      <c r="U3892">
        <v>0</v>
      </c>
      <c r="V3892">
        <v>0</v>
      </c>
    </row>
    <row r="3893" spans="1:22" x14ac:dyDescent="0.2">
      <c r="A3893"/>
      <c r="B3893">
        <v>75180</v>
      </c>
      <c r="C3893" t="s">
        <v>559</v>
      </c>
      <c r="D3893" t="s">
        <v>920</v>
      </c>
      <c r="E3893" t="s">
        <v>1275</v>
      </c>
      <c r="F3893" t="s">
        <v>126</v>
      </c>
      <c r="G3893">
        <v>2504.6012301987871</v>
      </c>
      <c r="H3893" t="s">
        <v>248</v>
      </c>
      <c r="I3893">
        <v>0</v>
      </c>
      <c r="J3893">
        <v>0</v>
      </c>
      <c r="K3893">
        <v>0</v>
      </c>
      <c r="L3893">
        <v>0</v>
      </c>
      <c r="M3893" t="s">
        <v>188</v>
      </c>
      <c r="N3893">
        <v>10519.8514389173</v>
      </c>
      <c r="O3893" t="s">
        <v>248</v>
      </c>
      <c r="P3893" t="b">
        <v>1</v>
      </c>
      <c r="Q3893">
        <v>6371.4215390922454</v>
      </c>
      <c r="R3893">
        <v>31810.655221826291</v>
      </c>
      <c r="S3893">
        <v>0.97775360758695862</v>
      </c>
      <c r="T3893">
        <v>44.357906150844926</v>
      </c>
      <c r="U3893">
        <v>0</v>
      </c>
      <c r="V3893">
        <v>0</v>
      </c>
    </row>
    <row r="3894" spans="1:22" x14ac:dyDescent="0.2">
      <c r="A3894"/>
      <c r="B3894">
        <v>75181</v>
      </c>
      <c r="C3894" t="s">
        <v>560</v>
      </c>
      <c r="D3894" t="s">
        <v>920</v>
      </c>
      <c r="E3894" t="s">
        <v>1275</v>
      </c>
      <c r="F3894" t="s">
        <v>126</v>
      </c>
      <c r="G3894">
        <v>2507.5442190479866</v>
      </c>
      <c r="H3894" t="s">
        <v>248</v>
      </c>
      <c r="I3894">
        <v>0</v>
      </c>
      <c r="J3894">
        <v>0</v>
      </c>
      <c r="K3894">
        <v>0</v>
      </c>
      <c r="L3894">
        <v>0</v>
      </c>
      <c r="M3894" t="s">
        <v>188</v>
      </c>
      <c r="N3894">
        <v>10522.794427766499</v>
      </c>
      <c r="O3894" t="s">
        <v>248</v>
      </c>
      <c r="P3894" t="b">
        <v>1</v>
      </c>
      <c r="Q3894">
        <v>6373.5257549361959</v>
      </c>
      <c r="R3894">
        <v>31812.712758957161</v>
      </c>
      <c r="S3894">
        <v>0.97781226693932077</v>
      </c>
      <c r="T3894">
        <v>44.356879802768859</v>
      </c>
      <c r="U3894">
        <v>0</v>
      </c>
      <c r="V3894">
        <v>0</v>
      </c>
    </row>
    <row r="3895" spans="1:22" x14ac:dyDescent="0.2">
      <c r="A3895"/>
      <c r="B3895">
        <v>75182</v>
      </c>
      <c r="C3895" t="s">
        <v>515</v>
      </c>
      <c r="D3895" t="s">
        <v>920</v>
      </c>
      <c r="E3895" t="s">
        <v>1275</v>
      </c>
      <c r="F3895" t="s">
        <v>126</v>
      </c>
      <c r="G3895">
        <v>2558.9680442058875</v>
      </c>
      <c r="H3895" t="s">
        <v>248</v>
      </c>
      <c r="I3895">
        <v>0</v>
      </c>
      <c r="J3895">
        <v>0</v>
      </c>
      <c r="K3895">
        <v>0</v>
      </c>
      <c r="L3895">
        <v>0</v>
      </c>
      <c r="M3895" t="s">
        <v>188</v>
      </c>
      <c r="N3895">
        <v>10574.2182529244</v>
      </c>
      <c r="O3895" t="s">
        <v>248</v>
      </c>
      <c r="P3895" t="b">
        <v>1</v>
      </c>
      <c r="Q3895">
        <v>6410.2965861178654</v>
      </c>
      <c r="R3895">
        <v>31848.658347518976</v>
      </c>
      <c r="S3895">
        <v>0.56265378437713076</v>
      </c>
      <c r="T3895">
        <v>44.344461984950591</v>
      </c>
      <c r="U3895">
        <v>0</v>
      </c>
      <c r="V3895">
        <v>0</v>
      </c>
    </row>
    <row r="3896" spans="1:22" x14ac:dyDescent="0.2">
      <c r="A3896"/>
      <c r="B3896">
        <v>75183</v>
      </c>
      <c r="C3896" t="s">
        <v>561</v>
      </c>
      <c r="D3896" t="s">
        <v>920</v>
      </c>
      <c r="E3896" t="s">
        <v>1275</v>
      </c>
      <c r="F3896" t="s">
        <v>126</v>
      </c>
      <c r="G3896">
        <v>2637.8990051405876</v>
      </c>
      <c r="H3896" t="s">
        <v>248</v>
      </c>
      <c r="I3896">
        <v>0</v>
      </c>
      <c r="J3896">
        <v>0</v>
      </c>
      <c r="K3896">
        <v>0</v>
      </c>
      <c r="L3896">
        <v>0</v>
      </c>
      <c r="M3896" t="s">
        <v>188</v>
      </c>
      <c r="N3896">
        <v>10653.1492138591</v>
      </c>
      <c r="O3896" t="s">
        <v>248</v>
      </c>
      <c r="P3896" t="b">
        <v>1</v>
      </c>
      <c r="Q3896">
        <v>6466.7326888955113</v>
      </c>
      <c r="R3896">
        <v>31903.817879728758</v>
      </c>
      <c r="S3896">
        <v>-1.0133371801988607</v>
      </c>
      <c r="T3896">
        <v>44.351292247793616</v>
      </c>
      <c r="U3896">
        <v>0</v>
      </c>
      <c r="V3896">
        <v>0</v>
      </c>
    </row>
    <row r="3897" spans="1:22" x14ac:dyDescent="0.2">
      <c r="A3897"/>
      <c r="B3897">
        <v>75184</v>
      </c>
      <c r="C3897" t="s">
        <v>562</v>
      </c>
      <c r="D3897" t="s">
        <v>920</v>
      </c>
      <c r="E3897" t="s">
        <v>1275</v>
      </c>
      <c r="F3897" t="s">
        <v>126</v>
      </c>
      <c r="G3897">
        <v>2658.4999270847879</v>
      </c>
      <c r="H3897" t="s">
        <v>248</v>
      </c>
      <c r="I3897">
        <v>0</v>
      </c>
      <c r="J3897">
        <v>0</v>
      </c>
      <c r="K3897">
        <v>0</v>
      </c>
      <c r="L3897">
        <v>0</v>
      </c>
      <c r="M3897" t="s">
        <v>188</v>
      </c>
      <c r="N3897">
        <v>10673.750135803301</v>
      </c>
      <c r="O3897" t="s">
        <v>248</v>
      </c>
      <c r="P3897" t="b">
        <v>1</v>
      </c>
      <c r="Q3897">
        <v>6481.459761671701</v>
      </c>
      <c r="R3897">
        <v>31918.217180456901</v>
      </c>
      <c r="S3897">
        <v>-1.4274021875520622</v>
      </c>
      <c r="T3897">
        <v>44.359671599006809</v>
      </c>
      <c r="U3897">
        <v>0</v>
      </c>
      <c r="V3897">
        <v>0</v>
      </c>
    </row>
    <row r="3898" spans="1:22" x14ac:dyDescent="0.2">
      <c r="A3898"/>
      <c r="B3898">
        <v>75185</v>
      </c>
      <c r="C3898" t="s">
        <v>563</v>
      </c>
      <c r="D3898" t="s">
        <v>920</v>
      </c>
      <c r="E3898" t="s">
        <v>1275</v>
      </c>
      <c r="F3898" t="s">
        <v>126</v>
      </c>
      <c r="G3898">
        <v>2781.1244624669876</v>
      </c>
      <c r="H3898" t="s">
        <v>248</v>
      </c>
      <c r="I3898">
        <v>0</v>
      </c>
      <c r="J3898">
        <v>0</v>
      </c>
      <c r="K3898">
        <v>0</v>
      </c>
      <c r="L3898">
        <v>0</v>
      </c>
      <c r="M3898" t="s">
        <v>188</v>
      </c>
      <c r="N3898">
        <v>10796.3746711855</v>
      </c>
      <c r="O3898" t="s">
        <v>248</v>
      </c>
      <c r="P3898" t="b">
        <v>1</v>
      </c>
      <c r="Q3898">
        <v>6569.128103163669</v>
      </c>
      <c r="R3898">
        <v>32003.920347983265</v>
      </c>
      <c r="S3898">
        <v>-3.8665247506504796</v>
      </c>
      <c r="T3898">
        <v>43.930461131691189</v>
      </c>
      <c r="U3898">
        <v>0</v>
      </c>
      <c r="V3898">
        <v>0</v>
      </c>
    </row>
    <row r="3899" spans="1:22" x14ac:dyDescent="0.2">
      <c r="A3899"/>
      <c r="B3899">
        <v>75186</v>
      </c>
      <c r="C3899" t="s">
        <v>564</v>
      </c>
      <c r="D3899" t="s">
        <v>920</v>
      </c>
      <c r="E3899" t="s">
        <v>1275</v>
      </c>
      <c r="F3899" t="s">
        <v>126</v>
      </c>
      <c r="G3899">
        <v>2977.323719078388</v>
      </c>
      <c r="H3899" t="s">
        <v>248</v>
      </c>
      <c r="I3899">
        <v>0</v>
      </c>
      <c r="J3899">
        <v>0</v>
      </c>
      <c r="K3899">
        <v>0</v>
      </c>
      <c r="L3899">
        <v>0</v>
      </c>
      <c r="M3899" t="s">
        <v>188</v>
      </c>
      <c r="N3899">
        <v>10992.573927796901</v>
      </c>
      <c r="O3899" t="s">
        <v>248</v>
      </c>
      <c r="P3899" t="b">
        <v>1</v>
      </c>
      <c r="Q3899">
        <v>6708.5718020688973</v>
      </c>
      <c r="R3899">
        <v>32141.736313981713</v>
      </c>
      <c r="S3899">
        <v>-4.9385369917268891</v>
      </c>
      <c r="T3899">
        <v>50.233496078795277</v>
      </c>
      <c r="U3899">
        <v>0</v>
      </c>
      <c r="V3899">
        <v>0</v>
      </c>
    </row>
    <row r="3900" spans="1:22" x14ac:dyDescent="0.2">
      <c r="A3900"/>
      <c r="B3900">
        <v>75187</v>
      </c>
      <c r="C3900" t="s">
        <v>565</v>
      </c>
      <c r="D3900" t="s">
        <v>920</v>
      </c>
      <c r="E3900" t="s">
        <v>1275</v>
      </c>
      <c r="F3900" t="s">
        <v>126</v>
      </c>
      <c r="G3900">
        <v>3173.5229756897866</v>
      </c>
      <c r="H3900" t="s">
        <v>248</v>
      </c>
      <c r="I3900">
        <v>0</v>
      </c>
      <c r="J3900">
        <v>0</v>
      </c>
      <c r="K3900">
        <v>0</v>
      </c>
      <c r="L3900">
        <v>0</v>
      </c>
      <c r="M3900" t="s">
        <v>188</v>
      </c>
      <c r="N3900">
        <v>11188.773184408299</v>
      </c>
      <c r="O3900" t="s">
        <v>248</v>
      </c>
      <c r="P3900" t="b">
        <v>1</v>
      </c>
      <c r="Q3900">
        <v>6815.602631911368</v>
      </c>
      <c r="R3900">
        <v>32305.52824874243</v>
      </c>
      <c r="S3900">
        <v>-4.5963407216193444</v>
      </c>
      <c r="T3900">
        <v>65.490178100255122</v>
      </c>
      <c r="U3900">
        <v>0</v>
      </c>
      <c r="V3900">
        <v>0</v>
      </c>
    </row>
    <row r="3901" spans="1:22" x14ac:dyDescent="0.2">
      <c r="A3901"/>
      <c r="B3901">
        <v>75188</v>
      </c>
      <c r="C3901" t="s">
        <v>566</v>
      </c>
      <c r="D3901" t="s">
        <v>920</v>
      </c>
      <c r="E3901" t="s">
        <v>1275</v>
      </c>
      <c r="F3901" t="s">
        <v>126</v>
      </c>
      <c r="G3901">
        <v>3369.722232301287</v>
      </c>
      <c r="H3901" t="s">
        <v>248</v>
      </c>
      <c r="I3901">
        <v>0</v>
      </c>
      <c r="J3901">
        <v>0</v>
      </c>
      <c r="K3901">
        <v>0</v>
      </c>
      <c r="L3901">
        <v>0</v>
      </c>
      <c r="M3901" t="s">
        <v>188</v>
      </c>
      <c r="N3901">
        <v>11384.9724410198</v>
      </c>
      <c r="O3901" t="s">
        <v>248</v>
      </c>
      <c r="P3901" t="b">
        <v>1</v>
      </c>
      <c r="Q3901">
        <v>6863.3824211479596</v>
      </c>
      <c r="R3901">
        <v>32494.740350031043</v>
      </c>
      <c r="S3901">
        <v>-3.8062449888454273</v>
      </c>
      <c r="T3901">
        <v>85.206191448920322</v>
      </c>
      <c r="U3901">
        <v>0</v>
      </c>
      <c r="V3901">
        <v>0</v>
      </c>
    </row>
    <row r="3902" spans="1:22" x14ac:dyDescent="0.2">
      <c r="A3902"/>
      <c r="B3902">
        <v>75189</v>
      </c>
      <c r="C3902" t="s">
        <v>567</v>
      </c>
      <c r="D3902" t="s">
        <v>920</v>
      </c>
      <c r="E3902" t="s">
        <v>1275</v>
      </c>
      <c r="F3902" t="s">
        <v>126</v>
      </c>
      <c r="G3902">
        <v>3565.9214889126874</v>
      </c>
      <c r="H3902" t="s">
        <v>248</v>
      </c>
      <c r="I3902">
        <v>0</v>
      </c>
      <c r="J3902">
        <v>0</v>
      </c>
      <c r="K3902">
        <v>0</v>
      </c>
      <c r="L3902">
        <v>0</v>
      </c>
      <c r="M3902" t="s">
        <v>188</v>
      </c>
      <c r="N3902">
        <v>11581.1716976312</v>
      </c>
      <c r="O3902" t="s">
        <v>248</v>
      </c>
      <c r="P3902" t="b">
        <v>1</v>
      </c>
      <c r="Q3902">
        <v>6858.6947425937215</v>
      </c>
      <c r="R3902">
        <v>32690.257958701772</v>
      </c>
      <c r="S3902">
        <v>-1.771170719003532</v>
      </c>
      <c r="T3902">
        <v>99.789130212311235</v>
      </c>
      <c r="U3902">
        <v>0</v>
      </c>
      <c r="V3902">
        <v>0</v>
      </c>
    </row>
    <row r="3903" spans="1:22" x14ac:dyDescent="0.2">
      <c r="A3903"/>
      <c r="B3903">
        <v>75190</v>
      </c>
      <c r="C3903" t="s">
        <v>568</v>
      </c>
      <c r="D3903" t="s">
        <v>920</v>
      </c>
      <c r="E3903" t="s">
        <v>1275</v>
      </c>
      <c r="F3903" t="s">
        <v>126</v>
      </c>
      <c r="G3903">
        <v>3758.1967603918879</v>
      </c>
      <c r="H3903" t="s">
        <v>248</v>
      </c>
      <c r="I3903">
        <v>0</v>
      </c>
      <c r="J3903">
        <v>0</v>
      </c>
      <c r="K3903">
        <v>0</v>
      </c>
      <c r="L3903">
        <v>0</v>
      </c>
      <c r="M3903" t="s">
        <v>188</v>
      </c>
      <c r="N3903">
        <v>11773.4469691104</v>
      </c>
      <c r="O3903" t="s">
        <v>248</v>
      </c>
      <c r="P3903" t="b">
        <v>1</v>
      </c>
      <c r="Q3903">
        <v>6810.8611527427793</v>
      </c>
      <c r="R3903">
        <v>32876.404447687295</v>
      </c>
      <c r="S3903">
        <v>0.18662765702328271</v>
      </c>
      <c r="T3903">
        <v>105.11478297792677</v>
      </c>
      <c r="U3903">
        <v>0</v>
      </c>
      <c r="V3903">
        <v>0</v>
      </c>
    </row>
    <row r="3904" spans="1:22" x14ac:dyDescent="0.2">
      <c r="A3904"/>
      <c r="B3904">
        <v>75191</v>
      </c>
      <c r="C3904" t="s">
        <v>569</v>
      </c>
      <c r="D3904" t="s">
        <v>920</v>
      </c>
      <c r="E3904" t="s">
        <v>1275</v>
      </c>
      <c r="F3904" t="s">
        <v>126</v>
      </c>
      <c r="G3904">
        <v>3880.8212957739875</v>
      </c>
      <c r="H3904" t="s">
        <v>248</v>
      </c>
      <c r="I3904">
        <v>0</v>
      </c>
      <c r="J3904">
        <v>0</v>
      </c>
      <c r="K3904">
        <v>0</v>
      </c>
      <c r="L3904">
        <v>0</v>
      </c>
      <c r="M3904" t="s">
        <v>188</v>
      </c>
      <c r="N3904">
        <v>11896.0715044925</v>
      </c>
      <c r="O3904" t="s">
        <v>248</v>
      </c>
      <c r="P3904" t="b">
        <v>1</v>
      </c>
      <c r="Q3904">
        <v>6780.1332327713317</v>
      </c>
      <c r="R3904">
        <v>32995.107902457821</v>
      </c>
      <c r="S3904">
        <v>1.4528450810573617</v>
      </c>
      <c r="T3904">
        <v>104.04647588106008</v>
      </c>
      <c r="U3904">
        <v>0</v>
      </c>
      <c r="V3904">
        <v>0</v>
      </c>
    </row>
    <row r="3905" spans="1:22" x14ac:dyDescent="0.2">
      <c r="A3905"/>
      <c r="B3905">
        <v>75192</v>
      </c>
      <c r="C3905" t="s">
        <v>570</v>
      </c>
      <c r="D3905" t="s">
        <v>920</v>
      </c>
      <c r="E3905" t="s">
        <v>1275</v>
      </c>
      <c r="F3905" t="s">
        <v>126</v>
      </c>
      <c r="G3905">
        <v>3901.4222177181878</v>
      </c>
      <c r="H3905" t="s">
        <v>248</v>
      </c>
      <c r="I3905">
        <v>0</v>
      </c>
      <c r="J3905">
        <v>0</v>
      </c>
      <c r="K3905">
        <v>0</v>
      </c>
      <c r="L3905">
        <v>0</v>
      </c>
      <c r="M3905" t="s">
        <v>188</v>
      </c>
      <c r="N3905">
        <v>11916.6724264367</v>
      </c>
      <c r="O3905" t="s">
        <v>248</v>
      </c>
      <c r="P3905" t="b">
        <v>1</v>
      </c>
      <c r="Q3905">
        <v>6775.1458074205702</v>
      </c>
      <c r="R3905">
        <v>33015.094880010132</v>
      </c>
      <c r="S3905">
        <v>1.6631519201416176</v>
      </c>
      <c r="T3905">
        <v>104.07324069134086</v>
      </c>
      <c r="U3905">
        <v>0</v>
      </c>
      <c r="V3905">
        <v>0</v>
      </c>
    </row>
    <row r="3906" spans="1:22" x14ac:dyDescent="0.2">
      <c r="A3906"/>
      <c r="B3906">
        <v>75193</v>
      </c>
      <c r="C3906" t="s">
        <v>571</v>
      </c>
      <c r="D3906" t="s">
        <v>920</v>
      </c>
      <c r="E3906" t="s">
        <v>1275</v>
      </c>
      <c r="F3906" t="s">
        <v>126</v>
      </c>
      <c r="G3906">
        <v>3994.8523037165874</v>
      </c>
      <c r="H3906" t="s">
        <v>248</v>
      </c>
      <c r="I3906">
        <v>0</v>
      </c>
      <c r="J3906">
        <v>0</v>
      </c>
      <c r="K3906">
        <v>0</v>
      </c>
      <c r="L3906">
        <v>0</v>
      </c>
      <c r="M3906" t="s">
        <v>188</v>
      </c>
      <c r="N3906">
        <v>12010.1025124351</v>
      </c>
      <c r="O3906" t="s">
        <v>248</v>
      </c>
      <c r="P3906" t="b">
        <v>1</v>
      </c>
      <c r="Q3906">
        <v>6750.5221486589508</v>
      </c>
      <c r="R3906">
        <v>33105.218137661206</v>
      </c>
      <c r="S3906">
        <v>1.8721274732592461</v>
      </c>
      <c r="T3906">
        <v>105.51036374781437</v>
      </c>
      <c r="U3906">
        <v>0</v>
      </c>
      <c r="V3906">
        <v>0</v>
      </c>
    </row>
    <row r="3907" spans="1:22" x14ac:dyDescent="0.2">
      <c r="A3907"/>
      <c r="B3907">
        <v>75194</v>
      </c>
      <c r="C3907" t="s">
        <v>572</v>
      </c>
      <c r="D3907" t="s">
        <v>920</v>
      </c>
      <c r="E3907" t="s">
        <v>1275</v>
      </c>
      <c r="F3907" t="s">
        <v>126</v>
      </c>
      <c r="G3907">
        <v>4009.4299084827876</v>
      </c>
      <c r="H3907" t="s">
        <v>248</v>
      </c>
      <c r="I3907">
        <v>0</v>
      </c>
      <c r="J3907">
        <v>0</v>
      </c>
      <c r="K3907">
        <v>0</v>
      </c>
      <c r="L3907">
        <v>0</v>
      </c>
      <c r="M3907" t="s">
        <v>188</v>
      </c>
      <c r="N3907">
        <v>12024.6801172013</v>
      </c>
      <c r="O3907" t="s">
        <v>248</v>
      </c>
      <c r="P3907" t="b">
        <v>1</v>
      </c>
      <c r="Q3907">
        <v>6746.6299175189979</v>
      </c>
      <c r="R3907">
        <v>33119.266521343889</v>
      </c>
      <c r="S3907">
        <v>1.873361323865032</v>
      </c>
      <c r="T3907">
        <v>105.46351774267949</v>
      </c>
      <c r="U3907">
        <v>0</v>
      </c>
      <c r="V3907">
        <v>0</v>
      </c>
    </row>
    <row r="3908" spans="1:22" x14ac:dyDescent="0.2">
      <c r="A3908"/>
      <c r="B3908">
        <v>75195</v>
      </c>
      <c r="C3908" t="s">
        <v>573</v>
      </c>
      <c r="D3908" t="s">
        <v>920</v>
      </c>
      <c r="E3908" t="s">
        <v>1275</v>
      </c>
      <c r="F3908" t="s">
        <v>126</v>
      </c>
      <c r="G3908">
        <v>4012.3728973319871</v>
      </c>
      <c r="H3908" t="s">
        <v>248</v>
      </c>
      <c r="I3908">
        <v>0</v>
      </c>
      <c r="J3908">
        <v>0</v>
      </c>
      <c r="K3908">
        <v>0</v>
      </c>
      <c r="L3908">
        <v>0</v>
      </c>
      <c r="M3908" t="s">
        <v>188</v>
      </c>
      <c r="N3908">
        <v>12027.6231060505</v>
      </c>
      <c r="O3908" t="s">
        <v>248</v>
      </c>
      <c r="P3908" t="b">
        <v>1</v>
      </c>
      <c r="Q3908">
        <v>6745.8454415842125</v>
      </c>
      <c r="R3908">
        <v>33122.103029902974</v>
      </c>
      <c r="S3908">
        <v>1.8735953934005407</v>
      </c>
      <c r="T3908">
        <v>105.45561756070143</v>
      </c>
      <c r="U3908">
        <v>0</v>
      </c>
      <c r="V3908">
        <v>0</v>
      </c>
    </row>
    <row r="3909" spans="1:22" x14ac:dyDescent="0.2">
      <c r="A3909"/>
      <c r="B3909">
        <v>75196</v>
      </c>
      <c r="C3909" t="s">
        <v>574</v>
      </c>
      <c r="D3909" t="s">
        <v>920</v>
      </c>
      <c r="E3909" t="s">
        <v>1275</v>
      </c>
      <c r="F3909" t="s">
        <v>126</v>
      </c>
      <c r="G3909">
        <v>4031.914343290488</v>
      </c>
      <c r="H3909" t="s">
        <v>248</v>
      </c>
      <c r="I3909">
        <v>0</v>
      </c>
      <c r="J3909">
        <v>0</v>
      </c>
      <c r="K3909">
        <v>0</v>
      </c>
      <c r="L3909">
        <v>0</v>
      </c>
      <c r="M3909" t="s">
        <v>188</v>
      </c>
      <c r="N3909">
        <v>12047.164552009001</v>
      </c>
      <c r="O3909" t="s">
        <v>248</v>
      </c>
      <c r="P3909" t="b">
        <v>1</v>
      </c>
      <c r="Q3909">
        <v>6740.6448788644011</v>
      </c>
      <c r="R3909">
        <v>33140.939755747349</v>
      </c>
      <c r="S3909">
        <v>1.8750215772519765</v>
      </c>
      <c r="T3909">
        <v>105.41643033613474</v>
      </c>
      <c r="U3909">
        <v>0</v>
      </c>
      <c r="V3909">
        <v>0</v>
      </c>
    </row>
    <row r="3910" spans="1:22" x14ac:dyDescent="0.2">
      <c r="A3910"/>
      <c r="B3910">
        <v>75197</v>
      </c>
      <c r="C3910" t="s">
        <v>580</v>
      </c>
      <c r="D3910" t="s">
        <v>920</v>
      </c>
      <c r="E3910" t="s">
        <v>1275</v>
      </c>
      <c r="F3910" t="s">
        <v>126</v>
      </c>
      <c r="G3910">
        <v>4034.8573321396875</v>
      </c>
      <c r="H3910" t="s">
        <v>248</v>
      </c>
      <c r="I3910">
        <v>0</v>
      </c>
      <c r="J3910">
        <v>0</v>
      </c>
      <c r="K3910">
        <v>0</v>
      </c>
      <c r="L3910">
        <v>0</v>
      </c>
      <c r="M3910" t="s">
        <v>188</v>
      </c>
      <c r="N3910">
        <v>12050.1075408582</v>
      </c>
      <c r="O3910" t="s">
        <v>248</v>
      </c>
      <c r="P3910" t="b">
        <v>1</v>
      </c>
      <c r="Q3910">
        <v>6739.8626353615546</v>
      </c>
      <c r="R3910">
        <v>33143.776880775826</v>
      </c>
      <c r="S3910">
        <v>1.8752170814181623</v>
      </c>
      <c r="T3910">
        <v>105.41252713721909</v>
      </c>
      <c r="U3910">
        <v>0</v>
      </c>
      <c r="V3910">
        <v>0</v>
      </c>
    </row>
    <row r="3911" spans="1:22" x14ac:dyDescent="0.2">
      <c r="A3911"/>
      <c r="B3911">
        <v>75198</v>
      </c>
      <c r="C3911" t="s">
        <v>575</v>
      </c>
      <c r="D3911" t="s">
        <v>920</v>
      </c>
      <c r="E3911" t="s">
        <v>1275</v>
      </c>
      <c r="F3911" t="s">
        <v>126</v>
      </c>
      <c r="G3911">
        <v>4091.7747364826869</v>
      </c>
      <c r="H3911" t="s">
        <v>248</v>
      </c>
      <c r="I3911">
        <v>0</v>
      </c>
      <c r="J3911">
        <v>0</v>
      </c>
      <c r="K3911">
        <v>0</v>
      </c>
      <c r="L3911">
        <v>0</v>
      </c>
      <c r="M3911" t="s">
        <v>188</v>
      </c>
      <c r="N3911">
        <v>12107.024945201199</v>
      </c>
      <c r="O3911" t="s">
        <v>248</v>
      </c>
      <c r="P3911" t="b">
        <v>1</v>
      </c>
      <c r="Q3911">
        <v>6724.7383641135229</v>
      </c>
      <c r="R3911">
        <v>33198.648068242575</v>
      </c>
      <c r="S3911">
        <v>1.8780052861179171</v>
      </c>
      <c r="T3911">
        <v>105.43993950647098</v>
      </c>
      <c r="U3911">
        <v>0</v>
      </c>
      <c r="V3911">
        <v>0</v>
      </c>
    </row>
    <row r="3912" spans="1:22" x14ac:dyDescent="0.2">
      <c r="A3912"/>
      <c r="B3912">
        <v>75199</v>
      </c>
      <c r="C3912" t="s">
        <v>576</v>
      </c>
      <c r="D3912" t="s">
        <v>920</v>
      </c>
      <c r="E3912" t="s">
        <v>1275</v>
      </c>
      <c r="F3912" t="s">
        <v>126</v>
      </c>
      <c r="G3912">
        <v>4126.2077060179872</v>
      </c>
      <c r="H3912" t="s">
        <v>248</v>
      </c>
      <c r="I3912">
        <v>0</v>
      </c>
      <c r="J3912">
        <v>0</v>
      </c>
      <c r="K3912">
        <v>0</v>
      </c>
      <c r="L3912">
        <v>0</v>
      </c>
      <c r="M3912" t="s">
        <v>188</v>
      </c>
      <c r="N3912">
        <v>12141.4579147365</v>
      </c>
      <c r="O3912" t="s">
        <v>248</v>
      </c>
      <c r="P3912" t="b">
        <v>1</v>
      </c>
      <c r="Q3912">
        <v>6715.5425286006275</v>
      </c>
      <c r="R3912">
        <v>33231.830377157159</v>
      </c>
      <c r="S3912">
        <v>1.8784198974635657</v>
      </c>
      <c r="T3912">
        <v>105.55046653072591</v>
      </c>
      <c r="U3912">
        <v>0</v>
      </c>
      <c r="V3912">
        <v>0</v>
      </c>
    </row>
    <row r="3913" spans="1:22" x14ac:dyDescent="0.2">
      <c r="A3913"/>
      <c r="B3913">
        <v>75200</v>
      </c>
      <c r="C3913" t="s">
        <v>577</v>
      </c>
      <c r="D3913" t="s">
        <v>920</v>
      </c>
      <c r="E3913" t="s">
        <v>1275</v>
      </c>
      <c r="F3913" t="s">
        <v>126</v>
      </c>
      <c r="G3913">
        <v>4129.1506948670867</v>
      </c>
      <c r="H3913" t="s">
        <v>248</v>
      </c>
      <c r="I3913">
        <v>0</v>
      </c>
      <c r="J3913">
        <v>0</v>
      </c>
      <c r="K3913">
        <v>0</v>
      </c>
      <c r="L3913">
        <v>0</v>
      </c>
      <c r="M3913" t="s">
        <v>188</v>
      </c>
      <c r="N3913">
        <v>12144.4009035856</v>
      </c>
      <c r="O3913" t="s">
        <v>248</v>
      </c>
      <c r="P3913" t="b">
        <v>1</v>
      </c>
      <c r="Q3913">
        <v>6714.7532581759888</v>
      </c>
      <c r="R3913">
        <v>33234.665555360421</v>
      </c>
      <c r="S3913">
        <v>1.8781260474233861</v>
      </c>
      <c r="T3913">
        <v>105.56235347886508</v>
      </c>
      <c r="U3913">
        <v>0</v>
      </c>
      <c r="V3913">
        <v>0</v>
      </c>
    </row>
    <row r="3914" spans="1:22" x14ac:dyDescent="0.2">
      <c r="A3914"/>
      <c r="B3914">
        <v>75201</v>
      </c>
      <c r="C3914" t="s">
        <v>578</v>
      </c>
      <c r="D3914" t="s">
        <v>920</v>
      </c>
      <c r="E3914" t="s">
        <v>1275</v>
      </c>
      <c r="F3914" t="s">
        <v>126</v>
      </c>
      <c r="G3914">
        <v>4148.6921408255876</v>
      </c>
      <c r="H3914" t="s">
        <v>248</v>
      </c>
      <c r="I3914">
        <v>0</v>
      </c>
      <c r="J3914">
        <v>0</v>
      </c>
      <c r="K3914">
        <v>0</v>
      </c>
      <c r="L3914">
        <v>0</v>
      </c>
      <c r="M3914" t="s">
        <v>188</v>
      </c>
      <c r="N3914">
        <v>12163.942349544101</v>
      </c>
      <c r="O3914" t="s">
        <v>248</v>
      </c>
      <c r="P3914" t="b">
        <v>1</v>
      </c>
      <c r="Q3914">
        <v>6709.4969623319466</v>
      </c>
      <c r="R3914">
        <v>33253.486803210617</v>
      </c>
      <c r="S3914">
        <v>1.8733571242073523</v>
      </c>
      <c r="T3914">
        <v>105.64657226790614</v>
      </c>
      <c r="U3914">
        <v>0</v>
      </c>
      <c r="V3914">
        <v>0</v>
      </c>
    </row>
    <row r="3915" spans="1:22" x14ac:dyDescent="0.2">
      <c r="A3915"/>
      <c r="B3915">
        <v>75202</v>
      </c>
      <c r="C3915" t="s">
        <v>579</v>
      </c>
      <c r="D3915" t="s">
        <v>920</v>
      </c>
      <c r="E3915" t="s">
        <v>1275</v>
      </c>
      <c r="F3915" t="s">
        <v>126</v>
      </c>
      <c r="G3915">
        <v>4151.6351296747871</v>
      </c>
      <c r="H3915" t="s">
        <v>248</v>
      </c>
      <c r="I3915">
        <v>0</v>
      </c>
      <c r="J3915">
        <v>0</v>
      </c>
      <c r="K3915">
        <v>0</v>
      </c>
      <c r="L3915">
        <v>0</v>
      </c>
      <c r="M3915" t="s">
        <v>188</v>
      </c>
      <c r="N3915">
        <v>12166.8853383933</v>
      </c>
      <c r="O3915" t="s">
        <v>248</v>
      </c>
      <c r="P3915" t="b">
        <v>1</v>
      </c>
      <c r="Q3915">
        <v>6708.702898057245</v>
      </c>
      <c r="R3915">
        <v>33256.320642293504</v>
      </c>
      <c r="S3915">
        <v>1.872214551595782</v>
      </c>
      <c r="T3915">
        <v>105.66005242489966</v>
      </c>
      <c r="U3915">
        <v>0</v>
      </c>
      <c r="V3915">
        <v>0</v>
      </c>
    </row>
    <row r="3916" spans="1:22" x14ac:dyDescent="0.2">
      <c r="A3916"/>
      <c r="B3916">
        <v>75203</v>
      </c>
      <c r="C3916" t="s">
        <v>581</v>
      </c>
      <c r="D3916" t="s">
        <v>920</v>
      </c>
      <c r="E3916" t="s">
        <v>1275</v>
      </c>
      <c r="F3916" t="s">
        <v>126</v>
      </c>
      <c r="G3916">
        <v>4203.0589548326861</v>
      </c>
      <c r="H3916" t="s">
        <v>248</v>
      </c>
      <c r="I3916">
        <v>0</v>
      </c>
      <c r="J3916">
        <v>0</v>
      </c>
      <c r="K3916">
        <v>0</v>
      </c>
      <c r="L3916">
        <v>0</v>
      </c>
      <c r="M3916" t="s">
        <v>188</v>
      </c>
      <c r="N3916">
        <v>12218.309163551199</v>
      </c>
      <c r="O3916" t="s">
        <v>248</v>
      </c>
      <c r="P3916" t="b">
        <v>1</v>
      </c>
      <c r="Q3916">
        <v>6694.551673588986</v>
      </c>
      <c r="R3916">
        <v>33305.757399456052</v>
      </c>
      <c r="S3916">
        <v>1.7391802437545409</v>
      </c>
      <c r="T3916">
        <v>107.22664380609956</v>
      </c>
      <c r="U3916">
        <v>0</v>
      </c>
      <c r="V3916">
        <v>0</v>
      </c>
    </row>
    <row r="3917" spans="1:22" x14ac:dyDescent="0.2">
      <c r="A3917"/>
      <c r="B3917">
        <v>75204</v>
      </c>
      <c r="C3917" t="s">
        <v>582</v>
      </c>
      <c r="D3917" t="s">
        <v>920</v>
      </c>
      <c r="E3917" t="s">
        <v>1275</v>
      </c>
      <c r="F3917" t="s">
        <v>126</v>
      </c>
      <c r="G3917">
        <v>4282.0487755443864</v>
      </c>
      <c r="H3917" t="s">
        <v>248</v>
      </c>
      <c r="I3917">
        <v>0</v>
      </c>
      <c r="J3917">
        <v>0</v>
      </c>
      <c r="K3917">
        <v>0</v>
      </c>
      <c r="L3917">
        <v>0</v>
      </c>
      <c r="M3917" t="s">
        <v>188</v>
      </c>
      <c r="N3917">
        <v>12297.298984262899</v>
      </c>
      <c r="O3917" t="s">
        <v>248</v>
      </c>
      <c r="P3917" t="b">
        <v>1</v>
      </c>
      <c r="Q3917">
        <v>6669.9048068429965</v>
      </c>
      <c r="R3917">
        <v>33380.795974446643</v>
      </c>
      <c r="S3917">
        <v>0.96687589677143881</v>
      </c>
      <c r="T3917">
        <v>106.78391359392266</v>
      </c>
      <c r="U3917">
        <v>0</v>
      </c>
      <c r="V3917">
        <v>0</v>
      </c>
    </row>
    <row r="3918" spans="1:22" x14ac:dyDescent="0.2">
      <c r="A3918"/>
      <c r="B3918">
        <v>75205</v>
      </c>
      <c r="C3918" t="s">
        <v>583</v>
      </c>
      <c r="D3918" t="s">
        <v>920</v>
      </c>
      <c r="E3918" t="s">
        <v>1275</v>
      </c>
      <c r="F3918" t="s">
        <v>126</v>
      </c>
      <c r="G3918">
        <v>4302.6496974885868</v>
      </c>
      <c r="H3918" t="s">
        <v>248</v>
      </c>
      <c r="I3918">
        <v>0</v>
      </c>
      <c r="J3918">
        <v>0</v>
      </c>
      <c r="K3918">
        <v>0</v>
      </c>
      <c r="L3918">
        <v>0</v>
      </c>
      <c r="M3918" t="s">
        <v>188</v>
      </c>
      <c r="N3918">
        <v>12317.8999062071</v>
      </c>
      <c r="O3918" t="s">
        <v>248</v>
      </c>
      <c r="P3918" t="b">
        <v>1</v>
      </c>
      <c r="Q3918">
        <v>6664.2316705067651</v>
      </c>
      <c r="R3918">
        <v>33400.598576727381</v>
      </c>
      <c r="S3918">
        <v>0.75903422032191858</v>
      </c>
      <c r="T3918">
        <v>105.29634686175039</v>
      </c>
      <c r="U3918">
        <v>0</v>
      </c>
      <c r="V3918">
        <v>0</v>
      </c>
    </row>
    <row r="3919" spans="1:22" x14ac:dyDescent="0.2">
      <c r="A3919"/>
      <c r="B3919">
        <v>75206</v>
      </c>
      <c r="C3919" t="s">
        <v>584</v>
      </c>
      <c r="D3919" t="s">
        <v>920</v>
      </c>
      <c r="E3919" t="s">
        <v>1275</v>
      </c>
      <c r="F3919" t="s">
        <v>126</v>
      </c>
      <c r="G3919">
        <v>4420.3692514554878</v>
      </c>
      <c r="H3919" t="s">
        <v>248</v>
      </c>
      <c r="I3919">
        <v>0</v>
      </c>
      <c r="J3919">
        <v>0</v>
      </c>
      <c r="K3919">
        <v>0</v>
      </c>
      <c r="L3919">
        <v>0</v>
      </c>
      <c r="M3919" t="s">
        <v>188</v>
      </c>
      <c r="N3919">
        <v>12435.619460174001</v>
      </c>
      <c r="O3919" t="s">
        <v>248</v>
      </c>
      <c r="P3919" t="b">
        <v>1</v>
      </c>
      <c r="Q3919">
        <v>6633.7605088834234</v>
      </c>
      <c r="R3919">
        <v>33514.301482912197</v>
      </c>
      <c r="S3919">
        <v>-0.13894895750931885</v>
      </c>
      <c r="T3919">
        <v>104.87307822799799</v>
      </c>
      <c r="U3919">
        <v>0</v>
      </c>
      <c r="V3919">
        <v>0</v>
      </c>
    </row>
    <row r="3920" spans="1:22" x14ac:dyDescent="0.2">
      <c r="A3920"/>
      <c r="B3920">
        <v>75207</v>
      </c>
      <c r="C3920" t="s">
        <v>585</v>
      </c>
      <c r="D3920" t="s">
        <v>920</v>
      </c>
      <c r="E3920" t="s">
        <v>1275</v>
      </c>
      <c r="F3920" t="s">
        <v>126</v>
      </c>
      <c r="G3920">
        <v>4584.1956307259861</v>
      </c>
      <c r="H3920" t="s">
        <v>248</v>
      </c>
      <c r="I3920">
        <v>0</v>
      </c>
      <c r="J3920">
        <v>0</v>
      </c>
      <c r="K3920">
        <v>0</v>
      </c>
      <c r="L3920">
        <v>0</v>
      </c>
      <c r="M3920" t="s">
        <v>188</v>
      </c>
      <c r="N3920">
        <v>12599.445839444499</v>
      </c>
      <c r="O3920" t="s">
        <v>248</v>
      </c>
      <c r="P3920" t="b">
        <v>1</v>
      </c>
      <c r="Q3920">
        <v>6590.7128024394888</v>
      </c>
      <c r="R3920">
        <v>33672.351911786936</v>
      </c>
      <c r="S3920">
        <v>2.0629096635290929</v>
      </c>
      <c r="T3920">
        <v>106.12171157879335</v>
      </c>
      <c r="U3920">
        <v>0</v>
      </c>
      <c r="V3920">
        <v>0</v>
      </c>
    </row>
    <row r="3921" spans="1:22" x14ac:dyDescent="0.2">
      <c r="A3921"/>
      <c r="B3921">
        <v>75208</v>
      </c>
      <c r="C3921" t="s">
        <v>586</v>
      </c>
      <c r="D3921" t="s">
        <v>920</v>
      </c>
      <c r="E3921" t="s">
        <v>1275</v>
      </c>
      <c r="F3921" t="s">
        <v>126</v>
      </c>
      <c r="G3921">
        <v>4701.9151846928871</v>
      </c>
      <c r="H3921" t="s">
        <v>248</v>
      </c>
      <c r="I3921">
        <v>0</v>
      </c>
      <c r="J3921">
        <v>0</v>
      </c>
      <c r="K3921">
        <v>0</v>
      </c>
      <c r="L3921">
        <v>0</v>
      </c>
      <c r="M3921" t="s">
        <v>188</v>
      </c>
      <c r="N3921">
        <v>12717.1653934114</v>
      </c>
      <c r="O3921" t="s">
        <v>248</v>
      </c>
      <c r="P3921" t="b">
        <v>1</v>
      </c>
      <c r="Q3921">
        <v>6558.0993669709896</v>
      </c>
      <c r="R3921">
        <v>33785.447621851781</v>
      </c>
      <c r="S3921">
        <v>3.7771622257503501</v>
      </c>
      <c r="T3921">
        <v>105.11005756552585</v>
      </c>
      <c r="U3921">
        <v>0</v>
      </c>
      <c r="V3921">
        <v>0</v>
      </c>
    </row>
    <row r="3922" spans="1:22" x14ac:dyDescent="0.2">
      <c r="A3922"/>
      <c r="B3922">
        <v>75209</v>
      </c>
      <c r="C3922" t="s">
        <v>587</v>
      </c>
      <c r="D3922" t="s">
        <v>920</v>
      </c>
      <c r="E3922" t="s">
        <v>1275</v>
      </c>
      <c r="F3922" t="s">
        <v>126</v>
      </c>
      <c r="G3922">
        <v>4722.5161066370874</v>
      </c>
      <c r="H3922" t="s">
        <v>248</v>
      </c>
      <c r="I3922">
        <v>0</v>
      </c>
      <c r="J3922">
        <v>0</v>
      </c>
      <c r="K3922">
        <v>0</v>
      </c>
      <c r="L3922">
        <v>0</v>
      </c>
      <c r="M3922" t="s">
        <v>188</v>
      </c>
      <c r="N3922">
        <v>12737.7663153556</v>
      </c>
      <c r="O3922" t="s">
        <v>248</v>
      </c>
      <c r="P3922" t="b">
        <v>1</v>
      </c>
      <c r="Q3922">
        <v>6552.7818759777711</v>
      </c>
      <c r="R3922">
        <v>33805.34825146231</v>
      </c>
      <c r="S3922">
        <v>4.0712530502252697</v>
      </c>
      <c r="T3922">
        <v>104.94343879606156</v>
      </c>
      <c r="U3922">
        <v>0</v>
      </c>
      <c r="V3922">
        <v>0</v>
      </c>
    </row>
    <row r="3923" spans="1:22" x14ac:dyDescent="0.2">
      <c r="A3923"/>
      <c r="B3923">
        <v>75210</v>
      </c>
      <c r="C3923" t="s">
        <v>588</v>
      </c>
      <c r="D3923" t="s">
        <v>920</v>
      </c>
      <c r="E3923" t="s">
        <v>1275</v>
      </c>
      <c r="F3923" t="s">
        <v>126</v>
      </c>
      <c r="G3923">
        <v>4815.8284730814867</v>
      </c>
      <c r="H3923" t="s">
        <v>248</v>
      </c>
      <c r="I3923">
        <v>0</v>
      </c>
      <c r="J3923">
        <v>0</v>
      </c>
      <c r="K3923">
        <v>0</v>
      </c>
      <c r="L3923">
        <v>0</v>
      </c>
      <c r="M3923" t="s">
        <v>188</v>
      </c>
      <c r="N3923">
        <v>12831.0786818</v>
      </c>
      <c r="O3923" t="s">
        <v>248</v>
      </c>
      <c r="P3923" t="b">
        <v>1</v>
      </c>
      <c r="Q3923">
        <v>6528.6296180905147</v>
      </c>
      <c r="R3923">
        <v>33895.479739398164</v>
      </c>
      <c r="S3923">
        <v>4.3169287657061108</v>
      </c>
      <c r="T3923">
        <v>105.01733646415929</v>
      </c>
      <c r="U3923">
        <v>0</v>
      </c>
      <c r="V3923">
        <v>0</v>
      </c>
    </row>
    <row r="3924" spans="1:22" x14ac:dyDescent="0.2">
      <c r="A3924"/>
      <c r="B3924">
        <v>75211</v>
      </c>
      <c r="C3924" t="s">
        <v>589</v>
      </c>
      <c r="D3924" t="s">
        <v>920</v>
      </c>
      <c r="E3924" t="s">
        <v>1275</v>
      </c>
      <c r="F3924" t="s">
        <v>126</v>
      </c>
      <c r="G3924">
        <v>4830.4060778476869</v>
      </c>
      <c r="H3924" t="s">
        <v>248</v>
      </c>
      <c r="I3924">
        <v>0</v>
      </c>
      <c r="J3924">
        <v>0</v>
      </c>
      <c r="K3924">
        <v>0</v>
      </c>
      <c r="L3924">
        <v>0</v>
      </c>
      <c r="M3924" t="s">
        <v>188</v>
      </c>
      <c r="N3924">
        <v>12845.6562865662</v>
      </c>
      <c r="O3924" t="s">
        <v>248</v>
      </c>
      <c r="P3924" t="b">
        <v>1</v>
      </c>
      <c r="Q3924">
        <v>6524.8523364260127</v>
      </c>
      <c r="R3924">
        <v>33909.559466053382</v>
      </c>
      <c r="S3924">
        <v>4.3180488013591134</v>
      </c>
      <c r="T3924">
        <v>105.0176465852375</v>
      </c>
      <c r="U3924">
        <v>0</v>
      </c>
      <c r="V3924">
        <v>0</v>
      </c>
    </row>
    <row r="3925" spans="1:22" x14ac:dyDescent="0.2">
      <c r="A3925"/>
      <c r="B3925">
        <v>75212</v>
      </c>
      <c r="C3925" t="s">
        <v>590</v>
      </c>
      <c r="D3925" t="s">
        <v>920</v>
      </c>
      <c r="E3925" t="s">
        <v>1275</v>
      </c>
      <c r="F3925" t="s">
        <v>126</v>
      </c>
      <c r="G3925">
        <v>4833.3490666968864</v>
      </c>
      <c r="H3925" t="s">
        <v>248</v>
      </c>
      <c r="I3925">
        <v>0</v>
      </c>
      <c r="J3925">
        <v>0</v>
      </c>
      <c r="K3925">
        <v>0</v>
      </c>
      <c r="L3925">
        <v>0</v>
      </c>
      <c r="M3925" t="s">
        <v>188</v>
      </c>
      <c r="N3925">
        <v>12848.599275415399</v>
      </c>
      <c r="O3925" t="s">
        <v>248</v>
      </c>
      <c r="P3925" t="b">
        <v>1</v>
      </c>
      <c r="Q3925">
        <v>6524.0897607908773</v>
      </c>
      <c r="R3925">
        <v>33912.401940631884</v>
      </c>
      <c r="S3925">
        <v>4.3182431555747502</v>
      </c>
      <c r="T3925">
        <v>105.01758224904437</v>
      </c>
      <c r="U3925">
        <v>0</v>
      </c>
      <c r="V3925">
        <v>0</v>
      </c>
    </row>
    <row r="3926" spans="1:22" x14ac:dyDescent="0.2">
      <c r="A3926"/>
      <c r="B3926">
        <v>75213</v>
      </c>
      <c r="C3926" t="s">
        <v>591</v>
      </c>
      <c r="D3926" t="s">
        <v>920</v>
      </c>
      <c r="E3926" t="s">
        <v>1275</v>
      </c>
      <c r="F3926" t="s">
        <v>126</v>
      </c>
      <c r="G3926">
        <v>4852.8905126553873</v>
      </c>
      <c r="H3926" t="s">
        <v>248</v>
      </c>
      <c r="I3926">
        <v>0</v>
      </c>
      <c r="J3926">
        <v>0</v>
      </c>
      <c r="K3926">
        <v>0</v>
      </c>
      <c r="L3926">
        <v>0</v>
      </c>
      <c r="M3926" t="s">
        <v>188</v>
      </c>
      <c r="N3926">
        <v>12868.1407213739</v>
      </c>
      <c r="O3926" t="s">
        <v>248</v>
      </c>
      <c r="P3926" t="b">
        <v>1</v>
      </c>
      <c r="Q3926">
        <v>6519.0264672506028</v>
      </c>
      <c r="R3926">
        <v>33931.27602783082</v>
      </c>
      <c r="S3926">
        <v>4.319263006180849</v>
      </c>
      <c r="T3926">
        <v>105.01607333387845</v>
      </c>
      <c r="U3926">
        <v>0</v>
      </c>
      <c r="V3926">
        <v>0</v>
      </c>
    </row>
    <row r="3927" spans="1:22" x14ac:dyDescent="0.2">
      <c r="A3927"/>
      <c r="B3927">
        <v>75214</v>
      </c>
      <c r="C3927" t="s">
        <v>592</v>
      </c>
      <c r="D3927" t="s">
        <v>920</v>
      </c>
      <c r="E3927" t="s">
        <v>1275</v>
      </c>
      <c r="F3927" t="s">
        <v>126</v>
      </c>
      <c r="G3927">
        <v>4855.8335015045868</v>
      </c>
      <c r="H3927" t="s">
        <v>248</v>
      </c>
      <c r="I3927">
        <v>0</v>
      </c>
      <c r="J3927">
        <v>0</v>
      </c>
      <c r="K3927">
        <v>0</v>
      </c>
      <c r="L3927">
        <v>0</v>
      </c>
      <c r="M3927" t="s">
        <v>188</v>
      </c>
      <c r="N3927">
        <v>12871.0837102231</v>
      </c>
      <c r="O3927" t="s">
        <v>248</v>
      </c>
      <c r="P3927" t="b">
        <v>1</v>
      </c>
      <c r="Q3927">
        <v>6518.2639777466229</v>
      </c>
      <c r="R3927">
        <v>33934.11852551948</v>
      </c>
      <c r="S3927">
        <v>4.3193758359107637</v>
      </c>
      <c r="T3927">
        <v>105.01568317755174</v>
      </c>
      <c r="U3927">
        <v>0</v>
      </c>
      <c r="V3927">
        <v>0</v>
      </c>
    </row>
    <row r="3928" spans="1:22" x14ac:dyDescent="0.2">
      <c r="A3928"/>
      <c r="B3928">
        <v>75215</v>
      </c>
      <c r="C3928" t="s">
        <v>593</v>
      </c>
      <c r="D3928" t="s">
        <v>920</v>
      </c>
      <c r="E3928" t="s">
        <v>1275</v>
      </c>
      <c r="F3928" t="s">
        <v>126</v>
      </c>
      <c r="G3928">
        <v>4912.7509058474861</v>
      </c>
      <c r="H3928" t="s">
        <v>248</v>
      </c>
      <c r="I3928">
        <v>0</v>
      </c>
      <c r="J3928">
        <v>0</v>
      </c>
      <c r="K3928">
        <v>0</v>
      </c>
      <c r="L3928">
        <v>0</v>
      </c>
      <c r="M3928" t="s">
        <v>188</v>
      </c>
      <c r="N3928">
        <v>12928.001114565999</v>
      </c>
      <c r="O3928" t="s">
        <v>248</v>
      </c>
      <c r="P3928" t="b">
        <v>1</v>
      </c>
      <c r="Q3928">
        <v>6503.5239900514935</v>
      </c>
      <c r="R3928">
        <v>33989.094189747564</v>
      </c>
      <c r="S3928">
        <v>4.3194591537745186</v>
      </c>
      <c r="T3928">
        <v>104.99974948544057</v>
      </c>
      <c r="U3928">
        <v>0</v>
      </c>
      <c r="V3928">
        <v>0</v>
      </c>
    </row>
    <row r="3929" spans="1:22" x14ac:dyDescent="0.2">
      <c r="A3929"/>
      <c r="B3929">
        <v>75216</v>
      </c>
      <c r="C3929" t="s">
        <v>594</v>
      </c>
      <c r="D3929" t="s">
        <v>920</v>
      </c>
      <c r="E3929" t="s">
        <v>1275</v>
      </c>
      <c r="F3929" t="s">
        <v>126</v>
      </c>
      <c r="G3929">
        <v>4947.1838753827869</v>
      </c>
      <c r="H3929" t="s">
        <v>248</v>
      </c>
      <c r="I3929">
        <v>0</v>
      </c>
      <c r="J3929">
        <v>0</v>
      </c>
      <c r="K3929">
        <v>0</v>
      </c>
      <c r="L3929">
        <v>0</v>
      </c>
      <c r="M3929" t="s">
        <v>188</v>
      </c>
      <c r="N3929">
        <v>12962.4340841013</v>
      </c>
      <c r="O3929" t="s">
        <v>248</v>
      </c>
      <c r="P3929" t="b">
        <v>1</v>
      </c>
      <c r="Q3929">
        <v>6494.6169903308228</v>
      </c>
      <c r="R3929">
        <v>34022.355198964724</v>
      </c>
      <c r="S3929">
        <v>4.3175719191481807</v>
      </c>
      <c r="T3929">
        <v>104.98236623560514</v>
      </c>
      <c r="U3929">
        <v>0</v>
      </c>
      <c r="V3929">
        <v>0</v>
      </c>
    </row>
    <row r="3930" spans="1:22" x14ac:dyDescent="0.2">
      <c r="A3930"/>
      <c r="B3930">
        <v>75217</v>
      </c>
      <c r="C3930" t="s">
        <v>595</v>
      </c>
      <c r="D3930" t="s">
        <v>920</v>
      </c>
      <c r="E3930" t="s">
        <v>1275</v>
      </c>
      <c r="F3930" t="s">
        <v>126</v>
      </c>
      <c r="G3930">
        <v>4950.1268642319865</v>
      </c>
      <c r="H3930" t="s">
        <v>248</v>
      </c>
      <c r="I3930">
        <v>0</v>
      </c>
      <c r="J3930">
        <v>0</v>
      </c>
      <c r="K3930">
        <v>0</v>
      </c>
      <c r="L3930">
        <v>0</v>
      </c>
      <c r="M3930" t="s">
        <v>188</v>
      </c>
      <c r="N3930">
        <v>12965.377072950499</v>
      </c>
      <c r="O3930" t="s">
        <v>248</v>
      </c>
      <c r="P3930" t="b">
        <v>1</v>
      </c>
      <c r="Q3930">
        <v>6493.8562071009537</v>
      </c>
      <c r="R3930">
        <v>34025.198153799131</v>
      </c>
      <c r="S3930">
        <v>4.3173428576834016</v>
      </c>
      <c r="T3930">
        <v>104.98060968175487</v>
      </c>
      <c r="U3930">
        <v>0</v>
      </c>
      <c r="V3930">
        <v>0</v>
      </c>
    </row>
    <row r="3931" spans="1:22" x14ac:dyDescent="0.2">
      <c r="A3931"/>
      <c r="B3931">
        <v>75218</v>
      </c>
      <c r="C3931" t="s">
        <v>596</v>
      </c>
      <c r="D3931" t="s">
        <v>920</v>
      </c>
      <c r="E3931" t="s">
        <v>1275</v>
      </c>
      <c r="F3931" t="s">
        <v>126</v>
      </c>
      <c r="G3931">
        <v>4969.6683101904873</v>
      </c>
      <c r="H3931" t="s">
        <v>248</v>
      </c>
      <c r="I3931">
        <v>0</v>
      </c>
      <c r="J3931">
        <v>0</v>
      </c>
      <c r="K3931">
        <v>0</v>
      </c>
      <c r="L3931">
        <v>0</v>
      </c>
      <c r="M3931" t="s">
        <v>188</v>
      </c>
      <c r="N3931">
        <v>12984.918518909</v>
      </c>
      <c r="O3931" t="s">
        <v>248</v>
      </c>
      <c r="P3931" t="b">
        <v>1</v>
      </c>
      <c r="Q3931">
        <v>6488.8069450066996</v>
      </c>
      <c r="R3931">
        <v>34044.0759994826</v>
      </c>
      <c r="S3931">
        <v>4.3155512282087916</v>
      </c>
      <c r="T3931">
        <v>104.96786444134565</v>
      </c>
      <c r="U3931">
        <v>0</v>
      </c>
      <c r="V3931">
        <v>0</v>
      </c>
    </row>
    <row r="3932" spans="1:22" x14ac:dyDescent="0.2">
      <c r="A3932"/>
      <c r="B3932">
        <v>75219</v>
      </c>
      <c r="C3932" t="s">
        <v>597</v>
      </c>
      <c r="D3932" t="s">
        <v>920</v>
      </c>
      <c r="E3932" t="s">
        <v>1275</v>
      </c>
      <c r="F3932" t="s">
        <v>126</v>
      </c>
      <c r="G3932">
        <v>4972.6112990396869</v>
      </c>
      <c r="H3932" t="s">
        <v>248</v>
      </c>
      <c r="I3932">
        <v>0</v>
      </c>
      <c r="J3932">
        <v>0</v>
      </c>
      <c r="K3932">
        <v>0</v>
      </c>
      <c r="L3932">
        <v>0</v>
      </c>
      <c r="M3932" t="s">
        <v>188</v>
      </c>
      <c r="N3932">
        <v>12987.8615077582</v>
      </c>
      <c r="O3932" t="s">
        <v>248</v>
      </c>
      <c r="P3932" t="b">
        <v>1</v>
      </c>
      <c r="Q3932">
        <v>6488.0468894505093</v>
      </c>
      <c r="R3932">
        <v>34046.919148937101</v>
      </c>
      <c r="S3932">
        <v>4.3152406422582903</v>
      </c>
      <c r="T3932">
        <v>104.96578206736179</v>
      </c>
      <c r="U3932">
        <v>0</v>
      </c>
      <c r="V3932">
        <v>0</v>
      </c>
    </row>
    <row r="3933" spans="1:22" x14ac:dyDescent="0.2">
      <c r="A3933"/>
      <c r="B3933">
        <v>75220</v>
      </c>
      <c r="C3933" t="s">
        <v>598</v>
      </c>
      <c r="D3933" t="s">
        <v>920</v>
      </c>
      <c r="E3933" t="s">
        <v>1275</v>
      </c>
      <c r="F3933" t="s">
        <v>126</v>
      </c>
      <c r="G3933">
        <v>5024.0351241974877</v>
      </c>
      <c r="H3933" t="s">
        <v>248</v>
      </c>
      <c r="I3933">
        <v>0</v>
      </c>
      <c r="J3933">
        <v>0</v>
      </c>
      <c r="K3933">
        <v>0</v>
      </c>
      <c r="L3933">
        <v>0</v>
      </c>
      <c r="M3933" t="s">
        <v>188</v>
      </c>
      <c r="N3933">
        <v>13039.285332916001</v>
      </c>
      <c r="O3933" t="s">
        <v>248</v>
      </c>
      <c r="P3933" t="b">
        <v>1</v>
      </c>
      <c r="Q3933">
        <v>6474.7849102773216</v>
      </c>
      <c r="R3933">
        <v>34096.603447507252</v>
      </c>
      <c r="S3933">
        <v>4.30809145860127</v>
      </c>
      <c r="T3933">
        <v>104.92251308713244</v>
      </c>
      <c r="U3933">
        <v>0</v>
      </c>
      <c r="V3933">
        <v>0</v>
      </c>
    </row>
    <row r="3934" spans="1:22" x14ac:dyDescent="0.2">
      <c r="A3934"/>
      <c r="B3934">
        <v>75221</v>
      </c>
      <c r="C3934" t="s">
        <v>599</v>
      </c>
      <c r="D3934" t="s">
        <v>920</v>
      </c>
      <c r="E3934" t="s">
        <v>1275</v>
      </c>
      <c r="F3934" t="s">
        <v>126</v>
      </c>
      <c r="G3934">
        <v>5103.1426644632866</v>
      </c>
      <c r="H3934" t="s">
        <v>248</v>
      </c>
      <c r="I3934">
        <v>0</v>
      </c>
      <c r="J3934">
        <v>0</v>
      </c>
      <c r="K3934">
        <v>0</v>
      </c>
      <c r="L3934">
        <v>0</v>
      </c>
      <c r="M3934" t="s">
        <v>188</v>
      </c>
      <c r="N3934">
        <v>13118.3928731818</v>
      </c>
      <c r="O3934" t="s">
        <v>248</v>
      </c>
      <c r="P3934" t="b">
        <v>1</v>
      </c>
      <c r="Q3934">
        <v>6454.4787562207948</v>
      </c>
      <c r="R3934">
        <v>34173.056811333161</v>
      </c>
      <c r="S3934">
        <v>4.942406264761761</v>
      </c>
      <c r="T3934">
        <v>104.81745668458068</v>
      </c>
      <c r="U3934">
        <v>0</v>
      </c>
      <c r="V3934">
        <v>0</v>
      </c>
    </row>
    <row r="3935" spans="1:22" x14ac:dyDescent="0.2">
      <c r="A3935"/>
      <c r="B3935">
        <v>75222</v>
      </c>
      <c r="C3935" t="s">
        <v>600</v>
      </c>
      <c r="D3935" t="s">
        <v>920</v>
      </c>
      <c r="E3935" t="s">
        <v>1275</v>
      </c>
      <c r="F3935" t="s">
        <v>126</v>
      </c>
      <c r="G3935">
        <v>5123.7435864074869</v>
      </c>
      <c r="H3935" t="s">
        <v>248</v>
      </c>
      <c r="I3935">
        <v>0</v>
      </c>
      <c r="J3935">
        <v>0</v>
      </c>
      <c r="K3935">
        <v>0</v>
      </c>
      <c r="L3935">
        <v>0</v>
      </c>
      <c r="M3935" t="s">
        <v>188</v>
      </c>
      <c r="N3935">
        <v>13138.993795126</v>
      </c>
      <c r="O3935" t="s">
        <v>248</v>
      </c>
      <c r="P3935" t="b">
        <v>1</v>
      </c>
      <c r="Q3935">
        <v>6449.2160852725156</v>
      </c>
      <c r="R3935">
        <v>34192.972205448626</v>
      </c>
      <c r="S3935">
        <v>5.2240864685759369</v>
      </c>
      <c r="T3935">
        <v>104.78717955267852</v>
      </c>
      <c r="U3935">
        <v>0</v>
      </c>
      <c r="V3935">
        <v>0</v>
      </c>
    </row>
    <row r="3936" spans="1:22" x14ac:dyDescent="0.2">
      <c r="A3936"/>
      <c r="B3936">
        <v>75223</v>
      </c>
      <c r="C3936" t="s">
        <v>601</v>
      </c>
      <c r="D3936" t="s">
        <v>920</v>
      </c>
      <c r="E3936" t="s">
        <v>1275</v>
      </c>
      <c r="F3936" t="s">
        <v>126</v>
      </c>
      <c r="G3936">
        <v>5241.4631403742878</v>
      </c>
      <c r="H3936" t="s">
        <v>248</v>
      </c>
      <c r="I3936">
        <v>0</v>
      </c>
      <c r="J3936">
        <v>0</v>
      </c>
      <c r="K3936">
        <v>0</v>
      </c>
      <c r="L3936">
        <v>0</v>
      </c>
      <c r="M3936" t="s">
        <v>188</v>
      </c>
      <c r="N3936">
        <v>13256.713349092801</v>
      </c>
      <c r="O3936" t="s">
        <v>248</v>
      </c>
      <c r="P3936" t="b">
        <v>1</v>
      </c>
      <c r="Q3936">
        <v>6427.0375897527983</v>
      </c>
      <c r="R3936">
        <v>34308.382245970053</v>
      </c>
      <c r="S3936">
        <v>6.0766848092836661</v>
      </c>
      <c r="T3936">
        <v>94.749609832124591</v>
      </c>
      <c r="U3936">
        <v>0</v>
      </c>
      <c r="V3936">
        <v>0</v>
      </c>
    </row>
    <row r="3937" spans="1:22" x14ac:dyDescent="0.2">
      <c r="A3937"/>
      <c r="B3937">
        <v>75224</v>
      </c>
      <c r="C3937" t="s">
        <v>602</v>
      </c>
      <c r="D3937" t="s">
        <v>920</v>
      </c>
      <c r="E3937" t="s">
        <v>1275</v>
      </c>
      <c r="F3937" t="s">
        <v>126</v>
      </c>
      <c r="G3937">
        <v>5437.6623969856864</v>
      </c>
      <c r="H3937" t="s">
        <v>248</v>
      </c>
      <c r="I3937">
        <v>0</v>
      </c>
      <c r="J3937">
        <v>0</v>
      </c>
      <c r="K3937">
        <v>0</v>
      </c>
      <c r="L3937">
        <v>0</v>
      </c>
      <c r="M3937" t="s">
        <v>188</v>
      </c>
      <c r="N3937">
        <v>13452.912605704199</v>
      </c>
      <c r="O3937" t="s">
        <v>248</v>
      </c>
      <c r="P3937" t="b">
        <v>1</v>
      </c>
      <c r="Q3937">
        <v>6431.3982014781095</v>
      </c>
      <c r="R3937">
        <v>34504.36583445625</v>
      </c>
      <c r="S3937">
        <v>2.1552481732551376</v>
      </c>
      <c r="T3937">
        <v>87.268070508410844</v>
      </c>
      <c r="U3937">
        <v>0</v>
      </c>
      <c r="V3937">
        <v>0</v>
      </c>
    </row>
    <row r="3938" spans="1:22" x14ac:dyDescent="0.2">
      <c r="A3938"/>
      <c r="B3938">
        <v>75225</v>
      </c>
      <c r="C3938" t="s">
        <v>603</v>
      </c>
      <c r="D3938" t="s">
        <v>920</v>
      </c>
      <c r="E3938" t="s">
        <v>1275</v>
      </c>
      <c r="F3938" t="s">
        <v>126</v>
      </c>
      <c r="G3938">
        <v>5535.7620252914876</v>
      </c>
      <c r="H3938" t="s">
        <v>248</v>
      </c>
      <c r="I3938">
        <v>0</v>
      </c>
      <c r="J3938">
        <v>0</v>
      </c>
      <c r="K3938">
        <v>0</v>
      </c>
      <c r="L3938">
        <v>0</v>
      </c>
      <c r="M3938" t="s">
        <v>188</v>
      </c>
      <c r="N3938">
        <v>13551.012234010001</v>
      </c>
      <c r="O3938" t="s">
        <v>248</v>
      </c>
      <c r="P3938" t="b">
        <v>1</v>
      </c>
      <c r="Q3938">
        <v>6436.0755962806061</v>
      </c>
      <c r="R3938">
        <v>34602.33240981077</v>
      </c>
      <c r="S3938">
        <v>0.10372352124603545</v>
      </c>
      <c r="T3938">
        <v>87.294876855961121</v>
      </c>
      <c r="U3938">
        <v>0</v>
      </c>
      <c r="V3938">
        <v>0</v>
      </c>
    </row>
    <row r="3939" spans="1:22" x14ac:dyDescent="0.2">
      <c r="A3939"/>
      <c r="B3939">
        <v>75226</v>
      </c>
      <c r="C3939" t="s">
        <v>604</v>
      </c>
      <c r="D3939" t="s">
        <v>920</v>
      </c>
      <c r="E3939" t="s">
        <v>1275</v>
      </c>
      <c r="F3939" t="s">
        <v>126</v>
      </c>
      <c r="G3939">
        <v>5726.0753042045872</v>
      </c>
      <c r="H3939" t="s">
        <v>248</v>
      </c>
      <c r="I3939">
        <v>0</v>
      </c>
      <c r="J3939">
        <v>0</v>
      </c>
      <c r="K3939">
        <v>0</v>
      </c>
      <c r="L3939">
        <v>0</v>
      </c>
      <c r="M3939" t="s">
        <v>188</v>
      </c>
      <c r="N3939">
        <v>13741.3255129231</v>
      </c>
      <c r="O3939" t="s">
        <v>248</v>
      </c>
      <c r="P3939" t="b">
        <v>1</v>
      </c>
      <c r="Q3939">
        <v>6444.4746471792714</v>
      </c>
      <c r="R3939">
        <v>34792.440796954303</v>
      </c>
      <c r="S3939">
        <v>-2.0984526762007158</v>
      </c>
      <c r="T3939">
        <v>87.661631224870391</v>
      </c>
      <c r="U3939">
        <v>0</v>
      </c>
      <c r="V3939">
        <v>0</v>
      </c>
    </row>
    <row r="3940" spans="1:22" x14ac:dyDescent="0.2">
      <c r="A3940"/>
      <c r="B3940">
        <v>75227</v>
      </c>
      <c r="C3940" t="s">
        <v>605</v>
      </c>
      <c r="D3940" t="s">
        <v>920</v>
      </c>
      <c r="E3940" t="s">
        <v>1275</v>
      </c>
      <c r="F3940" t="s">
        <v>126</v>
      </c>
      <c r="G3940">
        <v>5843.7948581713863</v>
      </c>
      <c r="H3940" t="s">
        <v>248</v>
      </c>
      <c r="I3940">
        <v>0</v>
      </c>
      <c r="J3940">
        <v>0</v>
      </c>
      <c r="K3940">
        <v>0</v>
      </c>
      <c r="L3940">
        <v>0</v>
      </c>
      <c r="M3940" t="s">
        <v>188</v>
      </c>
      <c r="N3940">
        <v>13859.045066889899</v>
      </c>
      <c r="O3940" t="s">
        <v>248</v>
      </c>
      <c r="P3940" t="b">
        <v>1</v>
      </c>
      <c r="Q3940">
        <v>6448.9945068568013</v>
      </c>
      <c r="R3940">
        <v>34910.073427667434</v>
      </c>
      <c r="S3940">
        <v>-2.1052511103301663</v>
      </c>
      <c r="T3940">
        <v>87.945049222335356</v>
      </c>
      <c r="U3940">
        <v>0</v>
      </c>
      <c r="V3940">
        <v>0</v>
      </c>
    </row>
    <row r="3941" spans="1:22" x14ac:dyDescent="0.2">
      <c r="A3941"/>
      <c r="B3941">
        <v>75228</v>
      </c>
      <c r="C3941" t="s">
        <v>606</v>
      </c>
      <c r="D3941" t="s">
        <v>920</v>
      </c>
      <c r="E3941" t="s">
        <v>1275</v>
      </c>
      <c r="F3941" t="s">
        <v>126</v>
      </c>
      <c r="G3941">
        <v>5864.3957801155866</v>
      </c>
      <c r="H3941" t="s">
        <v>248</v>
      </c>
      <c r="I3941">
        <v>0</v>
      </c>
      <c r="J3941">
        <v>0</v>
      </c>
      <c r="K3941">
        <v>0</v>
      </c>
      <c r="L3941">
        <v>0</v>
      </c>
      <c r="M3941" t="s">
        <v>188</v>
      </c>
      <c r="N3941">
        <v>13879.6459888341</v>
      </c>
      <c r="O3941" t="s">
        <v>248</v>
      </c>
      <c r="P3941" t="b">
        <v>1</v>
      </c>
      <c r="Q3941">
        <v>6449.7235103315452</v>
      </c>
      <c r="R3941">
        <v>34930.661445996804</v>
      </c>
      <c r="S3941">
        <v>-2.1023640623282995</v>
      </c>
      <c r="T3941">
        <v>87.999290308065454</v>
      </c>
      <c r="U3941">
        <v>0</v>
      </c>
      <c r="V3941">
        <v>0</v>
      </c>
    </row>
    <row r="3942" spans="1:22" x14ac:dyDescent="0.2">
      <c r="A3942"/>
      <c r="B3942">
        <v>75229</v>
      </c>
      <c r="C3942" t="s">
        <v>607</v>
      </c>
      <c r="D3942" t="s">
        <v>920</v>
      </c>
      <c r="E3942" t="s">
        <v>1275</v>
      </c>
      <c r="F3942" t="s">
        <v>126</v>
      </c>
      <c r="G3942">
        <v>5957.5021373405871</v>
      </c>
      <c r="H3942" t="s">
        <v>248</v>
      </c>
      <c r="I3942">
        <v>0</v>
      </c>
      <c r="J3942">
        <v>0</v>
      </c>
      <c r="K3942">
        <v>0</v>
      </c>
      <c r="L3942">
        <v>0</v>
      </c>
      <c r="M3942" t="s">
        <v>188</v>
      </c>
      <c r="N3942">
        <v>13972.7523460591</v>
      </c>
      <c r="O3942" t="s">
        <v>248</v>
      </c>
      <c r="P3942" t="b">
        <v>1</v>
      </c>
      <c r="Q3942">
        <v>6452.8132922503719</v>
      </c>
      <c r="R3942">
        <v>35023.716490973755</v>
      </c>
      <c r="S3942">
        <v>-2.0858018713256139</v>
      </c>
      <c r="T3942">
        <v>88.116712757234623</v>
      </c>
      <c r="U3942">
        <v>0</v>
      </c>
      <c r="V3942">
        <v>0</v>
      </c>
    </row>
    <row r="3943" spans="1:22" x14ac:dyDescent="0.2">
      <c r="A3943"/>
      <c r="B3943">
        <v>75230</v>
      </c>
      <c r="C3943" t="s">
        <v>608</v>
      </c>
      <c r="D3943" t="s">
        <v>920</v>
      </c>
      <c r="E3943" t="s">
        <v>1275</v>
      </c>
      <c r="F3943" t="s">
        <v>126</v>
      </c>
      <c r="G3943">
        <v>5972.0797421067873</v>
      </c>
      <c r="H3943" t="s">
        <v>248</v>
      </c>
      <c r="I3943">
        <v>0</v>
      </c>
      <c r="J3943">
        <v>0</v>
      </c>
      <c r="K3943">
        <v>0</v>
      </c>
      <c r="L3943">
        <v>0</v>
      </c>
      <c r="M3943" t="s">
        <v>188</v>
      </c>
      <c r="N3943">
        <v>13987.3299508253</v>
      </c>
      <c r="O3943" t="s">
        <v>248</v>
      </c>
      <c r="P3943" t="b">
        <v>1</v>
      </c>
      <c r="Q3943">
        <v>6453.2939807411212</v>
      </c>
      <c r="R3943">
        <v>35038.286168276623</v>
      </c>
      <c r="S3943">
        <v>-2.084493792447986</v>
      </c>
      <c r="T3943">
        <v>88.103992209450624</v>
      </c>
      <c r="U3943">
        <v>0</v>
      </c>
      <c r="V3943">
        <v>0</v>
      </c>
    </row>
    <row r="3944" spans="1:22" x14ac:dyDescent="0.2">
      <c r="A3944"/>
      <c r="B3944">
        <v>75231</v>
      </c>
      <c r="C3944" t="s">
        <v>609</v>
      </c>
      <c r="D3944" t="s">
        <v>920</v>
      </c>
      <c r="E3944" t="s">
        <v>1275</v>
      </c>
      <c r="F3944" t="s">
        <v>126</v>
      </c>
      <c r="G3944">
        <v>5975.0227309559868</v>
      </c>
      <c r="H3944" t="s">
        <v>248</v>
      </c>
      <c r="I3944">
        <v>0</v>
      </c>
      <c r="J3944">
        <v>0</v>
      </c>
      <c r="K3944">
        <v>0</v>
      </c>
      <c r="L3944">
        <v>0</v>
      </c>
      <c r="M3944" t="s">
        <v>188</v>
      </c>
      <c r="N3944">
        <v>13990.2729396745</v>
      </c>
      <c r="O3944" t="s">
        <v>248</v>
      </c>
      <c r="P3944" t="b">
        <v>1</v>
      </c>
      <c r="Q3944">
        <v>6453.3914173211124</v>
      </c>
      <c r="R3944">
        <v>35041.227543703644</v>
      </c>
      <c r="S3944">
        <v>-2.084219404794069</v>
      </c>
      <c r="T3944">
        <v>88.101412224470195</v>
      </c>
      <c r="U3944">
        <v>0</v>
      </c>
      <c r="V3944">
        <v>0</v>
      </c>
    </row>
    <row r="3945" spans="1:22" x14ac:dyDescent="0.2">
      <c r="A3945"/>
      <c r="B3945">
        <v>75232</v>
      </c>
      <c r="C3945" t="s">
        <v>610</v>
      </c>
      <c r="D3945" t="s">
        <v>920</v>
      </c>
      <c r="E3945" t="s">
        <v>1275</v>
      </c>
      <c r="F3945" t="s">
        <v>126</v>
      </c>
      <c r="G3945">
        <v>5994.5641769144877</v>
      </c>
      <c r="H3945" t="s">
        <v>248</v>
      </c>
      <c r="I3945">
        <v>0</v>
      </c>
      <c r="J3945">
        <v>0</v>
      </c>
      <c r="K3945">
        <v>0</v>
      </c>
      <c r="L3945">
        <v>0</v>
      </c>
      <c r="M3945" t="s">
        <v>188</v>
      </c>
      <c r="N3945">
        <v>14009.814385633001</v>
      </c>
      <c r="O3945" t="s">
        <v>248</v>
      </c>
      <c r="P3945" t="b">
        <v>1</v>
      </c>
      <c r="Q3945">
        <v>6454.0418969430748</v>
      </c>
      <c r="R3945">
        <v>35060.758160178695</v>
      </c>
      <c r="S3945">
        <v>-2.0824680934420274</v>
      </c>
      <c r="T3945">
        <v>88.082363621640496</v>
      </c>
      <c r="U3945">
        <v>0</v>
      </c>
      <c r="V3945">
        <v>0</v>
      </c>
    </row>
    <row r="3946" spans="1:22" x14ac:dyDescent="0.2">
      <c r="A3946"/>
      <c r="B3946">
        <v>75233</v>
      </c>
      <c r="C3946" t="s">
        <v>611</v>
      </c>
      <c r="D3946" t="s">
        <v>920</v>
      </c>
      <c r="E3946" t="s">
        <v>1275</v>
      </c>
      <c r="F3946" t="s">
        <v>126</v>
      </c>
      <c r="G3946">
        <v>5997.5071657635872</v>
      </c>
      <c r="H3946" t="s">
        <v>248</v>
      </c>
      <c r="I3946">
        <v>0</v>
      </c>
      <c r="J3946">
        <v>0</v>
      </c>
      <c r="K3946">
        <v>0</v>
      </c>
      <c r="L3946">
        <v>0</v>
      </c>
      <c r="M3946" t="s">
        <v>188</v>
      </c>
      <c r="N3946">
        <v>14012.7573744821</v>
      </c>
      <c r="O3946" t="s">
        <v>248</v>
      </c>
      <c r="P3946" t="b">
        <v>1</v>
      </c>
      <c r="Q3946">
        <v>6454.1404689370138</v>
      </c>
      <c r="R3946">
        <v>35063.699497778965</v>
      </c>
      <c r="S3946">
        <v>-2.0822529125253157</v>
      </c>
      <c r="T3946">
        <v>88.078771293827018</v>
      </c>
      <c r="U3946">
        <v>0</v>
      </c>
      <c r="V3946">
        <v>0</v>
      </c>
    </row>
    <row r="3947" spans="1:22" x14ac:dyDescent="0.2">
      <c r="A3947"/>
      <c r="B3947">
        <v>75234</v>
      </c>
      <c r="C3947" t="s">
        <v>612</v>
      </c>
      <c r="D3947" t="s">
        <v>920</v>
      </c>
      <c r="E3947" t="s">
        <v>1275</v>
      </c>
      <c r="F3947" t="s">
        <v>126</v>
      </c>
      <c r="G3947">
        <v>6054.4245701065865</v>
      </c>
      <c r="H3947" t="s">
        <v>248</v>
      </c>
      <c r="I3947">
        <v>0</v>
      </c>
      <c r="J3947">
        <v>0</v>
      </c>
      <c r="K3947">
        <v>0</v>
      </c>
      <c r="L3947">
        <v>0</v>
      </c>
      <c r="M3947" t="s">
        <v>188</v>
      </c>
      <c r="N3947">
        <v>14069.6747788251</v>
      </c>
      <c r="O3947" t="s">
        <v>248</v>
      </c>
      <c r="P3947" t="b">
        <v>1</v>
      </c>
      <c r="Q3947">
        <v>6456.0975016799821</v>
      </c>
      <c r="R3947">
        <v>35120.583237973995</v>
      </c>
      <c r="S3947">
        <v>-2.0810369686915027</v>
      </c>
      <c r="T3947">
        <v>87.966942176515545</v>
      </c>
      <c r="U3947">
        <v>0</v>
      </c>
      <c r="V3947">
        <v>0</v>
      </c>
    </row>
    <row r="3948" spans="1:22" x14ac:dyDescent="0.2">
      <c r="A3948"/>
      <c r="B3948">
        <v>75235</v>
      </c>
      <c r="C3948" t="s">
        <v>613</v>
      </c>
      <c r="D3948" t="s">
        <v>920</v>
      </c>
      <c r="E3948" t="s">
        <v>1275</v>
      </c>
      <c r="F3948" t="s">
        <v>126</v>
      </c>
      <c r="G3948">
        <v>6088.8575396418873</v>
      </c>
      <c r="H3948" t="s">
        <v>248</v>
      </c>
      <c r="I3948">
        <v>0</v>
      </c>
      <c r="J3948">
        <v>0</v>
      </c>
      <c r="K3948">
        <v>0</v>
      </c>
      <c r="L3948">
        <v>0</v>
      </c>
      <c r="M3948" t="s">
        <v>188</v>
      </c>
      <c r="N3948">
        <v>14104.1077483604</v>
      </c>
      <c r="O3948" t="s">
        <v>248</v>
      </c>
      <c r="P3948" t="b">
        <v>1</v>
      </c>
      <c r="Q3948">
        <v>6457.3496310551282</v>
      </c>
      <c r="R3948">
        <v>35154.993428547859</v>
      </c>
      <c r="S3948">
        <v>-2.0830208238440053</v>
      </c>
      <c r="T3948">
        <v>87.860188466773138</v>
      </c>
      <c r="U3948">
        <v>0</v>
      </c>
      <c r="V3948">
        <v>0</v>
      </c>
    </row>
    <row r="3949" spans="1:22" x14ac:dyDescent="0.2">
      <c r="A3949"/>
      <c r="B3949">
        <v>75236</v>
      </c>
      <c r="C3949" t="s">
        <v>614</v>
      </c>
      <c r="D3949" t="s">
        <v>920</v>
      </c>
      <c r="E3949" t="s">
        <v>1275</v>
      </c>
      <c r="F3949" t="s">
        <v>126</v>
      </c>
      <c r="G3949">
        <v>6091.8005284910869</v>
      </c>
      <c r="H3949" t="s">
        <v>248</v>
      </c>
      <c r="I3949">
        <v>0</v>
      </c>
      <c r="J3949">
        <v>0</v>
      </c>
      <c r="K3949">
        <v>0</v>
      </c>
      <c r="L3949">
        <v>0</v>
      </c>
      <c r="M3949" t="s">
        <v>188</v>
      </c>
      <c r="N3949">
        <v>14107.0507372096</v>
      </c>
      <c r="O3949" t="s">
        <v>248</v>
      </c>
      <c r="P3949" t="b">
        <v>1</v>
      </c>
      <c r="Q3949">
        <v>6457.459784935043</v>
      </c>
      <c r="R3949">
        <v>35157.934355169695</v>
      </c>
      <c r="S3949">
        <v>-2.0832854836007999</v>
      </c>
      <c r="T3949">
        <v>87.849696849544486</v>
      </c>
      <c r="U3949">
        <v>0</v>
      </c>
      <c r="V3949">
        <v>0</v>
      </c>
    </row>
    <row r="3950" spans="1:22" x14ac:dyDescent="0.2">
      <c r="A3950"/>
      <c r="B3950">
        <v>75237</v>
      </c>
      <c r="C3950" t="s">
        <v>615</v>
      </c>
      <c r="D3950" t="s">
        <v>920</v>
      </c>
      <c r="E3950" t="s">
        <v>1275</v>
      </c>
      <c r="F3950" t="s">
        <v>126</v>
      </c>
      <c r="G3950">
        <v>6111.3419744495877</v>
      </c>
      <c r="H3950" t="s">
        <v>248</v>
      </c>
      <c r="I3950">
        <v>0</v>
      </c>
      <c r="J3950">
        <v>0</v>
      </c>
      <c r="K3950">
        <v>0</v>
      </c>
      <c r="L3950">
        <v>0</v>
      </c>
      <c r="M3950" t="s">
        <v>188</v>
      </c>
      <c r="N3950">
        <v>14126.592183168101</v>
      </c>
      <c r="O3950" t="s">
        <v>248</v>
      </c>
      <c r="P3950" t="b">
        <v>1</v>
      </c>
      <c r="Q3950">
        <v>6458.2055332051768</v>
      </c>
      <c r="R3950">
        <v>35177.461564656398</v>
      </c>
      <c r="S3950">
        <v>-2.0854226956835435</v>
      </c>
      <c r="T3950">
        <v>87.774570616760101</v>
      </c>
      <c r="U3950">
        <v>0</v>
      </c>
      <c r="V3950">
        <v>0</v>
      </c>
    </row>
    <row r="3951" spans="1:22" x14ac:dyDescent="0.2">
      <c r="A3951"/>
      <c r="B3951">
        <v>75238</v>
      </c>
      <c r="C3951" t="s">
        <v>616</v>
      </c>
      <c r="D3951" t="s">
        <v>920</v>
      </c>
      <c r="E3951" t="s">
        <v>1275</v>
      </c>
      <c r="F3951" t="s">
        <v>126</v>
      </c>
      <c r="G3951">
        <v>6114.2849632987873</v>
      </c>
      <c r="H3951" t="s">
        <v>248</v>
      </c>
      <c r="I3951">
        <v>0</v>
      </c>
      <c r="J3951">
        <v>0</v>
      </c>
      <c r="K3951">
        <v>0</v>
      </c>
      <c r="L3951">
        <v>0</v>
      </c>
      <c r="M3951" t="s">
        <v>188</v>
      </c>
      <c r="N3951">
        <v>14129.5351720173</v>
      </c>
      <c r="O3951" t="s">
        <v>248</v>
      </c>
      <c r="P3951" t="b">
        <v>1</v>
      </c>
      <c r="Q3951">
        <v>6458.3201238453148</v>
      </c>
      <c r="R3951">
        <v>35180.402321731643</v>
      </c>
      <c r="S3951">
        <v>-2.0858017744722264</v>
      </c>
      <c r="T3951">
        <v>87.762433850619743</v>
      </c>
      <c r="U3951">
        <v>0</v>
      </c>
      <c r="V3951">
        <v>0</v>
      </c>
    </row>
    <row r="3952" spans="1:22" x14ac:dyDescent="0.2">
      <c r="A3952"/>
      <c r="B3952">
        <v>75239</v>
      </c>
      <c r="C3952" t="s">
        <v>617</v>
      </c>
      <c r="D3952" t="s">
        <v>920</v>
      </c>
      <c r="E3952" t="s">
        <v>1275</v>
      </c>
      <c r="F3952" t="s">
        <v>126</v>
      </c>
      <c r="G3952">
        <v>6165.7087884565863</v>
      </c>
      <c r="H3952" t="s">
        <v>248</v>
      </c>
      <c r="I3952">
        <v>0</v>
      </c>
      <c r="J3952">
        <v>0</v>
      </c>
      <c r="K3952">
        <v>0</v>
      </c>
      <c r="L3952">
        <v>0</v>
      </c>
      <c r="M3952" t="s">
        <v>188</v>
      </c>
      <c r="N3952">
        <v>14180.958997175099</v>
      </c>
      <c r="O3952" t="s">
        <v>248</v>
      </c>
      <c r="P3952" t="b">
        <v>1</v>
      </c>
      <c r="Q3952">
        <v>6460.4333151229648</v>
      </c>
      <c r="R3952">
        <v>35231.782669240718</v>
      </c>
      <c r="S3952">
        <v>-2.0945272446866037</v>
      </c>
      <c r="T3952">
        <v>87.528286756781569</v>
      </c>
      <c r="U3952">
        <v>0</v>
      </c>
      <c r="V3952">
        <v>0</v>
      </c>
    </row>
    <row r="3953" spans="1:22" x14ac:dyDescent="0.2">
      <c r="A3953"/>
      <c r="B3953">
        <v>75240</v>
      </c>
      <c r="C3953" t="s">
        <v>618</v>
      </c>
      <c r="D3953" t="s">
        <v>920</v>
      </c>
      <c r="E3953" t="s">
        <v>1275</v>
      </c>
      <c r="F3953" t="s">
        <v>126</v>
      </c>
      <c r="G3953">
        <v>6244.0413416586871</v>
      </c>
      <c r="H3953" t="s">
        <v>248</v>
      </c>
      <c r="I3953">
        <v>0</v>
      </c>
      <c r="J3953">
        <v>0</v>
      </c>
      <c r="K3953">
        <v>0</v>
      </c>
      <c r="L3953">
        <v>0</v>
      </c>
      <c r="M3953" t="s">
        <v>188</v>
      </c>
      <c r="N3953">
        <v>14259.2915503772</v>
      </c>
      <c r="O3953" t="s">
        <v>248</v>
      </c>
      <c r="P3953" t="b">
        <v>1</v>
      </c>
      <c r="Q3953">
        <v>6470.4098820357867</v>
      </c>
      <c r="R3953">
        <v>35309.378708365337</v>
      </c>
      <c r="S3953">
        <v>-2.9802081596811032</v>
      </c>
      <c r="T3953">
        <v>78.641037116465199</v>
      </c>
      <c r="U3953">
        <v>0</v>
      </c>
      <c r="V3953">
        <v>0</v>
      </c>
    </row>
    <row r="3954" spans="1:22" x14ac:dyDescent="0.2">
      <c r="A3954"/>
      <c r="B3954">
        <v>75241</v>
      </c>
      <c r="C3954" t="s">
        <v>619</v>
      </c>
      <c r="D3954" t="s">
        <v>920</v>
      </c>
      <c r="E3954" t="s">
        <v>1275</v>
      </c>
      <c r="F3954" t="s">
        <v>126</v>
      </c>
      <c r="G3954">
        <v>6264.6422636028874</v>
      </c>
      <c r="H3954" t="s">
        <v>248</v>
      </c>
      <c r="I3954">
        <v>0</v>
      </c>
      <c r="J3954">
        <v>0</v>
      </c>
      <c r="K3954">
        <v>0</v>
      </c>
      <c r="L3954">
        <v>0</v>
      </c>
      <c r="M3954" t="s">
        <v>188</v>
      </c>
      <c r="N3954">
        <v>14279.8924723214</v>
      </c>
      <c r="O3954" t="s">
        <v>248</v>
      </c>
      <c r="P3954" t="b">
        <v>1</v>
      </c>
      <c r="Q3954">
        <v>6474.6687482742891</v>
      </c>
      <c r="R3954">
        <v>35329.529963846297</v>
      </c>
      <c r="S3954">
        <v>-3.3981209167052722</v>
      </c>
      <c r="T3954">
        <v>77.574444123542577</v>
      </c>
      <c r="U3954">
        <v>0</v>
      </c>
      <c r="V3954">
        <v>0</v>
      </c>
    </row>
    <row r="3955" spans="1:22" x14ac:dyDescent="0.2">
      <c r="A3955"/>
      <c r="B3955">
        <v>75242</v>
      </c>
      <c r="C3955" t="s">
        <v>620</v>
      </c>
      <c r="D3955" t="s">
        <v>920</v>
      </c>
      <c r="E3955" t="s">
        <v>1275</v>
      </c>
      <c r="F3955" t="s">
        <v>126</v>
      </c>
      <c r="G3955">
        <v>6382.3618175697866</v>
      </c>
      <c r="H3955" t="s">
        <v>248</v>
      </c>
      <c r="I3955">
        <v>0</v>
      </c>
      <c r="J3955">
        <v>0</v>
      </c>
      <c r="K3955">
        <v>0</v>
      </c>
      <c r="L3955">
        <v>0</v>
      </c>
      <c r="M3955" t="s">
        <v>188</v>
      </c>
      <c r="N3955">
        <v>14397.6120262883</v>
      </c>
      <c r="O3955" t="s">
        <v>248</v>
      </c>
      <c r="P3955" t="b">
        <v>1</v>
      </c>
      <c r="Q3955">
        <v>6500.2333570344563</v>
      </c>
      <c r="R3955">
        <v>35444.41002464186</v>
      </c>
      <c r="S3955">
        <v>-5.7410944276838825</v>
      </c>
      <c r="T3955">
        <v>78.449863094860618</v>
      </c>
      <c r="U3955">
        <v>0</v>
      </c>
      <c r="V3955">
        <v>0</v>
      </c>
    </row>
    <row r="3956" spans="1:22" x14ac:dyDescent="0.2">
      <c r="A3956"/>
      <c r="B3956">
        <v>75243</v>
      </c>
      <c r="C3956" t="s">
        <v>621</v>
      </c>
      <c r="D3956" t="s">
        <v>920</v>
      </c>
      <c r="E3956" t="s">
        <v>1275</v>
      </c>
      <c r="F3956" t="s">
        <v>126</v>
      </c>
      <c r="G3956">
        <v>6480.4614458754877</v>
      </c>
      <c r="H3956" t="s">
        <v>248</v>
      </c>
      <c r="I3956">
        <v>0</v>
      </c>
      <c r="J3956">
        <v>0</v>
      </c>
      <c r="K3956">
        <v>0</v>
      </c>
      <c r="L3956">
        <v>0</v>
      </c>
      <c r="M3956" t="s">
        <v>188</v>
      </c>
      <c r="N3956">
        <v>14495.711654594001</v>
      </c>
      <c r="O3956" t="s">
        <v>248</v>
      </c>
      <c r="P3956" t="b">
        <v>1</v>
      </c>
      <c r="Q3956">
        <v>6519.5647450733222</v>
      </c>
      <c r="R3956">
        <v>35540.577433576174</v>
      </c>
      <c r="S3956">
        <v>-6.8716156312272654</v>
      </c>
      <c r="T3956">
        <v>78.764912657966008</v>
      </c>
      <c r="U3956">
        <v>0</v>
      </c>
      <c r="V3956">
        <v>0</v>
      </c>
    </row>
    <row r="3957" spans="1:22" x14ac:dyDescent="0.2">
      <c r="A3957"/>
      <c r="B3957">
        <v>75244</v>
      </c>
      <c r="C3957" t="s">
        <v>622</v>
      </c>
      <c r="D3957" t="s">
        <v>920</v>
      </c>
      <c r="E3957" t="s">
        <v>1275</v>
      </c>
      <c r="F3957" t="s">
        <v>126</v>
      </c>
      <c r="G3957">
        <v>6667.8317359393877</v>
      </c>
      <c r="H3957" t="s">
        <v>248</v>
      </c>
      <c r="I3957">
        <v>0</v>
      </c>
      <c r="J3957">
        <v>0</v>
      </c>
      <c r="K3957">
        <v>0</v>
      </c>
      <c r="L3957">
        <v>0</v>
      </c>
      <c r="M3957" t="s">
        <v>188</v>
      </c>
      <c r="N3957">
        <v>14683.081944657901</v>
      </c>
      <c r="O3957" t="s">
        <v>248</v>
      </c>
      <c r="P3957" t="b">
        <v>1</v>
      </c>
      <c r="Q3957">
        <v>6556.6299252691751</v>
      </c>
      <c r="R3957">
        <v>35724.237351671843</v>
      </c>
      <c r="S3957">
        <v>-5.5914780855989523</v>
      </c>
      <c r="T3957">
        <v>77.798759540944104</v>
      </c>
      <c r="U3957">
        <v>0</v>
      </c>
      <c r="V3957">
        <v>0</v>
      </c>
    </row>
    <row r="3958" spans="1:22" x14ac:dyDescent="0.2">
      <c r="A3958"/>
      <c r="B3958">
        <v>75245</v>
      </c>
      <c r="C3958" t="s">
        <v>623</v>
      </c>
      <c r="D3958" t="s">
        <v>920</v>
      </c>
      <c r="E3958" t="s">
        <v>1275</v>
      </c>
      <c r="F3958" t="s">
        <v>126</v>
      </c>
      <c r="G3958">
        <v>6785.5512899062887</v>
      </c>
      <c r="H3958" t="s">
        <v>248</v>
      </c>
      <c r="I3958">
        <v>0</v>
      </c>
      <c r="J3958">
        <v>0</v>
      </c>
      <c r="K3958">
        <v>0</v>
      </c>
      <c r="L3958">
        <v>0</v>
      </c>
      <c r="M3958" t="s">
        <v>188</v>
      </c>
      <c r="N3958">
        <v>14800.8014986248</v>
      </c>
      <c r="O3958" t="s">
        <v>248</v>
      </c>
      <c r="P3958" t="b">
        <v>1</v>
      </c>
      <c r="Q3958">
        <v>6579.3514942749507</v>
      </c>
      <c r="R3958">
        <v>35839.690118696126</v>
      </c>
      <c r="S3958">
        <v>-4.5374074433976466</v>
      </c>
      <c r="T3958">
        <v>82.184273670873822</v>
      </c>
      <c r="U3958">
        <v>0</v>
      </c>
      <c r="V3958">
        <v>0</v>
      </c>
    </row>
    <row r="3959" spans="1:22" x14ac:dyDescent="0.2">
      <c r="A3959"/>
      <c r="B3959">
        <v>75246</v>
      </c>
      <c r="C3959" t="s">
        <v>624</v>
      </c>
      <c r="D3959" t="s">
        <v>920</v>
      </c>
      <c r="E3959" t="s">
        <v>1275</v>
      </c>
      <c r="F3959" t="s">
        <v>126</v>
      </c>
      <c r="G3959">
        <v>6806.1522118504872</v>
      </c>
      <c r="H3959" t="s">
        <v>248</v>
      </c>
      <c r="I3959">
        <v>0</v>
      </c>
      <c r="J3959">
        <v>0</v>
      </c>
      <c r="K3959">
        <v>0</v>
      </c>
      <c r="L3959">
        <v>0</v>
      </c>
      <c r="M3959" t="s">
        <v>188</v>
      </c>
      <c r="N3959">
        <v>14821.402420569</v>
      </c>
      <c r="O3959" t="s">
        <v>248</v>
      </c>
      <c r="P3959" t="b">
        <v>1</v>
      </c>
      <c r="Q3959">
        <v>6582.0141663589038</v>
      </c>
      <c r="R3959">
        <v>35860.117320354198</v>
      </c>
      <c r="S3959">
        <v>-4.3547815751490679</v>
      </c>
      <c r="T3959">
        <v>82.797696575096055</v>
      </c>
      <c r="U3959">
        <v>0</v>
      </c>
      <c r="V3959">
        <v>0</v>
      </c>
    </row>
    <row r="3960" spans="1:22" x14ac:dyDescent="0.2">
      <c r="A3960"/>
      <c r="B3960">
        <v>75247</v>
      </c>
      <c r="C3960" t="s">
        <v>625</v>
      </c>
      <c r="D3960" t="s">
        <v>920</v>
      </c>
      <c r="E3960" t="s">
        <v>1275</v>
      </c>
      <c r="F3960" t="s">
        <v>126</v>
      </c>
      <c r="G3960">
        <v>6899.6411576257888</v>
      </c>
      <c r="H3960" t="s">
        <v>248</v>
      </c>
      <c r="I3960">
        <v>0</v>
      </c>
      <c r="J3960">
        <v>0</v>
      </c>
      <c r="K3960">
        <v>0</v>
      </c>
      <c r="L3960">
        <v>0</v>
      </c>
      <c r="M3960" t="s">
        <v>188</v>
      </c>
      <c r="N3960">
        <v>14914.8913663443</v>
      </c>
      <c r="O3960" t="s">
        <v>248</v>
      </c>
      <c r="P3960" t="b">
        <v>1</v>
      </c>
      <c r="Q3960">
        <v>6597.1121714594246</v>
      </c>
      <c r="R3960">
        <v>35952.346259204838</v>
      </c>
      <c r="S3960">
        <v>-4.0017251609785633</v>
      </c>
      <c r="T3960">
        <v>79.036822076785171</v>
      </c>
      <c r="U3960">
        <v>0</v>
      </c>
      <c r="V3960">
        <v>0</v>
      </c>
    </row>
    <row r="3961" spans="1:22" x14ac:dyDescent="0.2">
      <c r="A3961"/>
      <c r="B3961">
        <v>75248</v>
      </c>
      <c r="C3961" t="s">
        <v>626</v>
      </c>
      <c r="D3961" t="s">
        <v>920</v>
      </c>
      <c r="E3961" t="s">
        <v>1275</v>
      </c>
      <c r="F3961" t="s">
        <v>126</v>
      </c>
      <c r="G3961">
        <v>6914.218762391989</v>
      </c>
      <c r="H3961" t="s">
        <v>248</v>
      </c>
      <c r="I3961">
        <v>0</v>
      </c>
      <c r="J3961">
        <v>0</v>
      </c>
      <c r="K3961">
        <v>0</v>
      </c>
      <c r="L3961">
        <v>0</v>
      </c>
      <c r="M3961" t="s">
        <v>188</v>
      </c>
      <c r="N3961">
        <v>14929.4689711105</v>
      </c>
      <c r="O3961" t="s">
        <v>248</v>
      </c>
      <c r="P3961" t="b">
        <v>1</v>
      </c>
      <c r="Q3961">
        <v>6599.8880791492811</v>
      </c>
      <c r="R3961">
        <v>35966.657125448524</v>
      </c>
      <c r="S3961">
        <v>-4.0010740063114243</v>
      </c>
      <c r="T3961">
        <v>79.009099942014217</v>
      </c>
      <c r="U3961">
        <v>0</v>
      </c>
      <c r="V3961">
        <v>0</v>
      </c>
    </row>
    <row r="3962" spans="1:22" x14ac:dyDescent="0.2">
      <c r="A3962"/>
      <c r="B3962">
        <v>75249</v>
      </c>
      <c r="C3962" t="s">
        <v>627</v>
      </c>
      <c r="D3962" t="s">
        <v>920</v>
      </c>
      <c r="E3962" t="s">
        <v>1275</v>
      </c>
      <c r="F3962" t="s">
        <v>126</v>
      </c>
      <c r="G3962">
        <v>6917.1617512411867</v>
      </c>
      <c r="H3962" t="s">
        <v>248</v>
      </c>
      <c r="I3962">
        <v>0</v>
      </c>
      <c r="J3962">
        <v>0</v>
      </c>
      <c r="K3962">
        <v>0</v>
      </c>
      <c r="L3962">
        <v>0</v>
      </c>
      <c r="M3962" t="s">
        <v>188</v>
      </c>
      <c r="N3962">
        <v>14932.4119599597</v>
      </c>
      <c r="O3962" t="s">
        <v>248</v>
      </c>
      <c r="P3962" t="b">
        <v>1</v>
      </c>
      <c r="Q3962">
        <v>6600.4492956747772</v>
      </c>
      <c r="R3962">
        <v>35969.546107857052</v>
      </c>
      <c r="S3962">
        <v>-4.0009484342260437</v>
      </c>
      <c r="T3962">
        <v>79.004111771420796</v>
      </c>
      <c r="U3962">
        <v>0</v>
      </c>
      <c r="V3962">
        <v>0</v>
      </c>
    </row>
    <row r="3963" spans="1:22" x14ac:dyDescent="0.2">
      <c r="A3963"/>
      <c r="B3963">
        <v>75250</v>
      </c>
      <c r="C3963" t="s">
        <v>628</v>
      </c>
      <c r="D3963" t="s">
        <v>920</v>
      </c>
      <c r="E3963" t="s">
        <v>1275</v>
      </c>
      <c r="F3963" t="s">
        <v>126</v>
      </c>
      <c r="G3963">
        <v>6936.7031971996876</v>
      </c>
      <c r="H3963" t="s">
        <v>248</v>
      </c>
      <c r="I3963">
        <v>0</v>
      </c>
      <c r="J3963">
        <v>0</v>
      </c>
      <c r="K3963">
        <v>0</v>
      </c>
      <c r="L3963">
        <v>0</v>
      </c>
      <c r="M3963" t="s">
        <v>188</v>
      </c>
      <c r="N3963">
        <v>14951.953405918201</v>
      </c>
      <c r="O3963" t="s">
        <v>248</v>
      </c>
      <c r="P3963" t="b">
        <v>1</v>
      </c>
      <c r="Q3963">
        <v>6604.1815305873433</v>
      </c>
      <c r="R3963">
        <v>35988.727831567739</v>
      </c>
      <c r="S3963">
        <v>-4.0001648017166334</v>
      </c>
      <c r="T3963">
        <v>78.976175405388787</v>
      </c>
      <c r="U3963">
        <v>0</v>
      </c>
      <c r="V3963">
        <v>0</v>
      </c>
    </row>
    <row r="3964" spans="1:22" x14ac:dyDescent="0.2">
      <c r="A3964"/>
      <c r="B3964">
        <v>75251</v>
      </c>
      <c r="C3964" t="s">
        <v>629</v>
      </c>
      <c r="D3964" t="s">
        <v>920</v>
      </c>
      <c r="E3964" t="s">
        <v>1275</v>
      </c>
      <c r="F3964" t="s">
        <v>126</v>
      </c>
      <c r="G3964">
        <v>6939.6461860488889</v>
      </c>
      <c r="H3964" t="s">
        <v>248</v>
      </c>
      <c r="I3964">
        <v>0</v>
      </c>
      <c r="J3964">
        <v>0</v>
      </c>
      <c r="K3964">
        <v>0</v>
      </c>
      <c r="L3964">
        <v>0</v>
      </c>
      <c r="M3964" t="s">
        <v>188</v>
      </c>
      <c r="N3964">
        <v>14954.8963947674</v>
      </c>
      <c r="O3964" t="s">
        <v>248</v>
      </c>
      <c r="P3964" t="b">
        <v>1</v>
      </c>
      <c r="Q3964">
        <v>6604.7443677799702</v>
      </c>
      <c r="R3964">
        <v>35991.616498673233</v>
      </c>
      <c r="S3964">
        <v>-4.0000543384773808</v>
      </c>
      <c r="T3964">
        <v>78.972749007900191</v>
      </c>
      <c r="U3964">
        <v>0</v>
      </c>
      <c r="V3964">
        <v>0</v>
      </c>
    </row>
    <row r="3965" spans="1:22" x14ac:dyDescent="0.2">
      <c r="A3965"/>
      <c r="B3965">
        <v>75252</v>
      </c>
      <c r="C3965" t="s">
        <v>630</v>
      </c>
      <c r="D3965" t="s">
        <v>920</v>
      </c>
      <c r="E3965" t="s">
        <v>1275</v>
      </c>
      <c r="F3965" t="s">
        <v>126</v>
      </c>
      <c r="G3965">
        <v>6996.5635903918883</v>
      </c>
      <c r="H3965" t="s">
        <v>248</v>
      </c>
      <c r="I3965">
        <v>0</v>
      </c>
      <c r="J3965">
        <v>0</v>
      </c>
      <c r="K3965">
        <v>0</v>
      </c>
      <c r="L3965">
        <v>0</v>
      </c>
      <c r="M3965" t="s">
        <v>188</v>
      </c>
      <c r="N3965">
        <v>15011.813799110399</v>
      </c>
      <c r="O3965" t="s">
        <v>248</v>
      </c>
      <c r="P3965" t="b">
        <v>1</v>
      </c>
      <c r="Q3965">
        <v>6615.6502096942959</v>
      </c>
      <c r="R3965">
        <v>36047.479307968199</v>
      </c>
      <c r="S3965">
        <v>-3.998306956603952</v>
      </c>
      <c r="T3965">
        <v>78.946689511372725</v>
      </c>
      <c r="U3965">
        <v>0</v>
      </c>
      <c r="V3965">
        <v>0</v>
      </c>
    </row>
    <row r="3966" spans="1:22" x14ac:dyDescent="0.2">
      <c r="A3966"/>
      <c r="B3966">
        <v>75253</v>
      </c>
      <c r="C3966" t="s">
        <v>631</v>
      </c>
      <c r="D3966" t="s">
        <v>920</v>
      </c>
      <c r="E3966" t="s">
        <v>1275</v>
      </c>
      <c r="F3966" t="s">
        <v>126</v>
      </c>
      <c r="G3966">
        <v>7030.9965599271891</v>
      </c>
      <c r="H3966" t="s">
        <v>248</v>
      </c>
      <c r="I3966">
        <v>0</v>
      </c>
      <c r="J3966">
        <v>0</v>
      </c>
      <c r="K3966">
        <v>0</v>
      </c>
      <c r="L3966">
        <v>0</v>
      </c>
      <c r="M3966" t="s">
        <v>188</v>
      </c>
      <c r="N3966">
        <v>15046.2467686457</v>
      </c>
      <c r="O3966" t="s">
        <v>248</v>
      </c>
      <c r="P3966" t="b">
        <v>1</v>
      </c>
      <c r="Q3966">
        <v>6622.2468541415628</v>
      </c>
      <c r="R3966">
        <v>36081.274480085594</v>
      </c>
      <c r="S3966">
        <v>-3.9976089517546969</v>
      </c>
      <c r="T3966">
        <v>78.968043962776648</v>
      </c>
      <c r="U3966">
        <v>0</v>
      </c>
      <c r="V3966">
        <v>0</v>
      </c>
    </row>
    <row r="3967" spans="1:22" x14ac:dyDescent="0.2">
      <c r="A3967"/>
      <c r="B3967">
        <v>75254</v>
      </c>
      <c r="C3967" t="s">
        <v>632</v>
      </c>
      <c r="D3967" t="s">
        <v>920</v>
      </c>
      <c r="E3967" t="s">
        <v>1275</v>
      </c>
      <c r="F3967" t="s">
        <v>126</v>
      </c>
      <c r="G3967">
        <v>7033.9395487762886</v>
      </c>
      <c r="H3967" t="s">
        <v>248</v>
      </c>
      <c r="I3967">
        <v>0</v>
      </c>
      <c r="J3967">
        <v>0</v>
      </c>
      <c r="K3967">
        <v>0</v>
      </c>
      <c r="L3967">
        <v>0</v>
      </c>
      <c r="M3967" t="s">
        <v>188</v>
      </c>
      <c r="N3967">
        <v>15049.1897574948</v>
      </c>
      <c r="O3967" t="s">
        <v>248</v>
      </c>
      <c r="P3967" t="b">
        <v>1</v>
      </c>
      <c r="Q3967">
        <v>6622.8099361877539</v>
      </c>
      <c r="R3967">
        <v>36084.163099473961</v>
      </c>
      <c r="S3967">
        <v>-3.9975618501154857</v>
      </c>
      <c r="T3967">
        <v>78.971167200141196</v>
      </c>
      <c r="U3967">
        <v>0</v>
      </c>
      <c r="V3967">
        <v>0</v>
      </c>
    </row>
    <row r="3968" spans="1:22" x14ac:dyDescent="0.2">
      <c r="A3968"/>
      <c r="B3968">
        <v>75255</v>
      </c>
      <c r="C3968" t="s">
        <v>633</v>
      </c>
      <c r="D3968" t="s">
        <v>920</v>
      </c>
      <c r="E3968" t="s">
        <v>1275</v>
      </c>
      <c r="F3968" t="s">
        <v>126</v>
      </c>
      <c r="G3968">
        <v>7053.4809947347894</v>
      </c>
      <c r="H3968" t="s">
        <v>248</v>
      </c>
      <c r="I3968">
        <v>0</v>
      </c>
      <c r="J3968">
        <v>0</v>
      </c>
      <c r="K3968">
        <v>0</v>
      </c>
      <c r="L3968">
        <v>0</v>
      </c>
      <c r="M3968" t="s">
        <v>188</v>
      </c>
      <c r="N3968">
        <v>15068.731203453301</v>
      </c>
      <c r="O3968" t="s">
        <v>248</v>
      </c>
      <c r="P3968" t="b">
        <v>1</v>
      </c>
      <c r="Q3968">
        <v>6626.5441847132415</v>
      </c>
      <c r="R3968">
        <v>36103.34443132297</v>
      </c>
      <c r="S3968">
        <v>-3.9972992609216051</v>
      </c>
      <c r="T3968">
        <v>78.997090582950179</v>
      </c>
      <c r="U3968">
        <v>0</v>
      </c>
      <c r="V3968">
        <v>0</v>
      </c>
    </row>
    <row r="3969" spans="1:22" x14ac:dyDescent="0.2">
      <c r="A3969"/>
      <c r="B3969">
        <v>75256</v>
      </c>
      <c r="C3969" t="s">
        <v>634</v>
      </c>
      <c r="D3969" t="s">
        <v>920</v>
      </c>
      <c r="E3969" t="s">
        <v>1275</v>
      </c>
      <c r="F3969" t="s">
        <v>126</v>
      </c>
      <c r="G3969">
        <v>7056.4239835839871</v>
      </c>
      <c r="H3969" t="s">
        <v>248</v>
      </c>
      <c r="I3969">
        <v>0</v>
      </c>
      <c r="J3969">
        <v>0</v>
      </c>
      <c r="K3969">
        <v>0</v>
      </c>
      <c r="L3969">
        <v>0</v>
      </c>
      <c r="M3969" t="s">
        <v>188</v>
      </c>
      <c r="N3969">
        <v>15071.6741923025</v>
      </c>
      <c r="O3969" t="s">
        <v>248</v>
      </c>
      <c r="P3969" t="b">
        <v>1</v>
      </c>
      <c r="Q3969">
        <v>6627.1057629020024</v>
      </c>
      <c r="R3969">
        <v>36106.233343453612</v>
      </c>
      <c r="S3969">
        <v>-3.9972672690598445</v>
      </c>
      <c r="T3969">
        <v>79.001775593419637</v>
      </c>
      <c r="U3969">
        <v>0</v>
      </c>
      <c r="V3969">
        <v>0</v>
      </c>
    </row>
    <row r="3970" spans="1:22" x14ac:dyDescent="0.2">
      <c r="A3970"/>
      <c r="B3970">
        <v>75257</v>
      </c>
      <c r="C3970" t="s">
        <v>635</v>
      </c>
      <c r="D3970" t="s">
        <v>920</v>
      </c>
      <c r="E3970" t="s">
        <v>1275</v>
      </c>
      <c r="F3970" t="s">
        <v>126</v>
      </c>
      <c r="G3970">
        <v>7107.847808741888</v>
      </c>
      <c r="H3970" t="s">
        <v>248</v>
      </c>
      <c r="I3970">
        <v>0</v>
      </c>
      <c r="J3970">
        <v>0</v>
      </c>
      <c r="K3970">
        <v>0</v>
      </c>
      <c r="L3970">
        <v>0</v>
      </c>
      <c r="M3970" t="s">
        <v>188</v>
      </c>
      <c r="N3970">
        <v>15123.098017460399</v>
      </c>
      <c r="O3970" t="s">
        <v>248</v>
      </c>
      <c r="P3970" t="b">
        <v>1</v>
      </c>
      <c r="Q3970">
        <v>6636.8703080820378</v>
      </c>
      <c r="R3970">
        <v>36156.721585266132</v>
      </c>
      <c r="S3970">
        <v>-3.9970274311451393</v>
      </c>
      <c r="T3970">
        <v>79.116630872544221</v>
      </c>
      <c r="U3970">
        <v>0</v>
      </c>
      <c r="V3970">
        <v>0</v>
      </c>
    </row>
    <row r="3971" spans="1:22" x14ac:dyDescent="0.2">
      <c r="A3971"/>
      <c r="B3971">
        <v>75258</v>
      </c>
      <c r="C3971" t="s">
        <v>636</v>
      </c>
      <c r="D3971" t="s">
        <v>920</v>
      </c>
      <c r="E3971" t="s">
        <v>1275</v>
      </c>
      <c r="F3971" t="s">
        <v>126</v>
      </c>
      <c r="G3971">
        <v>7156.858383043389</v>
      </c>
      <c r="H3971" t="s">
        <v>248</v>
      </c>
      <c r="I3971">
        <v>0</v>
      </c>
      <c r="J3971">
        <v>0</v>
      </c>
      <c r="K3971">
        <v>0</v>
      </c>
      <c r="L3971">
        <v>0</v>
      </c>
      <c r="M3971" t="s">
        <v>188</v>
      </c>
      <c r="N3971">
        <v>15172.1085917619</v>
      </c>
      <c r="O3971" t="s">
        <v>248</v>
      </c>
      <c r="P3971" t="b">
        <v>1</v>
      </c>
      <c r="Q3971">
        <v>6646.0497019272807</v>
      </c>
      <c r="R3971">
        <v>36204.864836123044</v>
      </c>
      <c r="S3971">
        <v>-3.9961379058670907</v>
      </c>
      <c r="T3971">
        <v>79.319268734965092</v>
      </c>
      <c r="U3971">
        <v>0</v>
      </c>
      <c r="V3971">
        <v>0</v>
      </c>
    </row>
    <row r="3972" spans="1:22" x14ac:dyDescent="0.2">
      <c r="A3972"/>
      <c r="B3972">
        <v>75259</v>
      </c>
      <c r="C3972" t="s">
        <v>637</v>
      </c>
      <c r="D3972" t="s">
        <v>920</v>
      </c>
      <c r="E3972" t="s">
        <v>1275</v>
      </c>
      <c r="F3972" t="s">
        <v>126</v>
      </c>
      <c r="G3972">
        <v>7177.4593049875875</v>
      </c>
      <c r="H3972" t="s">
        <v>248</v>
      </c>
      <c r="I3972">
        <v>0</v>
      </c>
      <c r="J3972">
        <v>0</v>
      </c>
      <c r="K3972">
        <v>0</v>
      </c>
      <c r="L3972">
        <v>0</v>
      </c>
      <c r="M3972" t="s">
        <v>188</v>
      </c>
      <c r="N3972">
        <v>15192.709513706101</v>
      </c>
      <c r="O3972" t="s">
        <v>248</v>
      </c>
      <c r="P3972" t="b">
        <v>1</v>
      </c>
      <c r="Q3972">
        <v>6649.8520272161095</v>
      </c>
      <c r="R3972">
        <v>36225.111817030585</v>
      </c>
      <c r="S3972">
        <v>-3.9967235555534906</v>
      </c>
      <c r="T3972">
        <v>79.400004796596974</v>
      </c>
      <c r="U3972">
        <v>0</v>
      </c>
      <c r="V3972">
        <v>0</v>
      </c>
    </row>
    <row r="3973" spans="1:22" x14ac:dyDescent="0.2">
      <c r="A3973"/>
      <c r="B3973">
        <v>75260</v>
      </c>
      <c r="C3973" t="s">
        <v>638</v>
      </c>
      <c r="D3973" t="s">
        <v>920</v>
      </c>
      <c r="E3973" t="s">
        <v>1275</v>
      </c>
      <c r="F3973" t="s">
        <v>126</v>
      </c>
      <c r="G3973">
        <v>7198.0602269317897</v>
      </c>
      <c r="H3973" t="s">
        <v>248</v>
      </c>
      <c r="I3973">
        <v>0</v>
      </c>
      <c r="J3973">
        <v>0</v>
      </c>
      <c r="K3973">
        <v>0</v>
      </c>
      <c r="L3973">
        <v>0</v>
      </c>
      <c r="M3973" t="s">
        <v>188</v>
      </c>
      <c r="N3973">
        <v>15213.310435650301</v>
      </c>
      <c r="O3973" t="s">
        <v>248</v>
      </c>
      <c r="P3973" t="b">
        <v>1</v>
      </c>
      <c r="Q3973">
        <v>6653.6348566300367</v>
      </c>
      <c r="R3973">
        <v>36245.362450795328</v>
      </c>
      <c r="S3973">
        <v>-3.9996138568688373</v>
      </c>
      <c r="T3973">
        <v>79.42960064330201</v>
      </c>
      <c r="U3973">
        <v>0</v>
      </c>
      <c r="V3973">
        <v>0</v>
      </c>
    </row>
    <row r="3974" spans="1:22" x14ac:dyDescent="0.2">
      <c r="A3974"/>
      <c r="B3974">
        <v>75261</v>
      </c>
      <c r="C3974" t="s">
        <v>639</v>
      </c>
      <c r="D3974" t="s">
        <v>920</v>
      </c>
      <c r="E3974" t="s">
        <v>1275</v>
      </c>
      <c r="F3974" t="s">
        <v>127</v>
      </c>
      <c r="G3974">
        <v>157.8174032457373</v>
      </c>
      <c r="H3974" t="s">
        <v>248</v>
      </c>
      <c r="I3974">
        <v>0</v>
      </c>
      <c r="J3974">
        <v>0</v>
      </c>
      <c r="K3974">
        <v>0</v>
      </c>
      <c r="L3974">
        <v>0</v>
      </c>
      <c r="M3974" t="s">
        <v>188</v>
      </c>
      <c r="N3974">
        <v>15382.5662555566</v>
      </c>
      <c r="O3974" t="s">
        <v>248</v>
      </c>
      <c r="P3974" t="b">
        <v>1</v>
      </c>
      <c r="Q3974">
        <v>6684.876253389255</v>
      </c>
      <c r="R3974">
        <v>36411.709963956637</v>
      </c>
      <c r="S3974">
        <v>-4.0061721627254236</v>
      </c>
      <c r="T3974">
        <v>79.30712364613241</v>
      </c>
      <c r="U3974">
        <v>0</v>
      </c>
      <c r="V3974">
        <v>0</v>
      </c>
    </row>
    <row r="3975" spans="1:22" x14ac:dyDescent="0.2">
      <c r="A3975"/>
      <c r="B3975">
        <v>75262</v>
      </c>
      <c r="C3975" t="s">
        <v>640</v>
      </c>
      <c r="D3975" t="s">
        <v>920</v>
      </c>
      <c r="E3975" t="s">
        <v>1275</v>
      </c>
      <c r="F3975" t="s">
        <v>127</v>
      </c>
      <c r="G3975">
        <v>209.41580692253592</v>
      </c>
      <c r="H3975" t="s">
        <v>248</v>
      </c>
      <c r="I3975">
        <v>0</v>
      </c>
      <c r="J3975">
        <v>0</v>
      </c>
      <c r="K3975">
        <v>0</v>
      </c>
      <c r="L3975">
        <v>0</v>
      </c>
      <c r="M3975" t="s">
        <v>188</v>
      </c>
      <c r="N3975">
        <v>15434.1646592334</v>
      </c>
      <c r="O3975" t="s">
        <v>248</v>
      </c>
      <c r="P3975" t="b">
        <v>1</v>
      </c>
      <c r="Q3975">
        <v>6695.5145651798302</v>
      </c>
      <c r="R3975">
        <v>36462.1892494036</v>
      </c>
      <c r="S3975">
        <v>-4.1781340135452254</v>
      </c>
      <c r="T3975">
        <v>75.936283741723997</v>
      </c>
      <c r="U3975">
        <v>0</v>
      </c>
      <c r="V3975">
        <v>0</v>
      </c>
    </row>
    <row r="3976" spans="1:22" x14ac:dyDescent="0.2">
      <c r="A3976"/>
      <c r="B3976">
        <v>75263</v>
      </c>
      <c r="C3976" t="s">
        <v>641</v>
      </c>
      <c r="D3976" t="s">
        <v>920</v>
      </c>
      <c r="E3976" t="s">
        <v>1275</v>
      </c>
      <c r="F3976" t="s">
        <v>127</v>
      </c>
      <c r="G3976">
        <v>249.01758174453607</v>
      </c>
      <c r="H3976" t="s">
        <v>248</v>
      </c>
      <c r="I3976">
        <v>0</v>
      </c>
      <c r="J3976">
        <v>0</v>
      </c>
      <c r="K3976">
        <v>0</v>
      </c>
      <c r="L3976">
        <v>0</v>
      </c>
      <c r="M3976" t="s">
        <v>188</v>
      </c>
      <c r="N3976">
        <v>15473.7664340554</v>
      </c>
      <c r="O3976" t="s">
        <v>248</v>
      </c>
      <c r="P3976" t="b">
        <v>1</v>
      </c>
      <c r="Q3976">
        <v>6706.4054517989516</v>
      </c>
      <c r="R3976">
        <v>36500.249463559529</v>
      </c>
      <c r="S3976">
        <v>-4.8988755475529944</v>
      </c>
      <c r="T3976">
        <v>72.158303613722893</v>
      </c>
      <c r="U3976">
        <v>0</v>
      </c>
      <c r="V3976">
        <v>0</v>
      </c>
    </row>
    <row r="3977" spans="1:22" x14ac:dyDescent="0.2">
      <c r="A3977"/>
      <c r="B3977">
        <v>75264</v>
      </c>
      <c r="C3977" t="s">
        <v>642</v>
      </c>
      <c r="D3977" t="s">
        <v>920</v>
      </c>
      <c r="E3977" t="s">
        <v>1275</v>
      </c>
      <c r="F3977" t="s">
        <v>127</v>
      </c>
      <c r="G3977">
        <v>314.41855840483731</v>
      </c>
      <c r="H3977" t="s">
        <v>248</v>
      </c>
      <c r="I3977">
        <v>0</v>
      </c>
      <c r="J3977">
        <v>0</v>
      </c>
      <c r="K3977">
        <v>0</v>
      </c>
      <c r="L3977">
        <v>0</v>
      </c>
      <c r="M3977" t="s">
        <v>188</v>
      </c>
      <c r="N3977">
        <v>15539.1674107157</v>
      </c>
      <c r="O3977" t="s">
        <v>248</v>
      </c>
      <c r="P3977" t="b">
        <v>1</v>
      </c>
      <c r="Q3977">
        <v>6729.8246003093827</v>
      </c>
      <c r="R3977">
        <v>36561.245248796942</v>
      </c>
      <c r="S3977">
        <v>-6.9053531552206291</v>
      </c>
      <c r="T3977">
        <v>65.838108884671442</v>
      </c>
      <c r="U3977">
        <v>0</v>
      </c>
      <c r="V3977">
        <v>0</v>
      </c>
    </row>
    <row r="3978" spans="1:22" x14ac:dyDescent="0.2">
      <c r="A3978"/>
      <c r="B3978">
        <v>75265</v>
      </c>
      <c r="C3978" t="s">
        <v>643</v>
      </c>
      <c r="D3978" t="s">
        <v>920</v>
      </c>
      <c r="E3978" t="s">
        <v>1275</v>
      </c>
      <c r="F3978" t="s">
        <v>127</v>
      </c>
      <c r="G3978">
        <v>364.65328998453515</v>
      </c>
      <c r="H3978" t="s">
        <v>248</v>
      </c>
      <c r="I3978">
        <v>0</v>
      </c>
      <c r="J3978">
        <v>0</v>
      </c>
      <c r="K3978">
        <v>0</v>
      </c>
      <c r="L3978">
        <v>0</v>
      </c>
      <c r="M3978" t="s">
        <v>188</v>
      </c>
      <c r="N3978">
        <v>15589.402142295399</v>
      </c>
      <c r="O3978" t="s">
        <v>248</v>
      </c>
      <c r="P3978" t="b">
        <v>1</v>
      </c>
      <c r="Q3978">
        <v>6752.3181567362954</v>
      </c>
      <c r="R3978">
        <v>36606.120753478477</v>
      </c>
      <c r="S3978">
        <v>-8.3833915475545773</v>
      </c>
      <c r="T3978">
        <v>60.897844109433855</v>
      </c>
      <c r="U3978">
        <v>0</v>
      </c>
      <c r="V3978">
        <v>0</v>
      </c>
    </row>
    <row r="3979" spans="1:22" x14ac:dyDescent="0.2">
      <c r="A3979"/>
      <c r="B3979">
        <v>75266</v>
      </c>
      <c r="C3979" t="s">
        <v>644</v>
      </c>
      <c r="D3979" t="s">
        <v>920</v>
      </c>
      <c r="E3979" t="s">
        <v>1275</v>
      </c>
      <c r="F3979" t="s">
        <v>127</v>
      </c>
      <c r="G3979">
        <v>431.9892067827368</v>
      </c>
      <c r="H3979" t="s">
        <v>248</v>
      </c>
      <c r="I3979">
        <v>0</v>
      </c>
      <c r="J3979">
        <v>0</v>
      </c>
      <c r="K3979">
        <v>0</v>
      </c>
      <c r="L3979">
        <v>0</v>
      </c>
      <c r="M3979" t="s">
        <v>188</v>
      </c>
      <c r="N3979">
        <v>15656.738059093601</v>
      </c>
      <c r="O3979" t="s">
        <v>248</v>
      </c>
      <c r="P3979" t="b">
        <v>1</v>
      </c>
      <c r="Q3979">
        <v>6788.4022352083302</v>
      </c>
      <c r="R3979">
        <v>36662.921671238517</v>
      </c>
      <c r="S3979">
        <v>-9.2157343070189484</v>
      </c>
      <c r="T3979">
        <v>54.550757299090726</v>
      </c>
      <c r="U3979">
        <v>0</v>
      </c>
      <c r="V3979">
        <v>0</v>
      </c>
    </row>
    <row r="3980" spans="1:22" x14ac:dyDescent="0.2">
      <c r="A3980"/>
      <c r="B3980">
        <v>75267</v>
      </c>
      <c r="C3980" t="s">
        <v>645</v>
      </c>
      <c r="D3980" t="s">
        <v>920</v>
      </c>
      <c r="E3980" t="s">
        <v>1275</v>
      </c>
      <c r="F3980" t="s">
        <v>82</v>
      </c>
      <c r="G3980">
        <v>36.6710789294943</v>
      </c>
      <c r="H3980" t="s">
        <v>248</v>
      </c>
      <c r="I3980">
        <v>0</v>
      </c>
      <c r="J3980">
        <v>0</v>
      </c>
      <c r="K3980">
        <v>0</v>
      </c>
      <c r="L3980">
        <v>0</v>
      </c>
      <c r="M3980" t="s">
        <v>187</v>
      </c>
      <c r="N3980">
        <v>36.6710789294943</v>
      </c>
      <c r="O3980" t="s">
        <v>248</v>
      </c>
      <c r="P3980" t="b">
        <v>1</v>
      </c>
      <c r="Q3980">
        <v>4866.0631092067861</v>
      </c>
      <c r="R3980">
        <v>21644.191453495074</v>
      </c>
      <c r="S3980">
        <v>4.0271531913321307E-4</v>
      </c>
      <c r="T3980">
        <v>75.540945394240595</v>
      </c>
      <c r="U3980">
        <v>0</v>
      </c>
      <c r="V3980">
        <v>0</v>
      </c>
    </row>
    <row r="3981" spans="1:22" x14ac:dyDescent="0.2">
      <c r="A3981"/>
      <c r="B3981">
        <v>75268</v>
      </c>
      <c r="C3981" t="s">
        <v>516</v>
      </c>
      <c r="D3981" t="s">
        <v>920</v>
      </c>
      <c r="E3981" t="s">
        <v>1275</v>
      </c>
      <c r="F3981" t="s">
        <v>82</v>
      </c>
      <c r="G3981">
        <v>66.175524960670899</v>
      </c>
      <c r="H3981" t="s">
        <v>248</v>
      </c>
      <c r="I3981">
        <v>0</v>
      </c>
      <c r="J3981">
        <v>0</v>
      </c>
      <c r="K3981">
        <v>0</v>
      </c>
      <c r="L3981">
        <v>0</v>
      </c>
      <c r="M3981" t="s">
        <v>187</v>
      </c>
      <c r="N3981">
        <v>66.175524960670899</v>
      </c>
      <c r="O3981" t="s">
        <v>248</v>
      </c>
      <c r="P3981" t="b">
        <v>1</v>
      </c>
      <c r="Q3981">
        <v>4873.4301421527498</v>
      </c>
      <c r="R3981">
        <v>21672.761353047368</v>
      </c>
      <c r="S3981">
        <v>-4.0820529095936725E-4</v>
      </c>
      <c r="T3981">
        <v>75.540386698740107</v>
      </c>
      <c r="U3981">
        <v>0</v>
      </c>
      <c r="V3981">
        <v>0</v>
      </c>
    </row>
    <row r="3982" spans="1:22" x14ac:dyDescent="0.2">
      <c r="A3982"/>
      <c r="B3982">
        <v>75269</v>
      </c>
      <c r="C3982" t="s">
        <v>517</v>
      </c>
      <c r="D3982" t="s">
        <v>920</v>
      </c>
      <c r="E3982" t="s">
        <v>1275</v>
      </c>
      <c r="F3982" t="s">
        <v>82</v>
      </c>
      <c r="G3982">
        <v>111.363757706047</v>
      </c>
      <c r="H3982" t="s">
        <v>248</v>
      </c>
      <c r="I3982">
        <v>0</v>
      </c>
      <c r="J3982">
        <v>0</v>
      </c>
      <c r="K3982">
        <v>0</v>
      </c>
      <c r="L3982">
        <v>0</v>
      </c>
      <c r="M3982" t="s">
        <v>187</v>
      </c>
      <c r="N3982">
        <v>111.363757706047</v>
      </c>
      <c r="O3982" t="s">
        <v>248</v>
      </c>
      <c r="P3982" t="b">
        <v>1</v>
      </c>
      <c r="Q3982">
        <v>4884.7140652625931</v>
      </c>
      <c r="R3982">
        <v>21716.518060497921</v>
      </c>
      <c r="S3982">
        <v>-3.6310540453355403E-3</v>
      </c>
      <c r="T3982">
        <v>75.53885179491418</v>
      </c>
      <c r="U3982">
        <v>0</v>
      </c>
      <c r="V3982">
        <v>0</v>
      </c>
    </row>
    <row r="3983" spans="1:22" x14ac:dyDescent="0.2">
      <c r="A3983"/>
      <c r="B3983">
        <v>75270</v>
      </c>
      <c r="C3983" t="s">
        <v>646</v>
      </c>
      <c r="D3983" t="s">
        <v>920</v>
      </c>
      <c r="E3983" t="s">
        <v>1275</v>
      </c>
      <c r="F3983" t="s">
        <v>82</v>
      </c>
      <c r="G3983">
        <v>151.731517979241</v>
      </c>
      <c r="H3983" t="s">
        <v>248</v>
      </c>
      <c r="I3983">
        <v>0</v>
      </c>
      <c r="J3983">
        <v>0</v>
      </c>
      <c r="K3983">
        <v>0</v>
      </c>
      <c r="L3983">
        <v>0</v>
      </c>
      <c r="M3983" t="s">
        <v>187</v>
      </c>
      <c r="N3983">
        <v>151.731517979241</v>
      </c>
      <c r="O3983" t="s">
        <v>248</v>
      </c>
      <c r="P3983" t="b">
        <v>1</v>
      </c>
      <c r="Q3983">
        <v>4894.7955092117909</v>
      </c>
      <c r="R3983">
        <v>21755.606684582464</v>
      </c>
      <c r="S3983">
        <v>-8.53702294983078E-3</v>
      </c>
      <c r="T3983">
        <v>75.536785615261124</v>
      </c>
      <c r="U3983">
        <v>0</v>
      </c>
      <c r="V3983">
        <v>0</v>
      </c>
    </row>
    <row r="3984" spans="1:22" x14ac:dyDescent="0.2">
      <c r="A3984"/>
      <c r="B3984">
        <v>75271</v>
      </c>
      <c r="C3984" t="s">
        <v>518</v>
      </c>
      <c r="D3984" t="s">
        <v>920</v>
      </c>
      <c r="E3984" t="s">
        <v>1275</v>
      </c>
      <c r="F3984" t="s">
        <v>82</v>
      </c>
      <c r="G3984">
        <v>206.11709390774101</v>
      </c>
      <c r="H3984" t="s">
        <v>248</v>
      </c>
      <c r="I3984">
        <v>0</v>
      </c>
      <c r="J3984">
        <v>0</v>
      </c>
      <c r="K3984">
        <v>0</v>
      </c>
      <c r="L3984">
        <v>0</v>
      </c>
      <c r="M3984" t="s">
        <v>187</v>
      </c>
      <c r="N3984">
        <v>206.11709390774101</v>
      </c>
      <c r="O3984" t="s">
        <v>248</v>
      </c>
      <c r="P3984" t="b">
        <v>1</v>
      </c>
      <c r="Q3984">
        <v>4908.3788504549111</v>
      </c>
      <c r="R3984">
        <v>21808.268660148729</v>
      </c>
      <c r="S3984">
        <v>-1.4463579420229635E-2</v>
      </c>
      <c r="T3984">
        <v>75.539095422049684</v>
      </c>
      <c r="U3984">
        <v>0</v>
      </c>
      <c r="V3984">
        <v>0</v>
      </c>
    </row>
    <row r="3985" spans="1:22" x14ac:dyDescent="0.2">
      <c r="A3985"/>
      <c r="B3985">
        <v>75272</v>
      </c>
      <c r="C3985" t="s">
        <v>647</v>
      </c>
      <c r="D3985" t="s">
        <v>920</v>
      </c>
      <c r="E3985" t="s">
        <v>1275</v>
      </c>
      <c r="F3985" t="s">
        <v>82</v>
      </c>
      <c r="G3985">
        <v>241.486941004253</v>
      </c>
      <c r="H3985" t="s">
        <v>248</v>
      </c>
      <c r="I3985">
        <v>0</v>
      </c>
      <c r="J3985">
        <v>0</v>
      </c>
      <c r="K3985">
        <v>0</v>
      </c>
      <c r="L3985">
        <v>0</v>
      </c>
      <c r="M3985" t="s">
        <v>187</v>
      </c>
      <c r="N3985">
        <v>241.486941004253</v>
      </c>
      <c r="O3985" t="s">
        <v>248</v>
      </c>
      <c r="P3985" t="b">
        <v>1</v>
      </c>
      <c r="Q3985">
        <v>4917.208720279421</v>
      </c>
      <c r="R3985">
        <v>21842.518616039328</v>
      </c>
      <c r="S3985">
        <v>-1.4619833869623235E-2</v>
      </c>
      <c r="T3985">
        <v>75.549154853755141</v>
      </c>
      <c r="U3985">
        <v>0</v>
      </c>
      <c r="V3985">
        <v>0</v>
      </c>
    </row>
    <row r="3986" spans="1:22" x14ac:dyDescent="0.2">
      <c r="A3986"/>
      <c r="B3986">
        <v>75273</v>
      </c>
      <c r="C3986" t="s">
        <v>648</v>
      </c>
      <c r="D3986" t="s">
        <v>920</v>
      </c>
      <c r="E3986" t="s">
        <v>1275</v>
      </c>
      <c r="F3986" t="s">
        <v>84</v>
      </c>
      <c r="G3986">
        <v>4.0450547380777522</v>
      </c>
      <c r="H3986" t="s">
        <v>248</v>
      </c>
      <c r="I3986">
        <v>0</v>
      </c>
      <c r="J3986">
        <v>0</v>
      </c>
      <c r="K3986">
        <v>0</v>
      </c>
      <c r="L3986">
        <v>0</v>
      </c>
      <c r="M3986" t="s">
        <v>187</v>
      </c>
      <c r="N3986">
        <v>327.973857208634</v>
      </c>
      <c r="O3986" t="s">
        <v>248</v>
      </c>
      <c r="P3986" t="b">
        <v>1</v>
      </c>
      <c r="Q3986">
        <v>4938.8190897767045</v>
      </c>
      <c r="R3986">
        <v>21926.262126730373</v>
      </c>
      <c r="S3986">
        <v>-9.9226477118722969E-3</v>
      </c>
      <c r="T3986">
        <v>75.444007534234999</v>
      </c>
      <c r="U3986">
        <v>0</v>
      </c>
      <c r="V3986">
        <v>0</v>
      </c>
    </row>
    <row r="3987" spans="1:22" x14ac:dyDescent="0.2">
      <c r="A3987"/>
      <c r="B3987">
        <v>75274</v>
      </c>
      <c r="C3987" t="s">
        <v>649</v>
      </c>
      <c r="D3987" t="s">
        <v>920</v>
      </c>
      <c r="E3987" t="s">
        <v>1275</v>
      </c>
      <c r="F3987" t="s">
        <v>84</v>
      </c>
      <c r="G3987">
        <v>24.713217633366767</v>
      </c>
      <c r="H3987" t="s">
        <v>248</v>
      </c>
      <c r="I3987">
        <v>0</v>
      </c>
      <c r="J3987">
        <v>0</v>
      </c>
      <c r="K3987">
        <v>0</v>
      </c>
      <c r="L3987">
        <v>0</v>
      </c>
      <c r="M3987" t="s">
        <v>187</v>
      </c>
      <c r="N3987">
        <v>348.64202010392302</v>
      </c>
      <c r="O3987" t="s">
        <v>248</v>
      </c>
      <c r="P3987" t="b">
        <v>1</v>
      </c>
      <c r="Q3987">
        <v>4944.0244998636554</v>
      </c>
      <c r="R3987">
        <v>21946.26404139341</v>
      </c>
      <c r="S3987">
        <v>-4.4597217696967914E-3</v>
      </c>
      <c r="T3987">
        <v>75.384231924348171</v>
      </c>
      <c r="U3987">
        <v>0</v>
      </c>
      <c r="V3987">
        <v>0</v>
      </c>
    </row>
    <row r="3988" spans="1:22" x14ac:dyDescent="0.2">
      <c r="A3988"/>
      <c r="B3988">
        <v>75275</v>
      </c>
      <c r="C3988" t="s">
        <v>650</v>
      </c>
      <c r="D3988" t="s">
        <v>920</v>
      </c>
      <c r="E3988" t="s">
        <v>1275</v>
      </c>
      <c r="F3988" t="s">
        <v>84</v>
      </c>
      <c r="G3988">
        <v>45.381380528655725</v>
      </c>
      <c r="H3988" t="s">
        <v>248</v>
      </c>
      <c r="I3988">
        <v>0</v>
      </c>
      <c r="J3988">
        <v>0</v>
      </c>
      <c r="K3988">
        <v>0</v>
      </c>
      <c r="L3988">
        <v>0</v>
      </c>
      <c r="M3988" t="s">
        <v>187</v>
      </c>
      <c r="N3988">
        <v>369.31018299921197</v>
      </c>
      <c r="O3988" t="s">
        <v>248</v>
      </c>
      <c r="P3988" t="b">
        <v>1</v>
      </c>
      <c r="Q3988">
        <v>4949.2324365092945</v>
      </c>
      <c r="R3988">
        <v>21966.265298230202</v>
      </c>
      <c r="S3988">
        <v>-1.6170723160279362E-3</v>
      </c>
      <c r="T3988">
        <v>75.45929177864069</v>
      </c>
      <c r="U3988">
        <v>0</v>
      </c>
      <c r="V3988">
        <v>0</v>
      </c>
    </row>
    <row r="3989" spans="1:22" x14ac:dyDescent="0.2">
      <c r="A3989"/>
      <c r="B3989">
        <v>75276</v>
      </c>
      <c r="C3989" t="s">
        <v>651</v>
      </c>
      <c r="D3989" t="s">
        <v>920</v>
      </c>
      <c r="E3989" t="s">
        <v>1275</v>
      </c>
      <c r="F3989" t="s">
        <v>84</v>
      </c>
      <c r="G3989">
        <v>70.380015649625776</v>
      </c>
      <c r="H3989" t="s">
        <v>248</v>
      </c>
      <c r="I3989">
        <v>0</v>
      </c>
      <c r="J3989">
        <v>0</v>
      </c>
      <c r="K3989">
        <v>0</v>
      </c>
      <c r="L3989">
        <v>0</v>
      </c>
      <c r="M3989" t="s">
        <v>187</v>
      </c>
      <c r="N3989">
        <v>394.30881812018202</v>
      </c>
      <c r="O3989" t="s">
        <v>248</v>
      </c>
      <c r="P3989" t="b">
        <v>1</v>
      </c>
      <c r="Q3989">
        <v>4955.4442953005655</v>
      </c>
      <c r="R3989">
        <v>21990.479809679906</v>
      </c>
      <c r="S3989">
        <v>-4.6349553268555787E-3</v>
      </c>
      <c r="T3989">
        <v>75.809441591342434</v>
      </c>
      <c r="U3989">
        <v>0</v>
      </c>
      <c r="V3989">
        <v>0</v>
      </c>
    </row>
    <row r="3990" spans="1:22" x14ac:dyDescent="0.2">
      <c r="A3990"/>
      <c r="B3990">
        <v>75277</v>
      </c>
      <c r="C3990" t="s">
        <v>519</v>
      </c>
      <c r="D3990" t="s">
        <v>920</v>
      </c>
      <c r="E3990" t="s">
        <v>1275</v>
      </c>
      <c r="F3990" t="s">
        <v>84</v>
      </c>
      <c r="G3990">
        <v>85.00520139362574</v>
      </c>
      <c r="H3990" t="s">
        <v>248</v>
      </c>
      <c r="I3990">
        <v>0</v>
      </c>
      <c r="J3990">
        <v>0</v>
      </c>
      <c r="K3990">
        <v>0</v>
      </c>
      <c r="L3990">
        <v>0</v>
      </c>
      <c r="M3990" t="s">
        <v>187</v>
      </c>
      <c r="N3990">
        <v>408.93400386418199</v>
      </c>
      <c r="O3990" t="s">
        <v>248</v>
      </c>
      <c r="P3990" t="b">
        <v>1</v>
      </c>
      <c r="Q3990">
        <v>4958.9949989565594</v>
      </c>
      <c r="R3990">
        <v>22004.667414111223</v>
      </c>
      <c r="S3990">
        <v>-5.0586200705765982E-3</v>
      </c>
      <c r="T3990">
        <v>76.094372245193696</v>
      </c>
      <c r="U3990">
        <v>0</v>
      </c>
      <c r="V3990">
        <v>0</v>
      </c>
    </row>
    <row r="3991" spans="1:22" x14ac:dyDescent="0.2">
      <c r="A3991"/>
      <c r="B3991">
        <v>75278</v>
      </c>
      <c r="C3991" t="s">
        <v>520</v>
      </c>
      <c r="D3991" t="s">
        <v>920</v>
      </c>
      <c r="E3991" t="s">
        <v>1275</v>
      </c>
      <c r="F3991" t="s">
        <v>84</v>
      </c>
      <c r="G3991">
        <v>87.957796092952734</v>
      </c>
      <c r="H3991" t="s">
        <v>248</v>
      </c>
      <c r="I3991">
        <v>0</v>
      </c>
      <c r="J3991">
        <v>0</v>
      </c>
      <c r="K3991">
        <v>0</v>
      </c>
      <c r="L3991">
        <v>0</v>
      </c>
      <c r="M3991" t="s">
        <v>187</v>
      </c>
      <c r="N3991">
        <v>411.88659856350898</v>
      </c>
      <c r="O3991" t="s">
        <v>248</v>
      </c>
      <c r="P3991" t="b">
        <v>1</v>
      </c>
      <c r="Q3991">
        <v>4959.703048205708</v>
      </c>
      <c r="R3991">
        <v>22007.533854546971</v>
      </c>
      <c r="S3991">
        <v>-4.7210094527145152E-3</v>
      </c>
      <c r="T3991">
        <v>76.155684131130528</v>
      </c>
      <c r="U3991">
        <v>0</v>
      </c>
      <c r="V3991">
        <v>0</v>
      </c>
    </row>
    <row r="3992" spans="1:22" x14ac:dyDescent="0.2">
      <c r="A3992"/>
      <c r="B3992">
        <v>75279</v>
      </c>
      <c r="C3992" t="s">
        <v>521</v>
      </c>
      <c r="D3992" t="s">
        <v>920</v>
      </c>
      <c r="E3992" t="s">
        <v>1275</v>
      </c>
      <c r="F3992" t="s">
        <v>84</v>
      </c>
      <c r="G3992">
        <v>107.56302489648375</v>
      </c>
      <c r="H3992" t="s">
        <v>248</v>
      </c>
      <c r="I3992">
        <v>0</v>
      </c>
      <c r="J3992">
        <v>0</v>
      </c>
      <c r="K3992">
        <v>0</v>
      </c>
      <c r="L3992">
        <v>0</v>
      </c>
      <c r="M3992" t="s">
        <v>187</v>
      </c>
      <c r="N3992">
        <v>431.49182736704</v>
      </c>
      <c r="O3992" t="s">
        <v>248</v>
      </c>
      <c r="P3992" t="b">
        <v>1</v>
      </c>
      <c r="Q3992">
        <v>4964.3227936829444</v>
      </c>
      <c r="R3992">
        <v>22026.586965222323</v>
      </c>
      <c r="S3992">
        <v>1.1264053354352477E-3</v>
      </c>
      <c r="T3992">
        <v>76.595080840127252</v>
      </c>
      <c r="U3992">
        <v>0</v>
      </c>
      <c r="V3992">
        <v>0</v>
      </c>
    </row>
    <row r="3993" spans="1:22" x14ac:dyDescent="0.2">
      <c r="A3993"/>
      <c r="B3993">
        <v>75280</v>
      </c>
      <c r="C3993" t="s">
        <v>652</v>
      </c>
      <c r="D3993" t="s">
        <v>920</v>
      </c>
      <c r="E3993" t="s">
        <v>1275</v>
      </c>
      <c r="F3993" t="s">
        <v>84</v>
      </c>
      <c r="G3993">
        <v>110.51561959581177</v>
      </c>
      <c r="H3993" t="s">
        <v>248</v>
      </c>
      <c r="I3993">
        <v>0</v>
      </c>
      <c r="J3993">
        <v>0</v>
      </c>
      <c r="K3993">
        <v>0</v>
      </c>
      <c r="L3993">
        <v>0</v>
      </c>
      <c r="M3993" t="s">
        <v>187</v>
      </c>
      <c r="N3993">
        <v>434.44442206636802</v>
      </c>
      <c r="O3993" t="s">
        <v>248</v>
      </c>
      <c r="P3993" t="b">
        <v>1</v>
      </c>
      <c r="Q3993">
        <v>4965.0055224919161</v>
      </c>
      <c r="R3993">
        <v>22029.459541363471</v>
      </c>
      <c r="S3993">
        <v>2.5500642040242206E-3</v>
      </c>
      <c r="T3993">
        <v>76.666117360514761</v>
      </c>
      <c r="U3993">
        <v>0</v>
      </c>
      <c r="V3993">
        <v>0</v>
      </c>
    </row>
    <row r="3994" spans="1:22" x14ac:dyDescent="0.2">
      <c r="A3994"/>
      <c r="B3994">
        <v>75281</v>
      </c>
      <c r="C3994" t="s">
        <v>653</v>
      </c>
      <c r="D3994" t="s">
        <v>920</v>
      </c>
      <c r="E3994" t="s">
        <v>1275</v>
      </c>
      <c r="F3994" t="s">
        <v>84</v>
      </c>
      <c r="G3994">
        <v>167.61880108079674</v>
      </c>
      <c r="H3994" t="s">
        <v>248</v>
      </c>
      <c r="I3994">
        <v>0</v>
      </c>
      <c r="J3994">
        <v>0</v>
      </c>
      <c r="K3994">
        <v>0</v>
      </c>
      <c r="L3994">
        <v>0</v>
      </c>
      <c r="M3994" t="s">
        <v>187</v>
      </c>
      <c r="N3994">
        <v>491.54760355135301</v>
      </c>
      <c r="O3994" t="s">
        <v>248</v>
      </c>
      <c r="P3994" t="b">
        <v>1</v>
      </c>
      <c r="Q3994">
        <v>4976.2254263276318</v>
      </c>
      <c r="R3994">
        <v>22085.438833035118</v>
      </c>
      <c r="S3994">
        <v>-4.3194687718677571E-3</v>
      </c>
      <c r="T3994">
        <v>79.607335776628744</v>
      </c>
      <c r="U3994">
        <v>0</v>
      </c>
      <c r="V3994">
        <v>0</v>
      </c>
    </row>
    <row r="3995" spans="1:22" x14ac:dyDescent="0.2">
      <c r="A3995"/>
      <c r="B3995">
        <v>75282</v>
      </c>
      <c r="C3995" t="s">
        <v>522</v>
      </c>
      <c r="D3995" t="s">
        <v>920</v>
      </c>
      <c r="E3995" t="s">
        <v>1275</v>
      </c>
      <c r="F3995" t="s">
        <v>84</v>
      </c>
      <c r="G3995">
        <v>202.1543170805918</v>
      </c>
      <c r="H3995" t="s">
        <v>248</v>
      </c>
      <c r="I3995">
        <v>0</v>
      </c>
      <c r="J3995">
        <v>0</v>
      </c>
      <c r="K3995">
        <v>0</v>
      </c>
      <c r="L3995">
        <v>0</v>
      </c>
      <c r="M3995" t="s">
        <v>187</v>
      </c>
      <c r="N3995">
        <v>526.083119551148</v>
      </c>
      <c r="O3995" t="s">
        <v>248</v>
      </c>
      <c r="P3995" t="b">
        <v>1</v>
      </c>
      <c r="Q3995">
        <v>4982.4360248091079</v>
      </c>
      <c r="R3995">
        <v>22119.411324456905</v>
      </c>
      <c r="S3995">
        <v>2.9618990715347912E-3</v>
      </c>
      <c r="T3995">
        <v>79.671151027224354</v>
      </c>
      <c r="U3995">
        <v>0</v>
      </c>
      <c r="V3995">
        <v>0</v>
      </c>
    </row>
    <row r="3996" spans="1:22" x14ac:dyDescent="0.2">
      <c r="A3996"/>
      <c r="B3996">
        <v>75283</v>
      </c>
      <c r="C3996" t="s">
        <v>654</v>
      </c>
      <c r="D3996" t="s">
        <v>920</v>
      </c>
      <c r="E3996" t="s">
        <v>1275</v>
      </c>
      <c r="F3996" t="s">
        <v>84</v>
      </c>
      <c r="G3996">
        <v>205.10691177991976</v>
      </c>
      <c r="H3996" t="s">
        <v>248</v>
      </c>
      <c r="I3996">
        <v>0</v>
      </c>
      <c r="J3996">
        <v>0</v>
      </c>
      <c r="K3996">
        <v>0</v>
      </c>
      <c r="L3996">
        <v>0</v>
      </c>
      <c r="M3996" t="s">
        <v>187</v>
      </c>
      <c r="N3996">
        <v>529.03571425047596</v>
      </c>
      <c r="O3996" t="s">
        <v>248</v>
      </c>
      <c r="P3996" t="b">
        <v>1</v>
      </c>
      <c r="Q3996">
        <v>4982.96526082523</v>
      </c>
      <c r="R3996">
        <v>22122.316100584634</v>
      </c>
      <c r="S3996">
        <v>3.5423362036921765E-3</v>
      </c>
      <c r="T3996">
        <v>79.677385486063628</v>
      </c>
      <c r="U3996">
        <v>0</v>
      </c>
      <c r="V3996">
        <v>0</v>
      </c>
    </row>
    <row r="3997" spans="1:22" x14ac:dyDescent="0.2">
      <c r="A3997"/>
      <c r="B3997">
        <v>75284</v>
      </c>
      <c r="C3997" t="s">
        <v>655</v>
      </c>
      <c r="D3997" t="s">
        <v>920</v>
      </c>
      <c r="E3997" t="s">
        <v>1275</v>
      </c>
      <c r="F3997" t="s">
        <v>84</v>
      </c>
      <c r="G3997">
        <v>224.71214058345083</v>
      </c>
      <c r="H3997" t="s">
        <v>248</v>
      </c>
      <c r="I3997">
        <v>0</v>
      </c>
      <c r="J3997">
        <v>0</v>
      </c>
      <c r="K3997">
        <v>0</v>
      </c>
      <c r="L3997">
        <v>0</v>
      </c>
      <c r="M3997" t="s">
        <v>187</v>
      </c>
      <c r="N3997">
        <v>548.64094305400704</v>
      </c>
      <c r="O3997" t="s">
        <v>248</v>
      </c>
      <c r="P3997" t="b">
        <v>1</v>
      </c>
      <c r="Q3997">
        <v>4986.4706785135468</v>
      </c>
      <c r="R3997">
        <v>22141.605398363408</v>
      </c>
      <c r="S3997">
        <v>7.1146666645758531E-3</v>
      </c>
      <c r="T3997">
        <v>79.724516197872887</v>
      </c>
      <c r="U3997">
        <v>0</v>
      </c>
      <c r="V3997">
        <v>0</v>
      </c>
    </row>
    <row r="3998" spans="1:22" x14ac:dyDescent="0.2">
      <c r="A3998"/>
      <c r="B3998">
        <v>75285</v>
      </c>
      <c r="C3998" t="s">
        <v>656</v>
      </c>
      <c r="D3998" t="s">
        <v>920</v>
      </c>
      <c r="E3998" t="s">
        <v>1275</v>
      </c>
      <c r="F3998" t="s">
        <v>84</v>
      </c>
      <c r="G3998">
        <v>227.66473528277777</v>
      </c>
      <c r="H3998" t="s">
        <v>248</v>
      </c>
      <c r="I3998">
        <v>0</v>
      </c>
      <c r="J3998">
        <v>0</v>
      </c>
      <c r="K3998">
        <v>0</v>
      </c>
      <c r="L3998">
        <v>0</v>
      </c>
      <c r="M3998" t="s">
        <v>187</v>
      </c>
      <c r="N3998">
        <v>551.59353775333398</v>
      </c>
      <c r="O3998" t="s">
        <v>248</v>
      </c>
      <c r="P3998" t="b">
        <v>1</v>
      </c>
      <c r="Q3998">
        <v>4986.9971650134767</v>
      </c>
      <c r="R3998">
        <v>22144.51067411009</v>
      </c>
      <c r="S3998">
        <v>7.6102326033391735E-3</v>
      </c>
      <c r="T3998">
        <v>79.732477736566508</v>
      </c>
      <c r="U3998">
        <v>0</v>
      </c>
      <c r="V3998">
        <v>0</v>
      </c>
    </row>
    <row r="3999" spans="1:22" x14ac:dyDescent="0.2">
      <c r="A3999"/>
      <c r="B3999">
        <v>75286</v>
      </c>
      <c r="C3999" t="s">
        <v>657</v>
      </c>
      <c r="D3999" t="s">
        <v>920</v>
      </c>
      <c r="E3999" t="s">
        <v>1275</v>
      </c>
      <c r="F3999" t="s">
        <v>84</v>
      </c>
      <c r="G3999">
        <v>279.25640666235279</v>
      </c>
      <c r="H3999" t="s">
        <v>248</v>
      </c>
      <c r="I3999">
        <v>0</v>
      </c>
      <c r="J3999">
        <v>0</v>
      </c>
      <c r="K3999">
        <v>0</v>
      </c>
      <c r="L3999">
        <v>0</v>
      </c>
      <c r="M3999" t="s">
        <v>187</v>
      </c>
      <c r="N3999">
        <v>603.18520913290899</v>
      </c>
      <c r="O3999" t="s">
        <v>248</v>
      </c>
      <c r="P3999" t="b">
        <v>1</v>
      </c>
      <c r="Q3999">
        <v>4996.1372096069781</v>
      </c>
      <c r="R3999">
        <v>22195.284175291214</v>
      </c>
      <c r="S3999">
        <v>-0.37246584738443822</v>
      </c>
      <c r="T3999">
        <v>79.845256931323306</v>
      </c>
      <c r="U3999">
        <v>0</v>
      </c>
      <c r="V3999">
        <v>0</v>
      </c>
    </row>
    <row r="4000" spans="1:22" x14ac:dyDescent="0.2">
      <c r="A4000"/>
      <c r="B4000">
        <v>75287</v>
      </c>
      <c r="C4000" t="s">
        <v>658</v>
      </c>
      <c r="D4000" t="s">
        <v>920</v>
      </c>
      <c r="E4000" t="s">
        <v>1275</v>
      </c>
      <c r="F4000" t="s">
        <v>84</v>
      </c>
      <c r="G4000">
        <v>357.37222042421581</v>
      </c>
      <c r="H4000" t="s">
        <v>248</v>
      </c>
      <c r="I4000">
        <v>0</v>
      </c>
      <c r="J4000">
        <v>0</v>
      </c>
      <c r="K4000">
        <v>0</v>
      </c>
      <c r="L4000">
        <v>0</v>
      </c>
      <c r="M4000" t="s">
        <v>187</v>
      </c>
      <c r="N4000">
        <v>681.30102289477202</v>
      </c>
      <c r="O4000" t="s">
        <v>248</v>
      </c>
      <c r="P4000" t="b">
        <v>1</v>
      </c>
      <c r="Q4000">
        <v>5009.8791318291524</v>
      </c>
      <c r="R4000">
        <v>22272.169540842715</v>
      </c>
      <c r="S4000">
        <v>-1.6904576915364629</v>
      </c>
      <c r="T4000">
        <v>79.861519124777232</v>
      </c>
      <c r="U4000">
        <v>0</v>
      </c>
      <c r="V4000">
        <v>0</v>
      </c>
    </row>
    <row r="4001" spans="1:22" x14ac:dyDescent="0.2">
      <c r="A4001"/>
      <c r="B4001">
        <v>75288</v>
      </c>
      <c r="C4001" t="s">
        <v>659</v>
      </c>
      <c r="D4001" t="s">
        <v>920</v>
      </c>
      <c r="E4001" t="s">
        <v>1275</v>
      </c>
      <c r="F4001" t="s">
        <v>84</v>
      </c>
      <c r="G4001">
        <v>378.04038331950585</v>
      </c>
      <c r="H4001" t="s">
        <v>248</v>
      </c>
      <c r="I4001">
        <v>0</v>
      </c>
      <c r="J4001">
        <v>0</v>
      </c>
      <c r="K4001">
        <v>0</v>
      </c>
      <c r="L4001">
        <v>0</v>
      </c>
      <c r="M4001" t="s">
        <v>187</v>
      </c>
      <c r="N4001">
        <v>701.96918579006206</v>
      </c>
      <c r="O4001" t="s">
        <v>248</v>
      </c>
      <c r="P4001" t="b">
        <v>1</v>
      </c>
      <c r="Q4001">
        <v>5013.5145485607345</v>
      </c>
      <c r="R4001">
        <v>22292.51538321167</v>
      </c>
      <c r="S4001">
        <v>-1.7350007968399339</v>
      </c>
      <c r="T4001">
        <v>79.879147245059713</v>
      </c>
      <c r="U4001">
        <v>0</v>
      </c>
      <c r="V4001">
        <v>0</v>
      </c>
    </row>
    <row r="4002" spans="1:22" x14ac:dyDescent="0.2">
      <c r="A4002"/>
      <c r="B4002">
        <v>75289</v>
      </c>
      <c r="C4002" t="s">
        <v>660</v>
      </c>
      <c r="D4002" t="s">
        <v>920</v>
      </c>
      <c r="E4002" t="s">
        <v>1275</v>
      </c>
      <c r="F4002" t="s">
        <v>87</v>
      </c>
      <c r="G4002">
        <v>41.310325683943518</v>
      </c>
      <c r="H4002" t="s">
        <v>248</v>
      </c>
      <c r="I4002">
        <v>0</v>
      </c>
      <c r="J4002">
        <v>0</v>
      </c>
      <c r="K4002">
        <v>0</v>
      </c>
      <c r="L4002">
        <v>0</v>
      </c>
      <c r="M4002" t="s">
        <v>187</v>
      </c>
      <c r="N4002">
        <v>820.066657621172</v>
      </c>
      <c r="O4002" t="s">
        <v>248</v>
      </c>
      <c r="P4002" t="b">
        <v>1</v>
      </c>
      <c r="Q4002">
        <v>5034.4228170752185</v>
      </c>
      <c r="R4002">
        <v>22408.747042270596</v>
      </c>
      <c r="S4002">
        <v>-1.7252534396118706</v>
      </c>
      <c r="T4002">
        <v>79.389806743379296</v>
      </c>
      <c r="U4002">
        <v>0</v>
      </c>
      <c r="V4002">
        <v>0</v>
      </c>
    </row>
    <row r="4003" spans="1:22" x14ac:dyDescent="0.2">
      <c r="A4003"/>
      <c r="B4003">
        <v>75290</v>
      </c>
      <c r="C4003" t="s">
        <v>661</v>
      </c>
      <c r="D4003" t="s">
        <v>920</v>
      </c>
      <c r="E4003" t="s">
        <v>1275</v>
      </c>
      <c r="F4003" t="s">
        <v>87</v>
      </c>
      <c r="G4003">
        <v>173.63523027470052</v>
      </c>
      <c r="H4003" t="s">
        <v>248</v>
      </c>
      <c r="I4003">
        <v>0</v>
      </c>
      <c r="J4003">
        <v>0</v>
      </c>
      <c r="K4003">
        <v>0</v>
      </c>
      <c r="L4003">
        <v>0</v>
      </c>
      <c r="M4003" t="s">
        <v>187</v>
      </c>
      <c r="N4003">
        <v>952.391562211929</v>
      </c>
      <c r="O4003" t="s">
        <v>248</v>
      </c>
      <c r="P4003" t="b">
        <v>1</v>
      </c>
      <c r="Q4003">
        <v>5063.0015172889744</v>
      </c>
      <c r="R4003">
        <v>22537.926738582613</v>
      </c>
      <c r="S4003">
        <v>-1.3289426652004441</v>
      </c>
      <c r="T4003">
        <v>76.257462797272552</v>
      </c>
      <c r="U4003">
        <v>0</v>
      </c>
      <c r="V4003">
        <v>0</v>
      </c>
    </row>
    <row r="4004" spans="1:22" x14ac:dyDescent="0.2">
      <c r="A4004"/>
      <c r="B4004">
        <v>75291</v>
      </c>
      <c r="C4004" t="s">
        <v>662</v>
      </c>
      <c r="D4004" t="s">
        <v>920</v>
      </c>
      <c r="E4004" t="s">
        <v>1275</v>
      </c>
      <c r="F4004" t="s">
        <v>87</v>
      </c>
      <c r="G4004">
        <v>258.81440586312141</v>
      </c>
      <c r="H4004" t="s">
        <v>248</v>
      </c>
      <c r="I4004">
        <v>0</v>
      </c>
      <c r="J4004">
        <v>0</v>
      </c>
      <c r="K4004">
        <v>0</v>
      </c>
      <c r="L4004">
        <v>0</v>
      </c>
      <c r="M4004" t="s">
        <v>187</v>
      </c>
      <c r="N4004">
        <v>1037.5707378003499</v>
      </c>
      <c r="O4004" t="s">
        <v>248</v>
      </c>
      <c r="P4004" t="b">
        <v>1</v>
      </c>
      <c r="Q4004">
        <v>5081.9532877709707</v>
      </c>
      <c r="R4004">
        <v>22620.959208341508</v>
      </c>
      <c r="S4004">
        <v>-0.93904564860434336</v>
      </c>
      <c r="T4004">
        <v>79.130712306437147</v>
      </c>
      <c r="U4004">
        <v>0</v>
      </c>
      <c r="V4004">
        <v>0</v>
      </c>
    </row>
    <row r="4005" spans="1:22" x14ac:dyDescent="0.2">
      <c r="A4005"/>
      <c r="B4005">
        <v>75292</v>
      </c>
      <c r="C4005" t="s">
        <v>663</v>
      </c>
      <c r="D4005" t="s">
        <v>920</v>
      </c>
      <c r="E4005" t="s">
        <v>1275</v>
      </c>
      <c r="F4005" t="s">
        <v>87</v>
      </c>
      <c r="G4005">
        <v>318.32961542398147</v>
      </c>
      <c r="H4005" t="s">
        <v>248</v>
      </c>
      <c r="I4005">
        <v>0</v>
      </c>
      <c r="J4005">
        <v>0</v>
      </c>
      <c r="K4005">
        <v>0</v>
      </c>
      <c r="L4005">
        <v>0</v>
      </c>
      <c r="M4005" t="s">
        <v>187</v>
      </c>
      <c r="N4005">
        <v>1097.0859473612099</v>
      </c>
      <c r="O4005" t="s">
        <v>248</v>
      </c>
      <c r="P4005" t="b">
        <v>1</v>
      </c>
      <c r="Q4005">
        <v>5090.7152971174237</v>
      </c>
      <c r="R4005">
        <v>22679.805648236365</v>
      </c>
      <c r="S4005">
        <v>-0.65345323890729712</v>
      </c>
      <c r="T4005">
        <v>83.532341731418583</v>
      </c>
      <c r="U4005">
        <v>0</v>
      </c>
      <c r="V4005">
        <v>0</v>
      </c>
    </row>
    <row r="4006" spans="1:22" x14ac:dyDescent="0.2">
      <c r="A4006"/>
      <c r="B4006">
        <v>75293</v>
      </c>
      <c r="C4006" t="s">
        <v>664</v>
      </c>
      <c r="D4006" t="s">
        <v>920</v>
      </c>
      <c r="E4006" t="s">
        <v>1275</v>
      </c>
      <c r="F4006" t="s">
        <v>87</v>
      </c>
      <c r="G4006">
        <v>378.76982989535162</v>
      </c>
      <c r="H4006" t="s">
        <v>248</v>
      </c>
      <c r="I4006">
        <v>0</v>
      </c>
      <c r="J4006">
        <v>0</v>
      </c>
      <c r="K4006">
        <v>0</v>
      </c>
      <c r="L4006">
        <v>0</v>
      </c>
      <c r="M4006" t="s">
        <v>187</v>
      </c>
      <c r="N4006">
        <v>1157.5261618325801</v>
      </c>
      <c r="O4006" t="s">
        <v>248</v>
      </c>
      <c r="P4006" t="b">
        <v>1</v>
      </c>
      <c r="Q4006">
        <v>5098.1767413373227</v>
      </c>
      <c r="R4006">
        <v>22739.780646557418</v>
      </c>
      <c r="S4006">
        <v>-0.36542577233941687</v>
      </c>
      <c r="T4006">
        <v>81.854852081109854</v>
      </c>
      <c r="U4006">
        <v>0</v>
      </c>
      <c r="V4006">
        <v>0</v>
      </c>
    </row>
    <row r="4007" spans="1:22" x14ac:dyDescent="0.2">
      <c r="A4007"/>
      <c r="B4007">
        <v>75294</v>
      </c>
      <c r="C4007" t="s">
        <v>665</v>
      </c>
      <c r="D4007" t="s">
        <v>920</v>
      </c>
      <c r="E4007" t="s">
        <v>1275</v>
      </c>
      <c r="F4007" t="s">
        <v>87</v>
      </c>
      <c r="G4007">
        <v>426.07300654202157</v>
      </c>
      <c r="H4007" t="s">
        <v>248</v>
      </c>
      <c r="I4007">
        <v>0</v>
      </c>
      <c r="J4007">
        <v>0</v>
      </c>
      <c r="K4007">
        <v>0</v>
      </c>
      <c r="L4007">
        <v>0</v>
      </c>
      <c r="M4007" t="s">
        <v>187</v>
      </c>
      <c r="N4007">
        <v>1204.8293384792501</v>
      </c>
      <c r="O4007" t="s">
        <v>248</v>
      </c>
      <c r="P4007" t="b">
        <v>1</v>
      </c>
      <c r="Q4007">
        <v>5106.1252444354514</v>
      </c>
      <c r="R4007">
        <v>22786.403706690013</v>
      </c>
      <c r="S4007">
        <v>-0.14169444956931704</v>
      </c>
      <c r="T4007">
        <v>78.476914595336794</v>
      </c>
      <c r="U4007">
        <v>0</v>
      </c>
      <c r="V4007">
        <v>0</v>
      </c>
    </row>
    <row r="4008" spans="1:22" x14ac:dyDescent="0.2">
      <c r="A4008"/>
      <c r="B4008">
        <v>75295</v>
      </c>
      <c r="C4008" t="s">
        <v>666</v>
      </c>
      <c r="D4008" t="s">
        <v>920</v>
      </c>
      <c r="E4008" t="s">
        <v>1275</v>
      </c>
      <c r="F4008" t="s">
        <v>87</v>
      </c>
      <c r="G4008">
        <v>622.88256196815132</v>
      </c>
      <c r="H4008" t="s">
        <v>248</v>
      </c>
      <c r="I4008">
        <v>0</v>
      </c>
      <c r="J4008">
        <v>0</v>
      </c>
      <c r="K4008">
        <v>0</v>
      </c>
      <c r="L4008">
        <v>0</v>
      </c>
      <c r="M4008" t="s">
        <v>187</v>
      </c>
      <c r="N4008">
        <v>1401.63889390538</v>
      </c>
      <c r="O4008" t="s">
        <v>248</v>
      </c>
      <c r="P4008" t="b">
        <v>1</v>
      </c>
      <c r="Q4008">
        <v>5156.587393333506</v>
      </c>
      <c r="R4008">
        <v>22976.608036928425</v>
      </c>
      <c r="S4008">
        <v>0.29853808698605439</v>
      </c>
      <c r="T4008">
        <v>74.650256876018773</v>
      </c>
      <c r="U4008">
        <v>0</v>
      </c>
      <c r="V4008">
        <v>0</v>
      </c>
    </row>
    <row r="4009" spans="1:22" x14ac:dyDescent="0.2">
      <c r="A4009"/>
      <c r="B4009">
        <v>75296</v>
      </c>
      <c r="C4009" t="s">
        <v>667</v>
      </c>
      <c r="D4009" t="s">
        <v>920</v>
      </c>
      <c r="E4009" t="s">
        <v>1275</v>
      </c>
      <c r="F4009" t="s">
        <v>87</v>
      </c>
      <c r="G4009">
        <v>819.69211739427124</v>
      </c>
      <c r="H4009" t="s">
        <v>248</v>
      </c>
      <c r="I4009">
        <v>0</v>
      </c>
      <c r="J4009">
        <v>0</v>
      </c>
      <c r="K4009">
        <v>0</v>
      </c>
      <c r="L4009">
        <v>0</v>
      </c>
      <c r="M4009" t="s">
        <v>187</v>
      </c>
      <c r="N4009">
        <v>1598.4484493314999</v>
      </c>
      <c r="O4009" t="s">
        <v>248</v>
      </c>
      <c r="P4009" t="b">
        <v>1</v>
      </c>
      <c r="Q4009">
        <v>5178.0899690272799</v>
      </c>
      <c r="R4009">
        <v>23170.088690168534</v>
      </c>
      <c r="S4009">
        <v>0.26941819519959859</v>
      </c>
      <c r="T4009">
        <v>99.965933172953541</v>
      </c>
      <c r="U4009">
        <v>0</v>
      </c>
      <c r="V4009">
        <v>0</v>
      </c>
    </row>
    <row r="4010" spans="1:22" x14ac:dyDescent="0.2">
      <c r="A4010"/>
      <c r="B4010">
        <v>75297</v>
      </c>
      <c r="C4010" t="s">
        <v>668</v>
      </c>
      <c r="D4010" t="s">
        <v>920</v>
      </c>
      <c r="E4010" t="s">
        <v>1275</v>
      </c>
      <c r="F4010" t="s">
        <v>87</v>
      </c>
      <c r="G4010">
        <v>937.77785064995146</v>
      </c>
      <c r="H4010" t="s">
        <v>248</v>
      </c>
      <c r="I4010">
        <v>0</v>
      </c>
      <c r="J4010">
        <v>0</v>
      </c>
      <c r="K4010">
        <v>0</v>
      </c>
      <c r="L4010">
        <v>0</v>
      </c>
      <c r="M4010" t="s">
        <v>187</v>
      </c>
      <c r="N4010">
        <v>1716.5341825871801</v>
      </c>
      <c r="O4010" t="s">
        <v>248</v>
      </c>
      <c r="P4010" t="b">
        <v>1</v>
      </c>
      <c r="Q4010">
        <v>5136.9012365052467</v>
      </c>
      <c r="R4010">
        <v>23280.047604117615</v>
      </c>
      <c r="S4010">
        <v>3.1542508115058125</v>
      </c>
      <c r="T4010">
        <v>118.90214276882168</v>
      </c>
      <c r="U4010">
        <v>0</v>
      </c>
      <c r="V4010">
        <v>0</v>
      </c>
    </row>
    <row r="4011" spans="1:22" x14ac:dyDescent="0.2">
      <c r="A4011"/>
      <c r="B4011">
        <v>75298</v>
      </c>
      <c r="C4011" t="s">
        <v>669</v>
      </c>
      <c r="D4011" t="s">
        <v>920</v>
      </c>
      <c r="E4011" t="s">
        <v>1275</v>
      </c>
      <c r="F4011" t="s">
        <v>87</v>
      </c>
      <c r="G4011">
        <v>958.44285396969144</v>
      </c>
      <c r="H4011" t="s">
        <v>248</v>
      </c>
      <c r="I4011">
        <v>0</v>
      </c>
      <c r="J4011">
        <v>0</v>
      </c>
      <c r="K4011">
        <v>0</v>
      </c>
      <c r="L4011">
        <v>0</v>
      </c>
      <c r="M4011" t="s">
        <v>187</v>
      </c>
      <c r="N4011">
        <v>1737.1991859069201</v>
      </c>
      <c r="O4011" t="s">
        <v>248</v>
      </c>
      <c r="P4011" t="b">
        <v>1</v>
      </c>
      <c r="Q4011">
        <v>5126.9180886583417</v>
      </c>
      <c r="R4011">
        <v>23298.134299969683</v>
      </c>
      <c r="S4011">
        <v>3.6548026173809602</v>
      </c>
      <c r="T4011">
        <v>118.89424999405323</v>
      </c>
      <c r="U4011">
        <v>0</v>
      </c>
      <c r="V4011">
        <v>0</v>
      </c>
    </row>
    <row r="4012" spans="1:22" x14ac:dyDescent="0.2">
      <c r="A4012"/>
      <c r="B4012">
        <v>75299</v>
      </c>
      <c r="C4012" t="s">
        <v>670</v>
      </c>
      <c r="D4012" t="s">
        <v>920</v>
      </c>
      <c r="E4012" t="s">
        <v>1275</v>
      </c>
      <c r="F4012" t="s">
        <v>87</v>
      </c>
      <c r="G4012">
        <v>1000.1467987644915</v>
      </c>
      <c r="H4012" t="s">
        <v>248</v>
      </c>
      <c r="I4012">
        <v>0</v>
      </c>
      <c r="J4012">
        <v>0</v>
      </c>
      <c r="K4012">
        <v>0</v>
      </c>
      <c r="L4012">
        <v>0</v>
      </c>
      <c r="M4012" t="s">
        <v>187</v>
      </c>
      <c r="N4012">
        <v>1778.9031307017201</v>
      </c>
      <c r="O4012" t="s">
        <v>248</v>
      </c>
      <c r="P4012" t="b">
        <v>1</v>
      </c>
      <c r="Q4012">
        <v>5106.935311614342</v>
      </c>
      <c r="R4012">
        <v>23334.724207229749</v>
      </c>
      <c r="S4012">
        <v>4.66762981905089</v>
      </c>
      <c r="T4012">
        <v>117.48846704784029</v>
      </c>
      <c r="U4012">
        <v>0</v>
      </c>
      <c r="V4012">
        <v>0</v>
      </c>
    </row>
    <row r="4013" spans="1:22" x14ac:dyDescent="0.2">
      <c r="A4013"/>
      <c r="B4013">
        <v>75300</v>
      </c>
      <c r="C4013" t="s">
        <v>671</v>
      </c>
      <c r="D4013" t="s">
        <v>920</v>
      </c>
      <c r="E4013" t="s">
        <v>1275</v>
      </c>
      <c r="F4013" t="s">
        <v>87</v>
      </c>
      <c r="G4013">
        <v>1118.2325320201714</v>
      </c>
      <c r="H4013" t="s">
        <v>248</v>
      </c>
      <c r="I4013">
        <v>0</v>
      </c>
      <c r="J4013">
        <v>0</v>
      </c>
      <c r="K4013">
        <v>0</v>
      </c>
      <c r="L4013">
        <v>0</v>
      </c>
      <c r="M4013" t="s">
        <v>187</v>
      </c>
      <c r="N4013">
        <v>1896.9888639574001</v>
      </c>
      <c r="O4013" t="s">
        <v>248</v>
      </c>
      <c r="P4013" t="b">
        <v>1</v>
      </c>
      <c r="Q4013">
        <v>5072.9323950668877</v>
      </c>
      <c r="R4013">
        <v>23447.003561032048</v>
      </c>
      <c r="S4013">
        <v>7.251808015468673</v>
      </c>
      <c r="T4013">
        <v>95.287848060600652</v>
      </c>
      <c r="U4013">
        <v>0</v>
      </c>
      <c r="V4013">
        <v>0</v>
      </c>
    </row>
    <row r="4014" spans="1:22" x14ac:dyDescent="0.2">
      <c r="A4014"/>
      <c r="B4014">
        <v>75301</v>
      </c>
      <c r="C4014" t="s">
        <v>672</v>
      </c>
      <c r="D4014" t="s">
        <v>920</v>
      </c>
      <c r="E4014" t="s">
        <v>1275</v>
      </c>
      <c r="F4014" t="s">
        <v>87</v>
      </c>
      <c r="G4014">
        <v>1193.0792059487214</v>
      </c>
      <c r="H4014" t="s">
        <v>248</v>
      </c>
      <c r="I4014">
        <v>0</v>
      </c>
      <c r="J4014">
        <v>0</v>
      </c>
      <c r="K4014">
        <v>0</v>
      </c>
      <c r="L4014">
        <v>0</v>
      </c>
      <c r="M4014" t="s">
        <v>187</v>
      </c>
      <c r="N4014">
        <v>1971.8355378859501</v>
      </c>
      <c r="O4014" t="s">
        <v>248</v>
      </c>
      <c r="P4014" t="b">
        <v>1</v>
      </c>
      <c r="Q4014">
        <v>5072.6832284674492</v>
      </c>
      <c r="R4014">
        <v>23521.793525631965</v>
      </c>
      <c r="S4014">
        <v>7.3980513735585411</v>
      </c>
      <c r="T4014">
        <v>88.139996813460542</v>
      </c>
      <c r="U4014">
        <v>0</v>
      </c>
      <c r="V4014">
        <v>0</v>
      </c>
    </row>
    <row r="4015" spans="1:22" x14ac:dyDescent="0.2">
      <c r="A4015"/>
      <c r="B4015">
        <v>75302</v>
      </c>
      <c r="C4015" t="s">
        <v>673</v>
      </c>
      <c r="D4015" t="s">
        <v>920</v>
      </c>
      <c r="E4015" t="s">
        <v>1275</v>
      </c>
      <c r="F4015" t="s">
        <v>87</v>
      </c>
      <c r="G4015">
        <v>1207.7021559168913</v>
      </c>
      <c r="H4015" t="s">
        <v>248</v>
      </c>
      <c r="I4015">
        <v>0</v>
      </c>
      <c r="J4015">
        <v>0</v>
      </c>
      <c r="K4015">
        <v>0</v>
      </c>
      <c r="L4015">
        <v>0</v>
      </c>
      <c r="M4015" t="s">
        <v>187</v>
      </c>
      <c r="N4015">
        <v>1986.45848785412</v>
      </c>
      <c r="O4015" t="s">
        <v>248</v>
      </c>
      <c r="P4015" t="b">
        <v>1</v>
      </c>
      <c r="Q4015">
        <v>5073.1545944495338</v>
      </c>
      <c r="R4015">
        <v>23536.408876338181</v>
      </c>
      <c r="S4015">
        <v>7.398335266756316</v>
      </c>
      <c r="T4015">
        <v>88.165521028105985</v>
      </c>
      <c r="U4015">
        <v>0</v>
      </c>
      <c r="V4015">
        <v>0</v>
      </c>
    </row>
    <row r="4016" spans="1:22" x14ac:dyDescent="0.2">
      <c r="A4016"/>
      <c r="B4016">
        <v>75303</v>
      </c>
      <c r="C4016" t="s">
        <v>674</v>
      </c>
      <c r="D4016" t="s">
        <v>920</v>
      </c>
      <c r="E4016" t="s">
        <v>1275</v>
      </c>
      <c r="F4016" t="s">
        <v>87</v>
      </c>
      <c r="G4016">
        <v>1210.6542992482814</v>
      </c>
      <c r="H4016" t="s">
        <v>248</v>
      </c>
      <c r="I4016">
        <v>0</v>
      </c>
      <c r="J4016">
        <v>0</v>
      </c>
      <c r="K4016">
        <v>0</v>
      </c>
      <c r="L4016">
        <v>0</v>
      </c>
      <c r="M4016" t="s">
        <v>187</v>
      </c>
      <c r="N4016">
        <v>1989.4106311855101</v>
      </c>
      <c r="O4016" t="s">
        <v>248</v>
      </c>
      <c r="P4016" t="b">
        <v>1</v>
      </c>
      <c r="Q4016">
        <v>5073.2489668215139</v>
      </c>
      <c r="R4016">
        <v>23539.359510862399</v>
      </c>
      <c r="S4016">
        <v>7.3983911945395668</v>
      </c>
      <c r="T4016">
        <v>88.170658733528199</v>
      </c>
      <c r="U4016">
        <v>0</v>
      </c>
      <c r="V4016">
        <v>0</v>
      </c>
    </row>
    <row r="4017" spans="1:22" x14ac:dyDescent="0.2">
      <c r="A4017"/>
      <c r="B4017">
        <v>75304</v>
      </c>
      <c r="C4017" t="s">
        <v>675</v>
      </c>
      <c r="D4017" t="s">
        <v>920</v>
      </c>
      <c r="E4017" t="s">
        <v>1275</v>
      </c>
      <c r="F4017" t="s">
        <v>87</v>
      </c>
      <c r="G4017">
        <v>1230.2565309687213</v>
      </c>
      <c r="H4017" t="s">
        <v>248</v>
      </c>
      <c r="I4017">
        <v>0</v>
      </c>
      <c r="J4017">
        <v>0</v>
      </c>
      <c r="K4017">
        <v>0</v>
      </c>
      <c r="L4017">
        <v>0</v>
      </c>
      <c r="M4017" t="s">
        <v>187</v>
      </c>
      <c r="N4017">
        <v>2009.01286290595</v>
      </c>
      <c r="O4017" t="s">
        <v>248</v>
      </c>
      <c r="P4017" t="b">
        <v>1</v>
      </c>
      <c r="Q4017">
        <v>5073.8689041384969</v>
      </c>
      <c r="R4017">
        <v>23558.951936816069</v>
      </c>
      <c r="S4017">
        <v>7.3987507819109162</v>
      </c>
      <c r="T4017">
        <v>88.204643306001003</v>
      </c>
      <c r="U4017">
        <v>0</v>
      </c>
      <c r="V4017">
        <v>0</v>
      </c>
    </row>
    <row r="4018" spans="1:22" x14ac:dyDescent="0.2">
      <c r="A4018"/>
      <c r="B4018">
        <v>75305</v>
      </c>
      <c r="C4018" t="s">
        <v>676</v>
      </c>
      <c r="D4018" t="s">
        <v>920</v>
      </c>
      <c r="E4018" t="s">
        <v>1275</v>
      </c>
      <c r="F4018" t="s">
        <v>87</v>
      </c>
      <c r="G4018">
        <v>1233.2086743001114</v>
      </c>
      <c r="H4018" t="s">
        <v>248</v>
      </c>
      <c r="I4018">
        <v>0</v>
      </c>
      <c r="J4018">
        <v>0</v>
      </c>
      <c r="K4018">
        <v>0</v>
      </c>
      <c r="L4018">
        <v>0</v>
      </c>
      <c r="M4018" t="s">
        <v>187</v>
      </c>
      <c r="N4018">
        <v>2011.96500623734</v>
      </c>
      <c r="O4018" t="s">
        <v>248</v>
      </c>
      <c r="P4018" t="b">
        <v>1</v>
      </c>
      <c r="Q4018">
        <v>5073.9612627649776</v>
      </c>
      <c r="R4018">
        <v>23561.90263505965</v>
      </c>
      <c r="S4018">
        <v>7.3988031594925125</v>
      </c>
      <c r="T4018">
        <v>88.209741917588659</v>
      </c>
      <c r="U4018">
        <v>0</v>
      </c>
      <c r="V4018">
        <v>0</v>
      </c>
    </row>
    <row r="4019" spans="1:22" x14ac:dyDescent="0.2">
      <c r="A4019"/>
      <c r="B4019">
        <v>75306</v>
      </c>
      <c r="C4019" t="s">
        <v>677</v>
      </c>
      <c r="D4019" t="s">
        <v>920</v>
      </c>
      <c r="E4019" t="s">
        <v>1275</v>
      </c>
      <c r="F4019" t="s">
        <v>87</v>
      </c>
      <c r="G4019">
        <v>1290.3031263292312</v>
      </c>
      <c r="H4019" t="s">
        <v>248</v>
      </c>
      <c r="I4019">
        <v>0</v>
      </c>
      <c r="J4019">
        <v>0</v>
      </c>
      <c r="K4019">
        <v>0</v>
      </c>
      <c r="L4019">
        <v>0</v>
      </c>
      <c r="M4019" t="s">
        <v>187</v>
      </c>
      <c r="N4019">
        <v>2069.0594582664598</v>
      </c>
      <c r="O4019" t="s">
        <v>248</v>
      </c>
      <c r="P4019" t="b">
        <v>1</v>
      </c>
      <c r="Q4019">
        <v>5075.6961750718956</v>
      </c>
      <c r="R4019">
        <v>23618.970714952709</v>
      </c>
      <c r="S4019">
        <v>7.3997247627847393</v>
      </c>
      <c r="T4019">
        <v>88.307342615392173</v>
      </c>
      <c r="U4019">
        <v>0</v>
      </c>
      <c r="V4019">
        <v>0</v>
      </c>
    </row>
    <row r="4020" spans="1:22" x14ac:dyDescent="0.2">
      <c r="A4020"/>
      <c r="B4020">
        <v>75307</v>
      </c>
      <c r="C4020" t="s">
        <v>678</v>
      </c>
      <c r="D4020" t="s">
        <v>920</v>
      </c>
      <c r="E4020" t="s">
        <v>1275</v>
      </c>
      <c r="F4020" t="s">
        <v>87</v>
      </c>
      <c r="G4020">
        <v>1324.8432033065212</v>
      </c>
      <c r="H4020" t="s">
        <v>248</v>
      </c>
      <c r="I4020">
        <v>0</v>
      </c>
      <c r="J4020">
        <v>0</v>
      </c>
      <c r="K4020">
        <v>0</v>
      </c>
      <c r="L4020">
        <v>0</v>
      </c>
      <c r="M4020" t="s">
        <v>187</v>
      </c>
      <c r="N4020">
        <v>2103.5995352437499</v>
      </c>
      <c r="O4020" t="s">
        <v>248</v>
      </c>
      <c r="P4020" t="b">
        <v>1</v>
      </c>
      <c r="Q4020">
        <v>5076.6988800681529</v>
      </c>
      <c r="R4020">
        <v>23653.496233019483</v>
      </c>
      <c r="S4020">
        <v>7.4001979081802567</v>
      </c>
      <c r="T4020">
        <v>88.365458340715676</v>
      </c>
      <c r="U4020">
        <v>0</v>
      </c>
      <c r="V4020">
        <v>0</v>
      </c>
    </row>
    <row r="4021" spans="1:22" x14ac:dyDescent="0.2">
      <c r="A4021"/>
      <c r="B4021">
        <v>75308</v>
      </c>
      <c r="C4021" t="s">
        <v>679</v>
      </c>
      <c r="D4021" t="s">
        <v>920</v>
      </c>
      <c r="E4021" t="s">
        <v>1275</v>
      </c>
      <c r="F4021" t="s">
        <v>87</v>
      </c>
      <c r="G4021">
        <v>1327.7953466379115</v>
      </c>
      <c r="H4021" t="s">
        <v>248</v>
      </c>
      <c r="I4021">
        <v>0</v>
      </c>
      <c r="J4021">
        <v>0</v>
      </c>
      <c r="K4021">
        <v>0</v>
      </c>
      <c r="L4021">
        <v>0</v>
      </c>
      <c r="M4021" t="s">
        <v>187</v>
      </c>
      <c r="N4021">
        <v>2106.5516785751402</v>
      </c>
      <c r="O4021" t="s">
        <v>248</v>
      </c>
      <c r="P4021" t="b">
        <v>1</v>
      </c>
      <c r="Q4021">
        <v>5076.7829606859686</v>
      </c>
      <c r="R4021">
        <v>23656.447178747887</v>
      </c>
      <c r="S4021">
        <v>7.4002353995018204</v>
      </c>
      <c r="T4021">
        <v>88.370393003814016</v>
      </c>
      <c r="U4021">
        <v>0</v>
      </c>
      <c r="V4021">
        <v>0</v>
      </c>
    </row>
    <row r="4022" spans="1:22" x14ac:dyDescent="0.2">
      <c r="A4022"/>
      <c r="B4022">
        <v>75309</v>
      </c>
      <c r="C4022" t="s">
        <v>680</v>
      </c>
      <c r="D4022" t="s">
        <v>920</v>
      </c>
      <c r="E4022" t="s">
        <v>1275</v>
      </c>
      <c r="F4022" t="s">
        <v>87</v>
      </c>
      <c r="G4022">
        <v>1347.3975783583512</v>
      </c>
      <c r="H4022" t="s">
        <v>248</v>
      </c>
      <c r="I4022">
        <v>0</v>
      </c>
      <c r="J4022">
        <v>0</v>
      </c>
      <c r="K4022">
        <v>0</v>
      </c>
      <c r="L4022">
        <v>0</v>
      </c>
      <c r="M4022" t="s">
        <v>187</v>
      </c>
      <c r="N4022">
        <v>2126.1539102955799</v>
      </c>
      <c r="O4022" t="s">
        <v>248</v>
      </c>
      <c r="P4022" t="b">
        <v>1</v>
      </c>
      <c r="Q4022">
        <v>5077.3348253079903</v>
      </c>
      <c r="R4022">
        <v>23676.041640297393</v>
      </c>
      <c r="S4022">
        <v>7.4004725365810593</v>
      </c>
      <c r="T4022">
        <v>88.403029375256367</v>
      </c>
      <c r="U4022">
        <v>0</v>
      </c>
      <c r="V4022">
        <v>0</v>
      </c>
    </row>
    <row r="4023" spans="1:22" x14ac:dyDescent="0.2">
      <c r="A4023"/>
      <c r="B4023">
        <v>75310</v>
      </c>
      <c r="C4023" t="s">
        <v>681</v>
      </c>
      <c r="D4023" t="s">
        <v>920</v>
      </c>
      <c r="E4023" t="s">
        <v>1275</v>
      </c>
      <c r="F4023" t="s">
        <v>87</v>
      </c>
      <c r="G4023">
        <v>1350.3497216897415</v>
      </c>
      <c r="H4023" t="s">
        <v>248</v>
      </c>
      <c r="I4023">
        <v>0</v>
      </c>
      <c r="J4023">
        <v>0</v>
      </c>
      <c r="K4023">
        <v>0</v>
      </c>
      <c r="L4023">
        <v>0</v>
      </c>
      <c r="M4023" t="s">
        <v>187</v>
      </c>
      <c r="N4023">
        <v>2129.1060536269702</v>
      </c>
      <c r="O4023" t="s">
        <v>248</v>
      </c>
      <c r="P4023" t="b">
        <v>1</v>
      </c>
      <c r="Q4023">
        <v>5077.4169718666217</v>
      </c>
      <c r="R4023">
        <v>23678.992640498265</v>
      </c>
      <c r="S4023">
        <v>7.4005064739756783</v>
      </c>
      <c r="T4023">
        <v>88.40792494452019</v>
      </c>
      <c r="U4023">
        <v>0</v>
      </c>
      <c r="V4023">
        <v>0</v>
      </c>
    </row>
    <row r="4024" spans="1:22" x14ac:dyDescent="0.2">
      <c r="A4024"/>
      <c r="B4024">
        <v>75311</v>
      </c>
      <c r="C4024" t="s">
        <v>682</v>
      </c>
      <c r="D4024" t="s">
        <v>920</v>
      </c>
      <c r="E4024" t="s">
        <v>1275</v>
      </c>
      <c r="F4024" t="s">
        <v>87</v>
      </c>
      <c r="G4024">
        <v>1401.9335061669315</v>
      </c>
      <c r="H4024" t="s">
        <v>248</v>
      </c>
      <c r="I4024">
        <v>0</v>
      </c>
      <c r="J4024">
        <v>0</v>
      </c>
      <c r="K4024">
        <v>0</v>
      </c>
      <c r="L4024">
        <v>0</v>
      </c>
      <c r="M4024" t="s">
        <v>187</v>
      </c>
      <c r="N4024">
        <v>2180.6898381041601</v>
      </c>
      <c r="O4024" t="s">
        <v>248</v>
      </c>
      <c r="P4024" t="b">
        <v>1</v>
      </c>
      <c r="Q4024">
        <v>5078.8119073018433</v>
      </c>
      <c r="R4024">
        <v>23730.557553941162</v>
      </c>
      <c r="S4024">
        <v>7.3963294134688189</v>
      </c>
      <c r="T4024">
        <v>88.492596470258945</v>
      </c>
      <c r="U4024">
        <v>0</v>
      </c>
      <c r="V4024">
        <v>0</v>
      </c>
    </row>
    <row r="4025" spans="1:22" x14ac:dyDescent="0.2">
      <c r="A4025"/>
      <c r="B4025">
        <v>75312</v>
      </c>
      <c r="C4025" t="s">
        <v>683</v>
      </c>
      <c r="D4025" t="s">
        <v>920</v>
      </c>
      <c r="E4025" t="s">
        <v>1275</v>
      </c>
      <c r="F4025" t="s">
        <v>87</v>
      </c>
      <c r="G4025">
        <v>1479.9881758489312</v>
      </c>
      <c r="H4025" t="s">
        <v>248</v>
      </c>
      <c r="I4025">
        <v>0</v>
      </c>
      <c r="J4025">
        <v>0</v>
      </c>
      <c r="K4025">
        <v>0</v>
      </c>
      <c r="L4025">
        <v>0</v>
      </c>
      <c r="M4025" t="s">
        <v>187</v>
      </c>
      <c r="N4025">
        <v>2258.7445077861598</v>
      </c>
      <c r="O4025" t="s">
        <v>248</v>
      </c>
      <c r="P4025" t="b">
        <v>1</v>
      </c>
      <c r="Q4025">
        <v>5080.7819370492907</v>
      </c>
      <c r="R4025">
        <v>23808.585616399374</v>
      </c>
      <c r="S4025">
        <v>6.9093317184825427</v>
      </c>
      <c r="T4025">
        <v>88.613683982226149</v>
      </c>
      <c r="U4025">
        <v>0</v>
      </c>
      <c r="V4025">
        <v>0</v>
      </c>
    </row>
    <row r="4026" spans="1:22" x14ac:dyDescent="0.2">
      <c r="A4026"/>
      <c r="B4026">
        <v>75313</v>
      </c>
      <c r="C4026" t="s">
        <v>684</v>
      </c>
      <c r="D4026" t="s">
        <v>920</v>
      </c>
      <c r="E4026" t="s">
        <v>1275</v>
      </c>
      <c r="F4026" t="s">
        <v>87</v>
      </c>
      <c r="G4026">
        <v>1500.6531791686814</v>
      </c>
      <c r="H4026" t="s">
        <v>248</v>
      </c>
      <c r="I4026">
        <v>0</v>
      </c>
      <c r="J4026">
        <v>0</v>
      </c>
      <c r="K4026">
        <v>0</v>
      </c>
      <c r="L4026">
        <v>0</v>
      </c>
      <c r="M4026" t="s">
        <v>187</v>
      </c>
      <c r="N4026">
        <v>2279.40951110591</v>
      </c>
      <c r="O4026" t="s">
        <v>248</v>
      </c>
      <c r="P4026" t="b">
        <v>1</v>
      </c>
      <c r="Q4026">
        <v>5081.2761624032219</v>
      </c>
      <c r="R4026">
        <v>23829.244006623394</v>
      </c>
      <c r="S4026">
        <v>6.7390204053600318</v>
      </c>
      <c r="T4026">
        <v>88.645401999217725</v>
      </c>
      <c r="U4026">
        <v>0</v>
      </c>
      <c r="V4026">
        <v>0</v>
      </c>
    </row>
    <row r="4027" spans="1:22" x14ac:dyDescent="0.2">
      <c r="A4027"/>
      <c r="B4027">
        <v>75314</v>
      </c>
      <c r="C4027" t="s">
        <v>685</v>
      </c>
      <c r="D4027" t="s">
        <v>920</v>
      </c>
      <c r="E4027" t="s">
        <v>1275</v>
      </c>
      <c r="F4027" t="s">
        <v>87</v>
      </c>
      <c r="G4027">
        <v>1618.7389124243509</v>
      </c>
      <c r="H4027" t="s">
        <v>248</v>
      </c>
      <c r="I4027">
        <v>0</v>
      </c>
      <c r="J4027">
        <v>0</v>
      </c>
      <c r="K4027">
        <v>0</v>
      </c>
      <c r="L4027">
        <v>0</v>
      </c>
      <c r="M4027" t="s">
        <v>187</v>
      </c>
      <c r="N4027">
        <v>2397.4952443615798</v>
      </c>
      <c r="O4027" t="s">
        <v>248</v>
      </c>
      <c r="P4027" t="b">
        <v>1</v>
      </c>
      <c r="Q4027">
        <v>5083.8793261905748</v>
      </c>
      <c r="R4027">
        <v>23947.296934248167</v>
      </c>
      <c r="S4027">
        <v>5.760092118053918</v>
      </c>
      <c r="T4027">
        <v>88.828739986540185</v>
      </c>
      <c r="U4027">
        <v>0</v>
      </c>
      <c r="V4027">
        <v>0</v>
      </c>
    </row>
    <row r="4028" spans="1:22" x14ac:dyDescent="0.2">
      <c r="A4028"/>
      <c r="B4028">
        <v>75315</v>
      </c>
      <c r="C4028" t="s">
        <v>686</v>
      </c>
      <c r="D4028" t="s">
        <v>920</v>
      </c>
      <c r="E4028" t="s">
        <v>1275</v>
      </c>
      <c r="F4028" t="s">
        <v>87</v>
      </c>
      <c r="G4028">
        <v>1805.7079900791809</v>
      </c>
      <c r="H4028" t="s">
        <v>248</v>
      </c>
      <c r="I4028">
        <v>0</v>
      </c>
      <c r="J4028">
        <v>0</v>
      </c>
      <c r="K4028">
        <v>0</v>
      </c>
      <c r="L4028">
        <v>0</v>
      </c>
      <c r="M4028" t="s">
        <v>187</v>
      </c>
      <c r="N4028">
        <v>2584.4643220164098</v>
      </c>
      <c r="O4028" t="s">
        <v>248</v>
      </c>
      <c r="P4028" t="b">
        <v>1</v>
      </c>
      <c r="Q4028">
        <v>5086.5658496590058</v>
      </c>
      <c r="R4028">
        <v>24134.242234337325</v>
      </c>
      <c r="S4028">
        <v>5.3876081912190763</v>
      </c>
      <c r="T4028">
        <v>89.884629498250519</v>
      </c>
      <c r="U4028">
        <v>0</v>
      </c>
      <c r="V4028">
        <v>0</v>
      </c>
    </row>
    <row r="4029" spans="1:22" x14ac:dyDescent="0.2">
      <c r="A4029"/>
      <c r="B4029">
        <v>75316</v>
      </c>
      <c r="C4029" t="s">
        <v>687</v>
      </c>
      <c r="D4029" t="s">
        <v>920</v>
      </c>
      <c r="E4029" t="s">
        <v>1275</v>
      </c>
      <c r="F4029" t="s">
        <v>87</v>
      </c>
      <c r="G4029">
        <v>1994.6451632882613</v>
      </c>
      <c r="H4029" t="s">
        <v>248</v>
      </c>
      <c r="I4029">
        <v>0</v>
      </c>
      <c r="J4029">
        <v>0</v>
      </c>
      <c r="K4029">
        <v>0</v>
      </c>
      <c r="L4029">
        <v>0</v>
      </c>
      <c r="M4029" t="s">
        <v>187</v>
      </c>
      <c r="N4029">
        <v>2773.4014952254902</v>
      </c>
      <c r="O4029" t="s">
        <v>248</v>
      </c>
      <c r="P4029" t="b">
        <v>1</v>
      </c>
      <c r="Q4029">
        <v>5087.2523565061683</v>
      </c>
      <c r="R4029">
        <v>24323.177441215066</v>
      </c>
      <c r="S4029">
        <v>5.0450557402241181</v>
      </c>
      <c r="T4029">
        <v>89.755910299603272</v>
      </c>
      <c r="U4029">
        <v>0</v>
      </c>
      <c r="V4029">
        <v>0</v>
      </c>
    </row>
    <row r="4030" spans="1:22" x14ac:dyDescent="0.2">
      <c r="A4030"/>
      <c r="B4030">
        <v>75317</v>
      </c>
      <c r="C4030" t="s">
        <v>688</v>
      </c>
      <c r="D4030" t="s">
        <v>920</v>
      </c>
      <c r="E4030" t="s">
        <v>1275</v>
      </c>
      <c r="F4030" t="s">
        <v>87</v>
      </c>
      <c r="G4030">
        <v>2171.773763171771</v>
      </c>
      <c r="H4030" t="s">
        <v>248</v>
      </c>
      <c r="I4030">
        <v>0</v>
      </c>
      <c r="J4030">
        <v>0</v>
      </c>
      <c r="K4030">
        <v>0</v>
      </c>
      <c r="L4030">
        <v>0</v>
      </c>
      <c r="M4030" t="s">
        <v>187</v>
      </c>
      <c r="N4030">
        <v>2950.5300951089998</v>
      </c>
      <c r="O4030" t="s">
        <v>248</v>
      </c>
      <c r="P4030" t="b">
        <v>1</v>
      </c>
      <c r="Q4030">
        <v>5087.6748628397627</v>
      </c>
      <c r="R4030">
        <v>24500.293690595354</v>
      </c>
      <c r="S4030">
        <v>3.0117666087904005</v>
      </c>
      <c r="T4030">
        <v>90.108920463723209</v>
      </c>
      <c r="U4030">
        <v>0</v>
      </c>
      <c r="V4030">
        <v>0</v>
      </c>
    </row>
    <row r="4031" spans="1:22" x14ac:dyDescent="0.2">
      <c r="A4031"/>
      <c r="B4031">
        <v>75318</v>
      </c>
      <c r="C4031" t="s">
        <v>689</v>
      </c>
      <c r="D4031" t="s">
        <v>920</v>
      </c>
      <c r="E4031" t="s">
        <v>1275</v>
      </c>
      <c r="F4031" t="s">
        <v>87</v>
      </c>
      <c r="G4031">
        <v>2348.9023630552911</v>
      </c>
      <c r="H4031" t="s">
        <v>248</v>
      </c>
      <c r="I4031">
        <v>0</v>
      </c>
      <c r="J4031">
        <v>0</v>
      </c>
      <c r="K4031">
        <v>0</v>
      </c>
      <c r="L4031">
        <v>0</v>
      </c>
      <c r="M4031" t="s">
        <v>187</v>
      </c>
      <c r="N4031">
        <v>3127.6586949925199</v>
      </c>
      <c r="O4031" t="s">
        <v>248</v>
      </c>
      <c r="P4031" t="b">
        <v>1</v>
      </c>
      <c r="Q4031">
        <v>5067.4422545941243</v>
      </c>
      <c r="R4031">
        <v>24676.073377124201</v>
      </c>
      <c r="S4031">
        <v>0.96773685883012117</v>
      </c>
      <c r="T4031">
        <v>95.385454842108871</v>
      </c>
      <c r="U4031">
        <v>0</v>
      </c>
      <c r="V4031">
        <v>0</v>
      </c>
    </row>
    <row r="4032" spans="1:22" x14ac:dyDescent="0.2">
      <c r="A4032"/>
      <c r="B4032">
        <v>75319</v>
      </c>
      <c r="C4032" t="s">
        <v>690</v>
      </c>
      <c r="D4032" t="s">
        <v>920</v>
      </c>
      <c r="E4032" t="s">
        <v>1275</v>
      </c>
      <c r="F4032" t="s">
        <v>87</v>
      </c>
      <c r="G4032">
        <v>2526.0309629388012</v>
      </c>
      <c r="H4032" t="s">
        <v>248</v>
      </c>
      <c r="I4032">
        <v>0</v>
      </c>
      <c r="J4032">
        <v>0</v>
      </c>
      <c r="K4032">
        <v>0</v>
      </c>
      <c r="L4032">
        <v>0</v>
      </c>
      <c r="M4032" t="s">
        <v>187</v>
      </c>
      <c r="N4032">
        <v>3304.78729487603</v>
      </c>
      <c r="O4032" t="s">
        <v>248</v>
      </c>
      <c r="P4032" t="b">
        <v>1</v>
      </c>
      <c r="Q4032">
        <v>5065.5534314974266</v>
      </c>
      <c r="R4032">
        <v>24853.10652889841</v>
      </c>
      <c r="S4032">
        <v>-1.0729106421847088</v>
      </c>
      <c r="T4032">
        <v>90.09740456389504</v>
      </c>
      <c r="U4032">
        <v>0</v>
      </c>
      <c r="V4032">
        <v>0</v>
      </c>
    </row>
    <row r="4033" spans="1:22" x14ac:dyDescent="0.2">
      <c r="A4033"/>
      <c r="B4033">
        <v>75320</v>
      </c>
      <c r="C4033" t="s">
        <v>691</v>
      </c>
      <c r="D4033" t="s">
        <v>920</v>
      </c>
      <c r="E4033" t="s">
        <v>1275</v>
      </c>
      <c r="F4033" t="s">
        <v>87</v>
      </c>
      <c r="G4033">
        <v>2644.1166961944809</v>
      </c>
      <c r="H4033" t="s">
        <v>248</v>
      </c>
      <c r="I4033">
        <v>0</v>
      </c>
      <c r="J4033">
        <v>0</v>
      </c>
      <c r="K4033">
        <v>0</v>
      </c>
      <c r="L4033">
        <v>0</v>
      </c>
      <c r="M4033" t="s">
        <v>187</v>
      </c>
      <c r="N4033">
        <v>3422.8730281317098</v>
      </c>
      <c r="O4033" t="s">
        <v>248</v>
      </c>
      <c r="P4033" t="b">
        <v>1</v>
      </c>
      <c r="Q4033">
        <v>5066.7620857768216</v>
      </c>
      <c r="R4033">
        <v>24971.123341044295</v>
      </c>
      <c r="S4033">
        <v>-2.4124353996772649</v>
      </c>
      <c r="T4033">
        <v>84.118687292033698</v>
      </c>
      <c r="U4033">
        <v>0</v>
      </c>
      <c r="V4033">
        <v>0</v>
      </c>
    </row>
    <row r="4034" spans="1:22" x14ac:dyDescent="0.2">
      <c r="A4034"/>
      <c r="B4034">
        <v>75321</v>
      </c>
      <c r="C4034" t="s">
        <v>692</v>
      </c>
      <c r="D4034" t="s">
        <v>920</v>
      </c>
      <c r="E4034" t="s">
        <v>1275</v>
      </c>
      <c r="F4034" t="s">
        <v>87</v>
      </c>
      <c r="G4034">
        <v>2664.7816995142211</v>
      </c>
      <c r="H4034" t="s">
        <v>248</v>
      </c>
      <c r="I4034">
        <v>0</v>
      </c>
      <c r="J4034">
        <v>0</v>
      </c>
      <c r="K4034">
        <v>0</v>
      </c>
      <c r="L4034">
        <v>0</v>
      </c>
      <c r="M4034" t="s">
        <v>187</v>
      </c>
      <c r="N4034">
        <v>3443.53803145145</v>
      </c>
      <c r="O4034" t="s">
        <v>248</v>
      </c>
      <c r="P4034" t="b">
        <v>1</v>
      </c>
      <c r="Q4034">
        <v>5069.52483975626</v>
      </c>
      <c r="R4034">
        <v>24991.598561614155</v>
      </c>
      <c r="S4034">
        <v>-2.5909602771306215</v>
      </c>
      <c r="T4034">
        <v>80.510569915444336</v>
      </c>
      <c r="U4034">
        <v>0</v>
      </c>
      <c r="V4034">
        <v>0</v>
      </c>
    </row>
    <row r="4035" spans="1:22" x14ac:dyDescent="0.2">
      <c r="A4035"/>
      <c r="B4035">
        <v>75322</v>
      </c>
      <c r="C4035" t="s">
        <v>693</v>
      </c>
      <c r="D4035" t="s">
        <v>920</v>
      </c>
      <c r="E4035" t="s">
        <v>1275</v>
      </c>
      <c r="F4035" t="s">
        <v>87</v>
      </c>
      <c r="G4035">
        <v>2758.689378885801</v>
      </c>
      <c r="H4035" t="s">
        <v>248</v>
      </c>
      <c r="I4035">
        <v>0</v>
      </c>
      <c r="J4035">
        <v>0</v>
      </c>
      <c r="K4035">
        <v>0</v>
      </c>
      <c r="L4035">
        <v>0</v>
      </c>
      <c r="M4035" t="s">
        <v>187</v>
      </c>
      <c r="N4035">
        <v>3537.4457108230299</v>
      </c>
      <c r="O4035" t="s">
        <v>248</v>
      </c>
      <c r="P4035" t="b">
        <v>1</v>
      </c>
      <c r="Q4035">
        <v>5096.1991622172218</v>
      </c>
      <c r="R4035">
        <v>25081.465611880591</v>
      </c>
      <c r="S4035">
        <v>-2.6250659641914695</v>
      </c>
      <c r="T4035">
        <v>70.180980233569173</v>
      </c>
      <c r="U4035">
        <v>0</v>
      </c>
      <c r="V4035">
        <v>0</v>
      </c>
    </row>
    <row r="4036" spans="1:22" x14ac:dyDescent="0.2">
      <c r="A4036"/>
      <c r="B4036">
        <v>75323</v>
      </c>
      <c r="C4036" t="s">
        <v>694</v>
      </c>
      <c r="D4036" t="s">
        <v>920</v>
      </c>
      <c r="E4036" t="s">
        <v>1275</v>
      </c>
      <c r="F4036" t="s">
        <v>87</v>
      </c>
      <c r="G4036">
        <v>2773.3123288539609</v>
      </c>
      <c r="H4036" t="s">
        <v>248</v>
      </c>
      <c r="I4036">
        <v>0</v>
      </c>
      <c r="J4036">
        <v>0</v>
      </c>
      <c r="K4036">
        <v>0</v>
      </c>
      <c r="L4036">
        <v>0</v>
      </c>
      <c r="M4036" t="s">
        <v>187</v>
      </c>
      <c r="N4036">
        <v>3552.0686607911898</v>
      </c>
      <c r="O4036" t="s">
        <v>248</v>
      </c>
      <c r="P4036" t="b">
        <v>1</v>
      </c>
      <c r="Q4036">
        <v>5101.1646370846001</v>
      </c>
      <c r="R4036">
        <v>25095.219691358303</v>
      </c>
      <c r="S4036">
        <v>-2.6262618844444092</v>
      </c>
      <c r="T4036">
        <v>70.118372282077445</v>
      </c>
      <c r="U4036">
        <v>0</v>
      </c>
      <c r="V4036">
        <v>0</v>
      </c>
    </row>
    <row r="4037" spans="1:22" x14ac:dyDescent="0.2">
      <c r="A4037"/>
      <c r="B4037">
        <v>75324</v>
      </c>
      <c r="C4037" t="s">
        <v>695</v>
      </c>
      <c r="D4037" t="s">
        <v>920</v>
      </c>
      <c r="E4037" t="s">
        <v>1275</v>
      </c>
      <c r="F4037" t="s">
        <v>87</v>
      </c>
      <c r="G4037">
        <v>2776.2644721853512</v>
      </c>
      <c r="H4037" t="s">
        <v>248</v>
      </c>
      <c r="I4037">
        <v>0</v>
      </c>
      <c r="J4037">
        <v>0</v>
      </c>
      <c r="K4037">
        <v>0</v>
      </c>
      <c r="L4037">
        <v>0</v>
      </c>
      <c r="M4037" t="s">
        <v>187</v>
      </c>
      <c r="N4037">
        <v>3555.0208041225801</v>
      </c>
      <c r="O4037" t="s">
        <v>248</v>
      </c>
      <c r="P4037" t="b">
        <v>1</v>
      </c>
      <c r="Q4037">
        <v>5102.1688961004565</v>
      </c>
      <c r="R4037">
        <v>25097.995770254085</v>
      </c>
      <c r="S4037">
        <v>-2.6263540433242611</v>
      </c>
      <c r="T4037">
        <v>70.106006418304887</v>
      </c>
      <c r="U4037">
        <v>0</v>
      </c>
      <c r="V4037">
        <v>0</v>
      </c>
    </row>
    <row r="4038" spans="1:22" x14ac:dyDescent="0.2">
      <c r="A4038"/>
      <c r="B4038">
        <v>75325</v>
      </c>
      <c r="C4038" t="s">
        <v>696</v>
      </c>
      <c r="D4038" t="s">
        <v>920</v>
      </c>
      <c r="E4038" t="s">
        <v>1275</v>
      </c>
      <c r="F4038" t="s">
        <v>87</v>
      </c>
      <c r="G4038">
        <v>2795.8667039058009</v>
      </c>
      <c r="H4038" t="s">
        <v>248</v>
      </c>
      <c r="I4038">
        <v>0</v>
      </c>
      <c r="J4038">
        <v>0</v>
      </c>
      <c r="K4038">
        <v>0</v>
      </c>
      <c r="L4038">
        <v>0</v>
      </c>
      <c r="M4038" t="s">
        <v>187</v>
      </c>
      <c r="N4038">
        <v>3574.6230358430298</v>
      </c>
      <c r="O4038" t="s">
        <v>248</v>
      </c>
      <c r="P4038" t="b">
        <v>1</v>
      </c>
      <c r="Q4038">
        <v>5108.85203045451</v>
      </c>
      <c r="R4038">
        <v>25116.423552075292</v>
      </c>
      <c r="S4038">
        <v>-2.6259786614139347</v>
      </c>
      <c r="T4038">
        <v>70.027683269743846</v>
      </c>
      <c r="U4038">
        <v>0</v>
      </c>
      <c r="V4038">
        <v>0</v>
      </c>
    </row>
    <row r="4039" spans="1:22" x14ac:dyDescent="0.2">
      <c r="A4039"/>
      <c r="B4039">
        <v>75326</v>
      </c>
      <c r="C4039" t="s">
        <v>697</v>
      </c>
      <c r="D4039" t="s">
        <v>920</v>
      </c>
      <c r="E4039" t="s">
        <v>1275</v>
      </c>
      <c r="F4039" t="s">
        <v>87</v>
      </c>
      <c r="G4039">
        <v>2798.8188472371912</v>
      </c>
      <c r="H4039" t="s">
        <v>248</v>
      </c>
      <c r="I4039">
        <v>0</v>
      </c>
      <c r="J4039">
        <v>0</v>
      </c>
      <c r="K4039">
        <v>0</v>
      </c>
      <c r="L4039">
        <v>0</v>
      </c>
      <c r="M4039" t="s">
        <v>187</v>
      </c>
      <c r="N4039">
        <v>3577.5751791744201</v>
      </c>
      <c r="O4039" t="s">
        <v>248</v>
      </c>
      <c r="P4039" t="b">
        <v>1</v>
      </c>
      <c r="Q4039">
        <v>5109.8606394452945</v>
      </c>
      <c r="R4039">
        <v>25119.198053494099</v>
      </c>
      <c r="S4039">
        <v>-2.6259066472450985</v>
      </c>
      <c r="T4039">
        <v>70.01713810264431</v>
      </c>
      <c r="U4039">
        <v>0</v>
      </c>
      <c r="V4039">
        <v>0</v>
      </c>
    </row>
    <row r="4040" spans="1:22" x14ac:dyDescent="0.2">
      <c r="A4040"/>
      <c r="B4040">
        <v>75327</v>
      </c>
      <c r="C4040" t="s">
        <v>698</v>
      </c>
      <c r="D4040" t="s">
        <v>920</v>
      </c>
      <c r="E4040" t="s">
        <v>1275</v>
      </c>
      <c r="F4040" t="s">
        <v>87</v>
      </c>
      <c r="G4040">
        <v>2855.9132992663112</v>
      </c>
      <c r="H4040" t="s">
        <v>248</v>
      </c>
      <c r="I4040">
        <v>0</v>
      </c>
      <c r="J4040">
        <v>0</v>
      </c>
      <c r="K4040">
        <v>0</v>
      </c>
      <c r="L4040">
        <v>0</v>
      </c>
      <c r="M4040" t="s">
        <v>187</v>
      </c>
      <c r="N4040">
        <v>3634.6696312035401</v>
      </c>
      <c r="O4040" t="s">
        <v>248</v>
      </c>
      <c r="P4040" t="b">
        <v>1</v>
      </c>
      <c r="Q4040">
        <v>5129.4418048347497</v>
      </c>
      <c r="R4040">
        <v>25172.829696361459</v>
      </c>
      <c r="S4040">
        <v>-2.6268519272018938</v>
      </c>
      <c r="T4040">
        <v>69.893591029974388</v>
      </c>
      <c r="U4040">
        <v>0</v>
      </c>
      <c r="V4040">
        <v>0</v>
      </c>
    </row>
    <row r="4041" spans="1:22" x14ac:dyDescent="0.2">
      <c r="A4041"/>
      <c r="B4041">
        <v>75328</v>
      </c>
      <c r="C4041" t="s">
        <v>699</v>
      </c>
      <c r="D4041" t="s">
        <v>920</v>
      </c>
      <c r="E4041" t="s">
        <v>1275</v>
      </c>
      <c r="F4041" t="s">
        <v>87</v>
      </c>
      <c r="G4041">
        <v>2890.4533762435913</v>
      </c>
      <c r="H4041" t="s">
        <v>248</v>
      </c>
      <c r="I4041">
        <v>0</v>
      </c>
      <c r="J4041">
        <v>0</v>
      </c>
      <c r="K4041">
        <v>0</v>
      </c>
      <c r="L4041">
        <v>0</v>
      </c>
      <c r="M4041" t="s">
        <v>187</v>
      </c>
      <c r="N4041">
        <v>3669.2097081808201</v>
      </c>
      <c r="O4041" t="s">
        <v>248</v>
      </c>
      <c r="P4041" t="b">
        <v>1</v>
      </c>
      <c r="Q4041">
        <v>5141.3182516889419</v>
      </c>
      <c r="R4041">
        <v>25205.263735863995</v>
      </c>
      <c r="S4041">
        <v>-2.6295822802387891</v>
      </c>
      <c r="T4041">
        <v>69.893072278874797</v>
      </c>
      <c r="U4041">
        <v>0</v>
      </c>
      <c r="V4041">
        <v>0</v>
      </c>
    </row>
    <row r="4042" spans="1:22" x14ac:dyDescent="0.2">
      <c r="A4042"/>
      <c r="B4042">
        <v>75329</v>
      </c>
      <c r="C4042" t="s">
        <v>700</v>
      </c>
      <c r="D4042" t="s">
        <v>920</v>
      </c>
      <c r="E4042" t="s">
        <v>1275</v>
      </c>
      <c r="F4042" t="s">
        <v>87</v>
      </c>
      <c r="G4042">
        <v>2893.4055195749911</v>
      </c>
      <c r="H4042" t="s">
        <v>248</v>
      </c>
      <c r="I4042">
        <v>0</v>
      </c>
      <c r="J4042">
        <v>0</v>
      </c>
      <c r="K4042">
        <v>0</v>
      </c>
      <c r="L4042">
        <v>0</v>
      </c>
      <c r="M4042" t="s">
        <v>187</v>
      </c>
      <c r="N4042">
        <v>3672.16185151222</v>
      </c>
      <c r="O4042" t="s">
        <v>248</v>
      </c>
      <c r="P4042" t="b">
        <v>1</v>
      </c>
      <c r="Q4042">
        <v>5142.3330594874906</v>
      </c>
      <c r="R4042">
        <v>25208.035975984243</v>
      </c>
      <c r="S4042">
        <v>-2.6298911263623057</v>
      </c>
      <c r="T4042">
        <v>69.895623514030419</v>
      </c>
      <c r="U4042">
        <v>0</v>
      </c>
      <c r="V4042">
        <v>0</v>
      </c>
    </row>
    <row r="4043" spans="1:22" x14ac:dyDescent="0.2">
      <c r="A4043"/>
      <c r="B4043">
        <v>75330</v>
      </c>
      <c r="C4043" t="s">
        <v>701</v>
      </c>
      <c r="D4043" t="s">
        <v>920</v>
      </c>
      <c r="E4043" t="s">
        <v>1275</v>
      </c>
      <c r="F4043" t="s">
        <v>87</v>
      </c>
      <c r="G4043">
        <v>2913.0077512954313</v>
      </c>
      <c r="H4043" t="s">
        <v>248</v>
      </c>
      <c r="I4043">
        <v>0</v>
      </c>
      <c r="J4043">
        <v>0</v>
      </c>
      <c r="K4043">
        <v>0</v>
      </c>
      <c r="L4043">
        <v>0</v>
      </c>
      <c r="M4043" t="s">
        <v>187</v>
      </c>
      <c r="N4043">
        <v>3691.7640832326601</v>
      </c>
      <c r="O4043" t="s">
        <v>248</v>
      </c>
      <c r="P4043" t="b">
        <v>1</v>
      </c>
      <c r="Q4043">
        <v>5149.0670580349615</v>
      </c>
      <c r="R4043">
        <v>25226.445232870436</v>
      </c>
      <c r="S4043">
        <v>-2.6322433764037458</v>
      </c>
      <c r="T4043">
        <v>69.922931618831996</v>
      </c>
      <c r="U4043">
        <v>0</v>
      </c>
      <c r="V4043">
        <v>0</v>
      </c>
    </row>
    <row r="4044" spans="1:22" x14ac:dyDescent="0.2">
      <c r="A4044"/>
      <c r="B4044">
        <v>75331</v>
      </c>
      <c r="C4044" t="s">
        <v>702</v>
      </c>
      <c r="D4044" t="s">
        <v>920</v>
      </c>
      <c r="E4044" t="s">
        <v>1275</v>
      </c>
      <c r="F4044" t="s">
        <v>87</v>
      </c>
      <c r="G4044">
        <v>2915.9598946268211</v>
      </c>
      <c r="H4044" t="s">
        <v>248</v>
      </c>
      <c r="I4044">
        <v>0</v>
      </c>
      <c r="J4044">
        <v>0</v>
      </c>
      <c r="K4044">
        <v>0</v>
      </c>
      <c r="L4044">
        <v>0</v>
      </c>
      <c r="M4044" t="s">
        <v>187</v>
      </c>
      <c r="N4044">
        <v>3694.71622656405</v>
      </c>
      <c r="O4044" t="s">
        <v>248</v>
      </c>
      <c r="P4044" t="b">
        <v>1</v>
      </c>
      <c r="Q4044">
        <v>5150.0803453917706</v>
      </c>
      <c r="R4044">
        <v>25229.218029079089</v>
      </c>
      <c r="S4044">
        <v>-2.6326430394003881</v>
      </c>
      <c r="T4044">
        <v>69.928605716447947</v>
      </c>
      <c r="U4044">
        <v>0</v>
      </c>
      <c r="V4044">
        <v>0</v>
      </c>
    </row>
    <row r="4045" spans="1:22" x14ac:dyDescent="0.2">
      <c r="A4045"/>
      <c r="B4045">
        <v>75332</v>
      </c>
      <c r="C4045" t="s">
        <v>703</v>
      </c>
      <c r="D4045" t="s">
        <v>920</v>
      </c>
      <c r="E4045" t="s">
        <v>1275</v>
      </c>
      <c r="F4045" t="s">
        <v>87</v>
      </c>
      <c r="G4045">
        <v>2967.5436791040111</v>
      </c>
      <c r="H4045" t="s">
        <v>248</v>
      </c>
      <c r="I4045">
        <v>0</v>
      </c>
      <c r="J4045">
        <v>0</v>
      </c>
      <c r="K4045">
        <v>0</v>
      </c>
      <c r="L4045">
        <v>0</v>
      </c>
      <c r="M4045" t="s">
        <v>187</v>
      </c>
      <c r="N4045">
        <v>3746.3000110412399</v>
      </c>
      <c r="O4045" t="s">
        <v>248</v>
      </c>
      <c r="P4045" t="b">
        <v>1</v>
      </c>
      <c r="Q4045">
        <v>5167.7218985938525</v>
      </c>
      <c r="R4045">
        <v>25277.690497962038</v>
      </c>
      <c r="S4045">
        <v>-2.8383740289972494</v>
      </c>
      <c r="T4045">
        <v>70.094886207704249</v>
      </c>
      <c r="U4045">
        <v>0</v>
      </c>
      <c r="V4045">
        <v>0</v>
      </c>
    </row>
    <row r="4046" spans="1:22" x14ac:dyDescent="0.2">
      <c r="A4046"/>
      <c r="B4046">
        <v>75333</v>
      </c>
      <c r="C4046" t="s">
        <v>704</v>
      </c>
      <c r="D4046" t="s">
        <v>920</v>
      </c>
      <c r="E4046" t="s">
        <v>1275</v>
      </c>
      <c r="F4046" t="s">
        <v>87</v>
      </c>
      <c r="G4046">
        <v>3046.5922370409112</v>
      </c>
      <c r="H4046" t="s">
        <v>248</v>
      </c>
      <c r="I4046">
        <v>0</v>
      </c>
      <c r="J4046">
        <v>0</v>
      </c>
      <c r="K4046">
        <v>0</v>
      </c>
      <c r="L4046">
        <v>0</v>
      </c>
      <c r="M4046" t="s">
        <v>187</v>
      </c>
      <c r="N4046">
        <v>3825.3485689781401</v>
      </c>
      <c r="O4046" t="s">
        <v>248</v>
      </c>
      <c r="P4046" t="b">
        <v>1</v>
      </c>
      <c r="Q4046">
        <v>5194.2847148320425</v>
      </c>
      <c r="R4046">
        <v>25352.129464842306</v>
      </c>
      <c r="S4046">
        <v>-4.173595594672082</v>
      </c>
      <c r="T4046">
        <v>71.456841688029485</v>
      </c>
      <c r="U4046">
        <v>0</v>
      </c>
      <c r="V4046">
        <v>0</v>
      </c>
    </row>
    <row r="4047" spans="1:22" x14ac:dyDescent="0.2">
      <c r="A4047"/>
      <c r="B4047">
        <v>75334</v>
      </c>
      <c r="C4047" t="s">
        <v>705</v>
      </c>
      <c r="D4047" t="s">
        <v>920</v>
      </c>
      <c r="E4047" t="s">
        <v>1275</v>
      </c>
      <c r="F4047" t="s">
        <v>87</v>
      </c>
      <c r="G4047">
        <v>3067.2572403606609</v>
      </c>
      <c r="H4047" t="s">
        <v>248</v>
      </c>
      <c r="I4047">
        <v>0</v>
      </c>
      <c r="J4047">
        <v>0</v>
      </c>
      <c r="K4047">
        <v>0</v>
      </c>
      <c r="L4047">
        <v>0</v>
      </c>
      <c r="M4047" t="s">
        <v>187</v>
      </c>
      <c r="N4047">
        <v>3846.0135722978898</v>
      </c>
      <c r="O4047" t="s">
        <v>248</v>
      </c>
      <c r="P4047" t="b">
        <v>1</v>
      </c>
      <c r="Q4047">
        <v>5200.4854866752921</v>
      </c>
      <c r="R4047">
        <v>25371.837546133276</v>
      </c>
      <c r="S4047">
        <v>-4.5413063542701249</v>
      </c>
      <c r="T4047">
        <v>73.582469880048961</v>
      </c>
      <c r="U4047">
        <v>0</v>
      </c>
      <c r="V4047">
        <v>0</v>
      </c>
    </row>
    <row r="4048" spans="1:22" x14ac:dyDescent="0.2">
      <c r="A4048"/>
      <c r="B4048">
        <v>75335</v>
      </c>
      <c r="C4048" t="s">
        <v>706</v>
      </c>
      <c r="D4048" t="s">
        <v>920</v>
      </c>
      <c r="E4048" t="s">
        <v>1275</v>
      </c>
      <c r="F4048" t="s">
        <v>87</v>
      </c>
      <c r="G4048">
        <v>3185.3429736163312</v>
      </c>
      <c r="H4048" t="s">
        <v>248</v>
      </c>
      <c r="I4048">
        <v>0</v>
      </c>
      <c r="J4048">
        <v>0</v>
      </c>
      <c r="K4048">
        <v>0</v>
      </c>
      <c r="L4048">
        <v>0</v>
      </c>
      <c r="M4048" t="s">
        <v>187</v>
      </c>
      <c r="N4048">
        <v>3964.09930555356</v>
      </c>
      <c r="O4048" t="s">
        <v>248</v>
      </c>
      <c r="P4048" t="b">
        <v>1</v>
      </c>
      <c r="Q4048">
        <v>5224.3355585628624</v>
      </c>
      <c r="R4048">
        <v>25487.359377649296</v>
      </c>
      <c r="S4048">
        <v>-6.6014765844942112</v>
      </c>
      <c r="T4048">
        <v>81.900339039164407</v>
      </c>
      <c r="U4048">
        <v>0</v>
      </c>
      <c r="V4048">
        <v>0</v>
      </c>
    </row>
    <row r="4049" spans="1:22" x14ac:dyDescent="0.2">
      <c r="A4049"/>
      <c r="B4049">
        <v>75336</v>
      </c>
      <c r="C4049" t="s">
        <v>707</v>
      </c>
      <c r="D4049" t="s">
        <v>920</v>
      </c>
      <c r="E4049" t="s">
        <v>1275</v>
      </c>
      <c r="F4049" t="s">
        <v>87</v>
      </c>
      <c r="G4049">
        <v>3374.2801468254215</v>
      </c>
      <c r="H4049" t="s">
        <v>248</v>
      </c>
      <c r="I4049">
        <v>0</v>
      </c>
      <c r="J4049">
        <v>0</v>
      </c>
      <c r="K4049">
        <v>0</v>
      </c>
      <c r="L4049">
        <v>0</v>
      </c>
      <c r="M4049" t="s">
        <v>187</v>
      </c>
      <c r="N4049">
        <v>4153.0364787626504</v>
      </c>
      <c r="O4049" t="s">
        <v>248</v>
      </c>
      <c r="P4049" t="b">
        <v>1</v>
      </c>
      <c r="Q4049">
        <v>5250.5971296340567</v>
      </c>
      <c r="R4049">
        <v>25674.436725001033</v>
      </c>
      <c r="S4049">
        <v>-9.6520464562405444</v>
      </c>
      <c r="T4049">
        <v>81.979623339334282</v>
      </c>
      <c r="U4049">
        <v>0</v>
      </c>
      <c r="V4049">
        <v>0</v>
      </c>
    </row>
    <row r="4050" spans="1:22" x14ac:dyDescent="0.2">
      <c r="A4050"/>
      <c r="B4050">
        <v>75337</v>
      </c>
      <c r="C4050" t="s">
        <v>708</v>
      </c>
      <c r="D4050" t="s">
        <v>920</v>
      </c>
      <c r="E4050" t="s">
        <v>1275</v>
      </c>
      <c r="F4050" t="s">
        <v>87</v>
      </c>
      <c r="G4050">
        <v>3571.0897022515419</v>
      </c>
      <c r="H4050" t="s">
        <v>248</v>
      </c>
      <c r="I4050">
        <v>0</v>
      </c>
      <c r="J4050">
        <v>0</v>
      </c>
      <c r="K4050">
        <v>0</v>
      </c>
      <c r="L4050">
        <v>0</v>
      </c>
      <c r="M4050" t="s">
        <v>187</v>
      </c>
      <c r="N4050">
        <v>4349.8460341887703</v>
      </c>
      <c r="O4050" t="s">
        <v>248</v>
      </c>
      <c r="P4050" t="b">
        <v>1</v>
      </c>
      <c r="Q4050">
        <v>5278.7631235120825</v>
      </c>
      <c r="R4050">
        <v>25869.186855274143</v>
      </c>
      <c r="S4050">
        <v>-6.4302325698762655</v>
      </c>
      <c r="T4050">
        <v>81.531345748887404</v>
      </c>
      <c r="U4050">
        <v>0</v>
      </c>
      <c r="V4050">
        <v>0</v>
      </c>
    </row>
    <row r="4051" spans="1:22" x14ac:dyDescent="0.2">
      <c r="A4051"/>
      <c r="B4051">
        <v>75338</v>
      </c>
      <c r="C4051" t="s">
        <v>709</v>
      </c>
      <c r="D4051" t="s">
        <v>920</v>
      </c>
      <c r="E4051" t="s">
        <v>1275</v>
      </c>
      <c r="F4051" t="s">
        <v>87</v>
      </c>
      <c r="G4051">
        <v>3689.1754355072221</v>
      </c>
      <c r="H4051" t="s">
        <v>248</v>
      </c>
      <c r="I4051">
        <v>0</v>
      </c>
      <c r="J4051">
        <v>0</v>
      </c>
      <c r="K4051">
        <v>0</v>
      </c>
      <c r="L4051">
        <v>0</v>
      </c>
      <c r="M4051" t="s">
        <v>187</v>
      </c>
      <c r="N4051">
        <v>4467.9317674444501</v>
      </c>
      <c r="O4051" t="s">
        <v>248</v>
      </c>
      <c r="P4051" t="b">
        <v>1</v>
      </c>
      <c r="Q4051">
        <v>5295.9283121803483</v>
      </c>
      <c r="R4051">
        <v>25985.989697970381</v>
      </c>
      <c r="S4051">
        <v>-3.8631834330739814</v>
      </c>
      <c r="T4051">
        <v>82.023315094302447</v>
      </c>
      <c r="U4051">
        <v>0</v>
      </c>
      <c r="V4051">
        <v>0</v>
      </c>
    </row>
    <row r="4052" spans="1:22" x14ac:dyDescent="0.2">
      <c r="A4052"/>
      <c r="B4052">
        <v>75339</v>
      </c>
      <c r="C4052" t="s">
        <v>710</v>
      </c>
      <c r="D4052" t="s">
        <v>920</v>
      </c>
      <c r="E4052" t="s">
        <v>1275</v>
      </c>
      <c r="F4052" t="s">
        <v>87</v>
      </c>
      <c r="G4052">
        <v>3709.8404388269623</v>
      </c>
      <c r="H4052" t="s">
        <v>248</v>
      </c>
      <c r="I4052">
        <v>0</v>
      </c>
      <c r="J4052">
        <v>0</v>
      </c>
      <c r="K4052">
        <v>0</v>
      </c>
      <c r="L4052">
        <v>0</v>
      </c>
      <c r="M4052" t="s">
        <v>187</v>
      </c>
      <c r="N4052">
        <v>4488.5967707641903</v>
      </c>
      <c r="O4052" t="s">
        <v>248</v>
      </c>
      <c r="P4052" t="b">
        <v>1</v>
      </c>
      <c r="Q4052">
        <v>5298.7545158831263</v>
      </c>
      <c r="R4052">
        <v>26006.455737199321</v>
      </c>
      <c r="S4052">
        <v>-3.4209420512201625</v>
      </c>
      <c r="T4052">
        <v>82.257616363897981</v>
      </c>
      <c r="U4052">
        <v>0</v>
      </c>
      <c r="V4052">
        <v>0</v>
      </c>
    </row>
    <row r="4053" spans="1:22" x14ac:dyDescent="0.2">
      <c r="A4053"/>
      <c r="B4053">
        <v>75340</v>
      </c>
      <c r="C4053" t="s">
        <v>711</v>
      </c>
      <c r="D4053" t="s">
        <v>920</v>
      </c>
      <c r="E4053" t="s">
        <v>1275</v>
      </c>
      <c r="F4053" t="s">
        <v>87</v>
      </c>
      <c r="G4053">
        <v>3803.895725365112</v>
      </c>
      <c r="H4053" t="s">
        <v>248</v>
      </c>
      <c r="I4053">
        <v>0</v>
      </c>
      <c r="J4053">
        <v>0</v>
      </c>
      <c r="K4053">
        <v>0</v>
      </c>
      <c r="L4053">
        <v>0</v>
      </c>
      <c r="M4053" t="s">
        <v>187</v>
      </c>
      <c r="N4053">
        <v>4582.6520573023399</v>
      </c>
      <c r="O4053" t="s">
        <v>248</v>
      </c>
      <c r="P4053" t="b">
        <v>1</v>
      </c>
      <c r="Q4053">
        <v>5311.2804060001081</v>
      </c>
      <c r="R4053">
        <v>26099.663895520505</v>
      </c>
      <c r="S4053">
        <v>-2.3470281260339241</v>
      </c>
      <c r="T4053">
        <v>82.353674238291006</v>
      </c>
      <c r="U4053">
        <v>0</v>
      </c>
      <c r="V4053">
        <v>0</v>
      </c>
    </row>
    <row r="4054" spans="1:22" x14ac:dyDescent="0.2">
      <c r="A4054"/>
      <c r="B4054">
        <v>75341</v>
      </c>
      <c r="C4054" t="s">
        <v>712</v>
      </c>
      <c r="D4054" t="s">
        <v>920</v>
      </c>
      <c r="E4054" t="s">
        <v>1275</v>
      </c>
      <c r="F4054" t="s">
        <v>87</v>
      </c>
      <c r="G4054">
        <v>3818.5186753332723</v>
      </c>
      <c r="H4054" t="s">
        <v>248</v>
      </c>
      <c r="I4054">
        <v>0</v>
      </c>
      <c r="J4054">
        <v>0</v>
      </c>
      <c r="K4054">
        <v>0</v>
      </c>
      <c r="L4054">
        <v>0</v>
      </c>
      <c r="M4054" t="s">
        <v>187</v>
      </c>
      <c r="N4054">
        <v>4597.2750072705003</v>
      </c>
      <c r="O4054" t="s">
        <v>248</v>
      </c>
      <c r="P4054" t="b">
        <v>1</v>
      </c>
      <c r="Q4054">
        <v>5313.2255430545092</v>
      </c>
      <c r="R4054">
        <v>26114.156897393048</v>
      </c>
      <c r="S4054">
        <v>-2.349084635290287</v>
      </c>
      <c r="T4054">
        <v>82.358021194339884</v>
      </c>
      <c r="U4054">
        <v>0</v>
      </c>
      <c r="V4054">
        <v>0</v>
      </c>
    </row>
    <row r="4055" spans="1:22" x14ac:dyDescent="0.2">
      <c r="A4055"/>
      <c r="B4055">
        <v>75342</v>
      </c>
      <c r="C4055" t="s">
        <v>713</v>
      </c>
      <c r="D4055" t="s">
        <v>920</v>
      </c>
      <c r="E4055" t="s">
        <v>1275</v>
      </c>
      <c r="F4055" t="s">
        <v>87</v>
      </c>
      <c r="G4055">
        <v>3821.4708186646617</v>
      </c>
      <c r="H4055" t="s">
        <v>248</v>
      </c>
      <c r="I4055">
        <v>0</v>
      </c>
      <c r="J4055">
        <v>0</v>
      </c>
      <c r="K4055">
        <v>0</v>
      </c>
      <c r="L4055">
        <v>0</v>
      </c>
      <c r="M4055" t="s">
        <v>187</v>
      </c>
      <c r="N4055">
        <v>4600.2271506018897</v>
      </c>
      <c r="O4055" t="s">
        <v>248</v>
      </c>
      <c r="P4055" t="b">
        <v>1</v>
      </c>
      <c r="Q4055">
        <v>5313.6181057468548</v>
      </c>
      <c r="R4055">
        <v>26117.082823677574</v>
      </c>
      <c r="S4055">
        <v>-2.3494834229601245</v>
      </c>
      <c r="T4055">
        <v>82.358838771180004</v>
      </c>
      <c r="U4055">
        <v>0</v>
      </c>
      <c r="V4055">
        <v>0</v>
      </c>
    </row>
    <row r="4056" spans="1:22" x14ac:dyDescent="0.2">
      <c r="A4056"/>
      <c r="B4056">
        <v>75343</v>
      </c>
      <c r="C4056" t="s">
        <v>714</v>
      </c>
      <c r="D4056" t="s">
        <v>920</v>
      </c>
      <c r="E4056" t="s">
        <v>1275</v>
      </c>
      <c r="F4056" t="s">
        <v>87</v>
      </c>
      <c r="G4056">
        <v>3841.0730503851123</v>
      </c>
      <c r="H4056" t="s">
        <v>248</v>
      </c>
      <c r="I4056">
        <v>0</v>
      </c>
      <c r="J4056">
        <v>0</v>
      </c>
      <c r="K4056">
        <v>0</v>
      </c>
      <c r="L4056">
        <v>0</v>
      </c>
      <c r="M4056" t="s">
        <v>187</v>
      </c>
      <c r="N4056">
        <v>4619.8293823223403</v>
      </c>
      <c r="O4056" t="s">
        <v>248</v>
      </c>
      <c r="P4056" t="b">
        <v>1</v>
      </c>
      <c r="Q4056">
        <v>5316.2237251556826</v>
      </c>
      <c r="R4056">
        <v>26136.511107940114</v>
      </c>
      <c r="S4056">
        <v>-2.3519917174959253</v>
      </c>
      <c r="T4056">
        <v>82.363756165079536</v>
      </c>
      <c r="U4056">
        <v>0</v>
      </c>
      <c r="V4056">
        <v>0</v>
      </c>
    </row>
    <row r="4057" spans="1:22" x14ac:dyDescent="0.2">
      <c r="A4057"/>
      <c r="B4057">
        <v>75344</v>
      </c>
      <c r="C4057" t="s">
        <v>715</v>
      </c>
      <c r="D4057" t="s">
        <v>920</v>
      </c>
      <c r="E4057" t="s">
        <v>1275</v>
      </c>
      <c r="F4057" t="s">
        <v>87</v>
      </c>
      <c r="G4057">
        <v>3844.0251937165017</v>
      </c>
      <c r="H4057" t="s">
        <v>248</v>
      </c>
      <c r="I4057">
        <v>0</v>
      </c>
      <c r="J4057">
        <v>0</v>
      </c>
      <c r="K4057">
        <v>0</v>
      </c>
      <c r="L4057">
        <v>0</v>
      </c>
      <c r="M4057" t="s">
        <v>187</v>
      </c>
      <c r="N4057">
        <v>4622.7815256537297</v>
      </c>
      <c r="O4057" t="s">
        <v>248</v>
      </c>
      <c r="P4057" t="b">
        <v>1</v>
      </c>
      <c r="Q4057">
        <v>5316.6159989112502</v>
      </c>
      <c r="R4057">
        <v>26139.437072981331</v>
      </c>
      <c r="S4057">
        <v>-2.3523484403518657</v>
      </c>
      <c r="T4057">
        <v>82.364419730980231</v>
      </c>
      <c r="U4057">
        <v>0</v>
      </c>
      <c r="V4057">
        <v>0</v>
      </c>
    </row>
    <row r="4058" spans="1:22" x14ac:dyDescent="0.2">
      <c r="A4058"/>
      <c r="B4058">
        <v>75345</v>
      </c>
      <c r="C4058" t="s">
        <v>716</v>
      </c>
      <c r="D4058" t="s">
        <v>920</v>
      </c>
      <c r="E4058" t="s">
        <v>1275</v>
      </c>
      <c r="F4058" t="s">
        <v>87</v>
      </c>
      <c r="G4058">
        <v>3901.1196457456222</v>
      </c>
      <c r="H4058" t="s">
        <v>248</v>
      </c>
      <c r="I4058">
        <v>0</v>
      </c>
      <c r="J4058">
        <v>0</v>
      </c>
      <c r="K4058">
        <v>0</v>
      </c>
      <c r="L4058">
        <v>0</v>
      </c>
      <c r="M4058" t="s">
        <v>187</v>
      </c>
      <c r="N4058">
        <v>4679.8759776828501</v>
      </c>
      <c r="O4058" t="s">
        <v>248</v>
      </c>
      <c r="P4058" t="b">
        <v>1</v>
      </c>
      <c r="Q4058">
        <v>5324.1972472658981</v>
      </c>
      <c r="R4058">
        <v>26196.025950732386</v>
      </c>
      <c r="S4058">
        <v>-2.3581645190966944</v>
      </c>
      <c r="T4058">
        <v>82.373288164499286</v>
      </c>
      <c r="U4058">
        <v>0</v>
      </c>
      <c r="V4058">
        <v>0</v>
      </c>
    </row>
    <row r="4059" spans="1:22" x14ac:dyDescent="0.2">
      <c r="A4059"/>
      <c r="B4059">
        <v>75346</v>
      </c>
      <c r="C4059" t="s">
        <v>717</v>
      </c>
      <c r="D4059" t="s">
        <v>920</v>
      </c>
      <c r="E4059" t="s">
        <v>1275</v>
      </c>
      <c r="F4059" t="s">
        <v>87</v>
      </c>
      <c r="G4059">
        <v>3935.6597227229017</v>
      </c>
      <c r="H4059" t="s">
        <v>248</v>
      </c>
      <c r="I4059">
        <v>0</v>
      </c>
      <c r="J4059">
        <v>0</v>
      </c>
      <c r="K4059">
        <v>0</v>
      </c>
      <c r="L4059">
        <v>0</v>
      </c>
      <c r="M4059" t="s">
        <v>187</v>
      </c>
      <c r="N4059">
        <v>4714.4160546601297</v>
      </c>
      <c r="O4059" t="s">
        <v>248</v>
      </c>
      <c r="P4059" t="b">
        <v>1</v>
      </c>
      <c r="Q4059">
        <v>5328.7807074508182</v>
      </c>
      <c r="R4059">
        <v>26230.260564850942</v>
      </c>
      <c r="S4059">
        <v>-2.3606832570181857</v>
      </c>
      <c r="T4059">
        <v>82.374992784740883</v>
      </c>
      <c r="U4059">
        <v>0</v>
      </c>
      <c r="V4059">
        <v>0</v>
      </c>
    </row>
    <row r="4060" spans="1:22" x14ac:dyDescent="0.2">
      <c r="A4060"/>
      <c r="B4060">
        <v>75347</v>
      </c>
      <c r="C4060" t="s">
        <v>718</v>
      </c>
      <c r="D4060" t="s">
        <v>920</v>
      </c>
      <c r="E4060" t="s">
        <v>1275</v>
      </c>
      <c r="F4060" t="s">
        <v>87</v>
      </c>
      <c r="G4060">
        <v>3938.611866054302</v>
      </c>
      <c r="H4060" t="s">
        <v>248</v>
      </c>
      <c r="I4060">
        <v>0</v>
      </c>
      <c r="J4060">
        <v>0</v>
      </c>
      <c r="K4060">
        <v>0</v>
      </c>
      <c r="L4060">
        <v>0</v>
      </c>
      <c r="M4060" t="s">
        <v>187</v>
      </c>
      <c r="N4060">
        <v>4717.36819799153</v>
      </c>
      <c r="O4060" t="s">
        <v>248</v>
      </c>
      <c r="P4060" t="b">
        <v>1</v>
      </c>
      <c r="Q4060">
        <v>5329.1724238645847</v>
      </c>
      <c r="R4060">
        <v>26233.186604575178</v>
      </c>
      <c r="S4060">
        <v>-2.3608635713131796</v>
      </c>
      <c r="T4060">
        <v>82.37501047230414</v>
      </c>
      <c r="U4060">
        <v>0</v>
      </c>
      <c r="V4060">
        <v>0</v>
      </c>
    </row>
    <row r="4061" spans="1:22" x14ac:dyDescent="0.2">
      <c r="A4061"/>
      <c r="B4061">
        <v>75348</v>
      </c>
      <c r="C4061" t="s">
        <v>719</v>
      </c>
      <c r="D4061" t="s">
        <v>920</v>
      </c>
      <c r="E4061" t="s">
        <v>1275</v>
      </c>
      <c r="F4061" t="s">
        <v>87</v>
      </c>
      <c r="G4061">
        <v>3958.2140977747417</v>
      </c>
      <c r="H4061" t="s">
        <v>248</v>
      </c>
      <c r="I4061">
        <v>0</v>
      </c>
      <c r="J4061">
        <v>0</v>
      </c>
      <c r="K4061">
        <v>0</v>
      </c>
      <c r="L4061">
        <v>0</v>
      </c>
      <c r="M4061" t="s">
        <v>187</v>
      </c>
      <c r="N4061">
        <v>4736.9704297119697</v>
      </c>
      <c r="O4061" t="s">
        <v>248</v>
      </c>
      <c r="P4061" t="b">
        <v>1</v>
      </c>
      <c r="Q4061">
        <v>5331.773460088918</v>
      </c>
      <c r="R4061">
        <v>26252.61550309919</v>
      </c>
      <c r="S4061">
        <v>-2.3619212035806547</v>
      </c>
      <c r="T4061">
        <v>82.374616601405279</v>
      </c>
      <c r="U4061">
        <v>0</v>
      </c>
      <c r="V4061">
        <v>0</v>
      </c>
    </row>
    <row r="4062" spans="1:22" x14ac:dyDescent="0.2">
      <c r="A4062"/>
      <c r="B4062">
        <v>75349</v>
      </c>
      <c r="C4062" t="s">
        <v>720</v>
      </c>
      <c r="D4062" t="s">
        <v>920</v>
      </c>
      <c r="E4062" t="s">
        <v>1275</v>
      </c>
      <c r="F4062" t="s">
        <v>87</v>
      </c>
      <c r="G4062">
        <v>3961.166241106132</v>
      </c>
      <c r="H4062" t="s">
        <v>248</v>
      </c>
      <c r="I4062">
        <v>0</v>
      </c>
      <c r="J4062">
        <v>0</v>
      </c>
      <c r="K4062">
        <v>0</v>
      </c>
      <c r="L4062">
        <v>0</v>
      </c>
      <c r="M4062" t="s">
        <v>187</v>
      </c>
      <c r="N4062">
        <v>4739.92257304336</v>
      </c>
      <c r="O4062" t="s">
        <v>248</v>
      </c>
      <c r="P4062" t="b">
        <v>1</v>
      </c>
      <c r="Q4062">
        <v>5332.1651996468836</v>
      </c>
      <c r="R4062">
        <v>26255.541539727237</v>
      </c>
      <c r="S4062">
        <v>-2.3620594530617516</v>
      </c>
      <c r="T4062">
        <v>82.374480278029139</v>
      </c>
      <c r="U4062">
        <v>0</v>
      </c>
      <c r="V4062">
        <v>0</v>
      </c>
    </row>
    <row r="4063" spans="1:22" x14ac:dyDescent="0.2">
      <c r="A4063"/>
      <c r="B4063">
        <v>75350</v>
      </c>
      <c r="C4063" t="s">
        <v>721</v>
      </c>
      <c r="D4063" t="s">
        <v>920</v>
      </c>
      <c r="E4063" t="s">
        <v>1275</v>
      </c>
      <c r="F4063" t="s">
        <v>87</v>
      </c>
      <c r="G4063">
        <v>4012.7500255833224</v>
      </c>
      <c r="H4063" t="s">
        <v>248</v>
      </c>
      <c r="I4063">
        <v>0</v>
      </c>
      <c r="J4063">
        <v>0</v>
      </c>
      <c r="K4063">
        <v>0</v>
      </c>
      <c r="L4063">
        <v>0</v>
      </c>
      <c r="M4063" t="s">
        <v>187</v>
      </c>
      <c r="N4063">
        <v>4791.5063575205504</v>
      </c>
      <c r="O4063" t="s">
        <v>248</v>
      </c>
      <c r="P4063" t="b">
        <v>1</v>
      </c>
      <c r="Q4063">
        <v>5339.0310870823396</v>
      </c>
      <c r="R4063">
        <v>26306.666305493007</v>
      </c>
      <c r="S4063">
        <v>-2.3721731181829946</v>
      </c>
      <c r="T4063">
        <v>81.960458261457063</v>
      </c>
      <c r="U4063">
        <v>0</v>
      </c>
      <c r="V4063">
        <v>0</v>
      </c>
    </row>
    <row r="4064" spans="1:22" x14ac:dyDescent="0.2">
      <c r="A4064"/>
      <c r="B4064">
        <v>75351</v>
      </c>
      <c r="C4064" t="s">
        <v>722</v>
      </c>
      <c r="D4064" t="s">
        <v>920</v>
      </c>
      <c r="E4064" t="s">
        <v>1275</v>
      </c>
      <c r="F4064" t="s">
        <v>87</v>
      </c>
      <c r="G4064">
        <v>4091.6509763536519</v>
      </c>
      <c r="H4064" t="s">
        <v>248</v>
      </c>
      <c r="I4064">
        <v>0</v>
      </c>
      <c r="J4064">
        <v>0</v>
      </c>
      <c r="K4064">
        <v>0</v>
      </c>
      <c r="L4064">
        <v>0</v>
      </c>
      <c r="M4064" t="s">
        <v>187</v>
      </c>
      <c r="N4064">
        <v>4870.4073082908799</v>
      </c>
      <c r="O4064" t="s">
        <v>248</v>
      </c>
      <c r="P4064" t="b">
        <v>1</v>
      </c>
      <c r="Q4064">
        <v>5352.0878592461368</v>
      </c>
      <c r="R4064">
        <v>26384.466826739379</v>
      </c>
      <c r="S4064">
        <v>-3.5257193035336596</v>
      </c>
      <c r="T4064">
        <v>80.299525778663096</v>
      </c>
      <c r="U4064">
        <v>0</v>
      </c>
      <c r="V4064">
        <v>0</v>
      </c>
    </row>
    <row r="4065" spans="1:22" x14ac:dyDescent="0.2">
      <c r="A4065"/>
      <c r="B4065">
        <v>75352</v>
      </c>
      <c r="C4065" t="s">
        <v>723</v>
      </c>
      <c r="D4065" t="s">
        <v>920</v>
      </c>
      <c r="E4065" t="s">
        <v>1275</v>
      </c>
      <c r="F4065" t="s">
        <v>87</v>
      </c>
      <c r="G4065">
        <v>4112.3159796734026</v>
      </c>
      <c r="H4065" t="s">
        <v>248</v>
      </c>
      <c r="I4065">
        <v>0</v>
      </c>
      <c r="J4065">
        <v>0</v>
      </c>
      <c r="K4065">
        <v>0</v>
      </c>
      <c r="L4065">
        <v>0</v>
      </c>
      <c r="M4065" t="s">
        <v>187</v>
      </c>
      <c r="N4065">
        <v>4891.0723116106301</v>
      </c>
      <c r="O4065" t="s">
        <v>248</v>
      </c>
      <c r="P4065" t="b">
        <v>1</v>
      </c>
      <c r="Q4065">
        <v>5355.6066847028978</v>
      </c>
      <c r="R4065">
        <v>26404.825726512736</v>
      </c>
      <c r="S4065">
        <v>-3.9435262332549286</v>
      </c>
      <c r="T4065">
        <v>80.0077342163395</v>
      </c>
      <c r="U4065">
        <v>0</v>
      </c>
      <c r="V4065">
        <v>0</v>
      </c>
    </row>
    <row r="4066" spans="1:22" x14ac:dyDescent="0.2">
      <c r="A4066"/>
      <c r="B4066">
        <v>75353</v>
      </c>
      <c r="C4066" t="s">
        <v>724</v>
      </c>
      <c r="D4066" t="s">
        <v>920</v>
      </c>
      <c r="E4066" t="s">
        <v>1275</v>
      </c>
      <c r="F4066" t="s">
        <v>87</v>
      </c>
      <c r="G4066">
        <v>4230.4017129290723</v>
      </c>
      <c r="H4066" t="s">
        <v>248</v>
      </c>
      <c r="I4066">
        <v>0</v>
      </c>
      <c r="J4066">
        <v>0</v>
      </c>
      <c r="K4066">
        <v>0</v>
      </c>
      <c r="L4066">
        <v>0</v>
      </c>
      <c r="M4066" t="s">
        <v>187</v>
      </c>
      <c r="N4066">
        <v>5009.1580448662999</v>
      </c>
      <c r="O4066" t="s">
        <v>248</v>
      </c>
      <c r="P4066" t="b">
        <v>1</v>
      </c>
      <c r="Q4066">
        <v>5379.5863109308621</v>
      </c>
      <c r="R4066">
        <v>26520.417840642105</v>
      </c>
      <c r="S4066">
        <v>-6.284513797309395</v>
      </c>
      <c r="T4066">
        <v>78.170254895597807</v>
      </c>
      <c r="U4066">
        <v>0</v>
      </c>
      <c r="V4066">
        <v>0</v>
      </c>
    </row>
    <row r="4067" spans="1:22" x14ac:dyDescent="0.2">
      <c r="A4067"/>
      <c r="B4067">
        <v>75354</v>
      </c>
      <c r="C4067" t="s">
        <v>725</v>
      </c>
      <c r="D4067" t="s">
        <v>920</v>
      </c>
      <c r="E4067" t="s">
        <v>1275</v>
      </c>
      <c r="F4067" t="s">
        <v>87</v>
      </c>
      <c r="G4067">
        <v>4427.2112683552023</v>
      </c>
      <c r="H4067" t="s">
        <v>248</v>
      </c>
      <c r="I4067">
        <v>0</v>
      </c>
      <c r="J4067">
        <v>0</v>
      </c>
      <c r="K4067">
        <v>0</v>
      </c>
      <c r="L4067">
        <v>0</v>
      </c>
      <c r="M4067" t="s">
        <v>187</v>
      </c>
      <c r="N4067">
        <v>5205.9676002924298</v>
      </c>
      <c r="O4067" t="s">
        <v>248</v>
      </c>
      <c r="P4067" t="b">
        <v>1</v>
      </c>
      <c r="Q4067">
        <v>5417.436738065755</v>
      </c>
      <c r="R4067">
        <v>26713.517351596816</v>
      </c>
      <c r="S4067">
        <v>-9.9206348699249922</v>
      </c>
      <c r="T4067">
        <v>79.023859376778972</v>
      </c>
      <c r="U4067">
        <v>0</v>
      </c>
      <c r="V4067">
        <v>0</v>
      </c>
    </row>
    <row r="4068" spans="1:22" x14ac:dyDescent="0.2">
      <c r="A4068"/>
      <c r="B4068">
        <v>75355</v>
      </c>
      <c r="C4068" t="s">
        <v>726</v>
      </c>
      <c r="D4068" t="s">
        <v>920</v>
      </c>
      <c r="E4068" t="s">
        <v>1275</v>
      </c>
      <c r="F4068" t="s">
        <v>87</v>
      </c>
      <c r="G4068">
        <v>4624.0208237813322</v>
      </c>
      <c r="H4068" t="s">
        <v>248</v>
      </c>
      <c r="I4068">
        <v>0</v>
      </c>
      <c r="J4068">
        <v>0</v>
      </c>
      <c r="K4068">
        <v>0</v>
      </c>
      <c r="L4068">
        <v>0</v>
      </c>
      <c r="M4068" t="s">
        <v>187</v>
      </c>
      <c r="N4068">
        <v>5402.7771557185597</v>
      </c>
      <c r="O4068" t="s">
        <v>248</v>
      </c>
      <c r="P4068" t="b">
        <v>1</v>
      </c>
      <c r="Q4068">
        <v>5454.7111581894214</v>
      </c>
      <c r="R4068">
        <v>26906.753282992395</v>
      </c>
      <c r="S4068">
        <v>-8.049393777063985</v>
      </c>
      <c r="T4068">
        <v>79.12370399841349</v>
      </c>
      <c r="U4068">
        <v>0</v>
      </c>
      <c r="V4068">
        <v>0</v>
      </c>
    </row>
    <row r="4069" spans="1:22" x14ac:dyDescent="0.2">
      <c r="A4069"/>
      <c r="B4069">
        <v>75356</v>
      </c>
      <c r="C4069" t="s">
        <v>727</v>
      </c>
      <c r="D4069" t="s">
        <v>920</v>
      </c>
      <c r="E4069" t="s">
        <v>1275</v>
      </c>
      <c r="F4069" t="s">
        <v>87</v>
      </c>
      <c r="G4069">
        <v>4820.8303792074621</v>
      </c>
      <c r="H4069" t="s">
        <v>248</v>
      </c>
      <c r="I4069">
        <v>0</v>
      </c>
      <c r="J4069">
        <v>0</v>
      </c>
      <c r="K4069">
        <v>0</v>
      </c>
      <c r="L4069">
        <v>0</v>
      </c>
      <c r="M4069" t="s">
        <v>187</v>
      </c>
      <c r="N4069">
        <v>5599.5867111446896</v>
      </c>
      <c r="O4069" t="s">
        <v>248</v>
      </c>
      <c r="P4069" t="b">
        <v>1</v>
      </c>
      <c r="Q4069">
        <v>5490.6578141159325</v>
      </c>
      <c r="R4069">
        <v>27100.235164780188</v>
      </c>
      <c r="S4069">
        <v>-5.9981820751744808</v>
      </c>
      <c r="T4069">
        <v>80.388801426023889</v>
      </c>
      <c r="U4069">
        <v>0</v>
      </c>
      <c r="V4069">
        <v>0</v>
      </c>
    </row>
    <row r="4070" spans="1:22" x14ac:dyDescent="0.2">
      <c r="A4070"/>
      <c r="B4070">
        <v>75357</v>
      </c>
      <c r="C4070" t="s">
        <v>728</v>
      </c>
      <c r="D4070" t="s">
        <v>920</v>
      </c>
      <c r="E4070" t="s">
        <v>1275</v>
      </c>
      <c r="F4070" t="s">
        <v>87</v>
      </c>
      <c r="G4070">
        <v>5017.6399346335929</v>
      </c>
      <c r="H4070" t="s">
        <v>248</v>
      </c>
      <c r="I4070">
        <v>0</v>
      </c>
      <c r="J4070">
        <v>0</v>
      </c>
      <c r="K4070">
        <v>0</v>
      </c>
      <c r="L4070">
        <v>0</v>
      </c>
      <c r="M4070" t="s">
        <v>187</v>
      </c>
      <c r="N4070">
        <v>5796.3962665708204</v>
      </c>
      <c r="O4070" t="s">
        <v>248</v>
      </c>
      <c r="P4070" t="b">
        <v>1</v>
      </c>
      <c r="Q4070">
        <v>5523.2358719819167</v>
      </c>
      <c r="R4070">
        <v>27294.297578444653</v>
      </c>
      <c r="S4070">
        <v>-2.9152302947596636</v>
      </c>
      <c r="T4070">
        <v>80.407882768195222</v>
      </c>
      <c r="U4070">
        <v>0</v>
      </c>
      <c r="V4070">
        <v>0</v>
      </c>
    </row>
    <row r="4071" spans="1:22" x14ac:dyDescent="0.2">
      <c r="A4071"/>
      <c r="B4071">
        <v>75358</v>
      </c>
      <c r="C4071" t="s">
        <v>729</v>
      </c>
      <c r="D4071" t="s">
        <v>920</v>
      </c>
      <c r="E4071" t="s">
        <v>1275</v>
      </c>
      <c r="F4071" t="s">
        <v>87</v>
      </c>
      <c r="G4071">
        <v>5202.2374571455221</v>
      </c>
      <c r="H4071" t="s">
        <v>248</v>
      </c>
      <c r="I4071">
        <v>0</v>
      </c>
      <c r="J4071">
        <v>0</v>
      </c>
      <c r="K4071">
        <v>0</v>
      </c>
      <c r="L4071">
        <v>0</v>
      </c>
      <c r="M4071" t="s">
        <v>187</v>
      </c>
      <c r="N4071">
        <v>5980.9937890827496</v>
      </c>
      <c r="O4071" t="s">
        <v>248</v>
      </c>
      <c r="P4071" t="b">
        <v>1</v>
      </c>
      <c r="Q4071">
        <v>5554.2075759177405</v>
      </c>
      <c r="R4071">
        <v>27476.19387100928</v>
      </c>
      <c r="S4071">
        <v>2.6273316507457767</v>
      </c>
      <c r="T4071">
        <v>80.265069000685202</v>
      </c>
      <c r="U4071">
        <v>0</v>
      </c>
      <c r="V4071">
        <v>0</v>
      </c>
    </row>
    <row r="4072" spans="1:22" x14ac:dyDescent="0.2">
      <c r="A4072"/>
      <c r="B4072">
        <v>75359</v>
      </c>
      <c r="C4072" t="s">
        <v>730</v>
      </c>
      <c r="D4072" t="s">
        <v>920</v>
      </c>
      <c r="E4072" t="s">
        <v>1275</v>
      </c>
      <c r="F4072" t="s">
        <v>87</v>
      </c>
      <c r="G4072">
        <v>5245.1222592728827</v>
      </c>
      <c r="H4072" t="s">
        <v>248</v>
      </c>
      <c r="I4072">
        <v>0</v>
      </c>
      <c r="J4072">
        <v>0</v>
      </c>
      <c r="K4072">
        <v>0</v>
      </c>
      <c r="L4072">
        <v>0</v>
      </c>
      <c r="M4072" t="s">
        <v>187</v>
      </c>
      <c r="N4072">
        <v>6023.8785912101102</v>
      </c>
      <c r="O4072" t="s">
        <v>248</v>
      </c>
      <c r="P4072" t="b">
        <v>1</v>
      </c>
      <c r="Q4072">
        <v>5561.4681614130077</v>
      </c>
      <c r="R4072">
        <v>27518.439932451365</v>
      </c>
      <c r="S4072">
        <v>3.9158930288004057</v>
      </c>
      <c r="T4072">
        <v>80.231154342712216</v>
      </c>
      <c r="U4072">
        <v>0</v>
      </c>
      <c r="V4072">
        <v>0</v>
      </c>
    </row>
    <row r="4073" spans="1:22" x14ac:dyDescent="0.2">
      <c r="A4073"/>
      <c r="B4073">
        <v>75360</v>
      </c>
      <c r="C4073" t="s">
        <v>731</v>
      </c>
      <c r="D4073" t="s">
        <v>920</v>
      </c>
      <c r="E4073" t="s">
        <v>1275</v>
      </c>
      <c r="F4073" t="s">
        <v>87</v>
      </c>
      <c r="G4073">
        <v>5299.6385061259125</v>
      </c>
      <c r="H4073" t="s">
        <v>248</v>
      </c>
      <c r="I4073">
        <v>0</v>
      </c>
      <c r="J4073">
        <v>0</v>
      </c>
      <c r="K4073">
        <v>0</v>
      </c>
      <c r="L4073">
        <v>0</v>
      </c>
      <c r="M4073" t="s">
        <v>187</v>
      </c>
      <c r="N4073">
        <v>6078.39483806314</v>
      </c>
      <c r="O4073" t="s">
        <v>248</v>
      </c>
      <c r="P4073" t="b">
        <v>1</v>
      </c>
      <c r="Q4073">
        <v>5570.7394488428054</v>
      </c>
      <c r="R4073">
        <v>27572.149281871581</v>
      </c>
      <c r="S4073">
        <v>5.0516669920980579</v>
      </c>
      <c r="T4073">
        <v>80.17991089327893</v>
      </c>
      <c r="U4073">
        <v>0</v>
      </c>
      <c r="V4073">
        <v>0</v>
      </c>
    </row>
    <row r="4074" spans="1:22" x14ac:dyDescent="0.2">
      <c r="A4074"/>
      <c r="B4074">
        <v>75361</v>
      </c>
      <c r="C4074" t="s">
        <v>732</v>
      </c>
      <c r="D4074" t="s">
        <v>920</v>
      </c>
      <c r="E4074" t="s">
        <v>1275</v>
      </c>
      <c r="F4074" t="s">
        <v>87</v>
      </c>
      <c r="G4074">
        <v>5329.0910560954326</v>
      </c>
      <c r="H4074" t="s">
        <v>248</v>
      </c>
      <c r="I4074">
        <v>0</v>
      </c>
      <c r="J4074">
        <v>0</v>
      </c>
      <c r="K4074">
        <v>0</v>
      </c>
      <c r="L4074">
        <v>0</v>
      </c>
      <c r="M4074" t="s">
        <v>187</v>
      </c>
      <c r="N4074">
        <v>6107.8473880326601</v>
      </c>
      <c r="O4074" t="s">
        <v>248</v>
      </c>
      <c r="P4074" t="b">
        <v>1</v>
      </c>
      <c r="Q4074">
        <v>5575.7702775475427</v>
      </c>
      <c r="R4074">
        <v>27601.168141191367</v>
      </c>
      <c r="S4074">
        <v>5.2576514697484757</v>
      </c>
      <c r="T4074">
        <v>80.149181733391757</v>
      </c>
      <c r="U4074">
        <v>0</v>
      </c>
      <c r="V4074">
        <v>0</v>
      </c>
    </row>
    <row r="4075" spans="1:22" x14ac:dyDescent="0.2">
      <c r="A4075"/>
      <c r="B4075">
        <v>75362</v>
      </c>
      <c r="C4075" t="s">
        <v>733</v>
      </c>
      <c r="D4075" t="s">
        <v>920</v>
      </c>
      <c r="E4075" t="s">
        <v>1275</v>
      </c>
      <c r="F4075" t="s">
        <v>87</v>
      </c>
      <c r="G4075">
        <v>5374.1998061991026</v>
      </c>
      <c r="H4075" t="s">
        <v>248</v>
      </c>
      <c r="I4075">
        <v>0</v>
      </c>
      <c r="J4075">
        <v>0</v>
      </c>
      <c r="K4075">
        <v>0</v>
      </c>
      <c r="L4075">
        <v>0</v>
      </c>
      <c r="M4075" t="s">
        <v>187</v>
      </c>
      <c r="N4075">
        <v>6152.9561381363301</v>
      </c>
      <c r="O4075" t="s">
        <v>248</v>
      </c>
      <c r="P4075" t="b">
        <v>1</v>
      </c>
      <c r="Q4075">
        <v>5583.5046224044563</v>
      </c>
      <c r="R4075">
        <v>27645.608867638624</v>
      </c>
      <c r="S4075">
        <v>5.2440476174418462</v>
      </c>
      <c r="T4075">
        <v>80.110303794531177</v>
      </c>
      <c r="U4075">
        <v>0</v>
      </c>
      <c r="V4075">
        <v>0</v>
      </c>
    </row>
    <row r="4076" spans="1:22" x14ac:dyDescent="0.2">
      <c r="A4076"/>
      <c r="B4076">
        <v>75363</v>
      </c>
      <c r="C4076" t="s">
        <v>734</v>
      </c>
      <c r="D4076" t="s">
        <v>920</v>
      </c>
      <c r="E4076" t="s">
        <v>1275</v>
      </c>
      <c r="F4076" t="s">
        <v>87</v>
      </c>
      <c r="G4076">
        <v>5414.5064031503725</v>
      </c>
      <c r="H4076" t="s">
        <v>248</v>
      </c>
      <c r="I4076">
        <v>0</v>
      </c>
      <c r="J4076">
        <v>0</v>
      </c>
      <c r="K4076">
        <v>0</v>
      </c>
      <c r="L4076">
        <v>0</v>
      </c>
      <c r="M4076" t="s">
        <v>187</v>
      </c>
      <c r="N4076">
        <v>6193.2627350876</v>
      </c>
      <c r="O4076" t="s">
        <v>248</v>
      </c>
      <c r="P4076" t="b">
        <v>1</v>
      </c>
      <c r="Q4076">
        <v>5590.4323859406468</v>
      </c>
      <c r="R4076">
        <v>27685.315640706147</v>
      </c>
      <c r="S4076">
        <v>5.2440764935094482</v>
      </c>
      <c r="T4076">
        <v>80.095014373800979</v>
      </c>
      <c r="U4076">
        <v>0</v>
      </c>
      <c r="V4076">
        <v>0</v>
      </c>
    </row>
    <row r="4077" spans="1:22" x14ac:dyDescent="0.2">
      <c r="A4077"/>
      <c r="B4077">
        <v>75364</v>
      </c>
      <c r="C4077" t="s">
        <v>735</v>
      </c>
      <c r="D4077" t="s">
        <v>920</v>
      </c>
      <c r="E4077" t="s">
        <v>1275</v>
      </c>
      <c r="F4077" t="s">
        <v>87</v>
      </c>
      <c r="G4077">
        <v>5468.7864785369029</v>
      </c>
      <c r="H4077" t="s">
        <v>248</v>
      </c>
      <c r="I4077">
        <v>0</v>
      </c>
      <c r="J4077">
        <v>0</v>
      </c>
      <c r="K4077">
        <v>0</v>
      </c>
      <c r="L4077">
        <v>0</v>
      </c>
      <c r="M4077" t="s">
        <v>187</v>
      </c>
      <c r="N4077">
        <v>6247.5428104741304</v>
      </c>
      <c r="O4077" t="s">
        <v>248</v>
      </c>
      <c r="P4077" t="b">
        <v>1</v>
      </c>
      <c r="Q4077">
        <v>5599.7924056285983</v>
      </c>
      <c r="R4077">
        <v>27738.782605742104</v>
      </c>
      <c r="S4077">
        <v>5.2472647259350484</v>
      </c>
      <c r="T4077">
        <v>80.037003697614182</v>
      </c>
      <c r="U4077">
        <v>0</v>
      </c>
      <c r="V4077">
        <v>0</v>
      </c>
    </row>
    <row r="4078" spans="1:22" x14ac:dyDescent="0.2">
      <c r="A4078"/>
      <c r="B4078">
        <v>75365</v>
      </c>
      <c r="C4078" t="s">
        <v>736</v>
      </c>
      <c r="D4078" t="s">
        <v>920</v>
      </c>
      <c r="E4078" t="s">
        <v>1275</v>
      </c>
      <c r="F4078" t="s">
        <v>87</v>
      </c>
      <c r="G4078">
        <v>5504.0941127803526</v>
      </c>
      <c r="H4078" t="s">
        <v>248</v>
      </c>
      <c r="I4078">
        <v>0</v>
      </c>
      <c r="J4078">
        <v>0</v>
      </c>
      <c r="K4078">
        <v>0</v>
      </c>
      <c r="L4078">
        <v>0</v>
      </c>
      <c r="M4078" t="s">
        <v>187</v>
      </c>
      <c r="N4078">
        <v>6282.8504447175801</v>
      </c>
      <c r="O4078" t="s">
        <v>248</v>
      </c>
      <c r="P4078" t="b">
        <v>1</v>
      </c>
      <c r="Q4078">
        <v>5605.8899749014136</v>
      </c>
      <c r="R4078">
        <v>27773.559717743196</v>
      </c>
      <c r="S4078">
        <v>5.2485346401531432</v>
      </c>
      <c r="T4078">
        <v>80.221764775333114</v>
      </c>
      <c r="U4078">
        <v>0</v>
      </c>
      <c r="V4078">
        <v>0</v>
      </c>
    </row>
    <row r="4079" spans="1:22" x14ac:dyDescent="0.2">
      <c r="A4079"/>
      <c r="B4079">
        <v>75366</v>
      </c>
      <c r="C4079" t="s">
        <v>737</v>
      </c>
      <c r="D4079" t="s">
        <v>920</v>
      </c>
      <c r="E4079" t="s">
        <v>1275</v>
      </c>
      <c r="F4079" t="s">
        <v>89</v>
      </c>
      <c r="G4079">
        <v>31.321407141600503</v>
      </c>
      <c r="H4079" t="s">
        <v>248</v>
      </c>
      <c r="I4079">
        <v>0</v>
      </c>
      <c r="J4079">
        <v>0</v>
      </c>
      <c r="K4079">
        <v>0</v>
      </c>
      <c r="L4079">
        <v>0</v>
      </c>
      <c r="M4079" t="s">
        <v>187</v>
      </c>
      <c r="N4079">
        <v>6368.5404915456502</v>
      </c>
      <c r="O4079" t="s">
        <v>248</v>
      </c>
      <c r="P4079" t="b">
        <v>1</v>
      </c>
      <c r="Q4079">
        <v>5619.6784363431789</v>
      </c>
      <c r="R4079">
        <v>27858.132608248248</v>
      </c>
      <c r="S4079">
        <v>5.2594480768027134</v>
      </c>
      <c r="T4079">
        <v>80.789338804483876</v>
      </c>
      <c r="U4079">
        <v>0</v>
      </c>
      <c r="V4079">
        <v>0</v>
      </c>
    </row>
    <row r="4080" spans="1:22" x14ac:dyDescent="0.2">
      <c r="A4080"/>
      <c r="B4080">
        <v>75367</v>
      </c>
      <c r="C4080" t="s">
        <v>738</v>
      </c>
      <c r="D4080" t="s">
        <v>920</v>
      </c>
      <c r="E4080" t="s">
        <v>1275</v>
      </c>
      <c r="F4080" t="s">
        <v>89</v>
      </c>
      <c r="G4080">
        <v>51.914692989240393</v>
      </c>
      <c r="H4080" t="s">
        <v>248</v>
      </c>
      <c r="I4080">
        <v>0</v>
      </c>
      <c r="J4080">
        <v>0</v>
      </c>
      <c r="K4080">
        <v>0</v>
      </c>
      <c r="L4080">
        <v>0</v>
      </c>
      <c r="M4080" t="s">
        <v>187</v>
      </c>
      <c r="N4080">
        <v>6389.1337773932901</v>
      </c>
      <c r="O4080" t="s">
        <v>248</v>
      </c>
      <c r="P4080" t="b">
        <v>1</v>
      </c>
      <c r="Q4080">
        <v>5622.980215592027</v>
      </c>
      <c r="R4080">
        <v>27878.459478780591</v>
      </c>
      <c r="S4080">
        <v>5.259820318752376</v>
      </c>
      <c r="T4080">
        <v>80.758848038934744</v>
      </c>
      <c r="U4080">
        <v>0</v>
      </c>
      <c r="V4080">
        <v>0</v>
      </c>
    </row>
    <row r="4081" spans="1:22" x14ac:dyDescent="0.2">
      <c r="A4081"/>
      <c r="B4081">
        <v>75368</v>
      </c>
      <c r="C4081" t="s">
        <v>739</v>
      </c>
      <c r="D4081" t="s">
        <v>920</v>
      </c>
      <c r="E4081" t="s">
        <v>1275</v>
      </c>
      <c r="F4081" t="s">
        <v>89</v>
      </c>
      <c r="G4081">
        <v>114.95956666280017</v>
      </c>
      <c r="H4081" t="s">
        <v>248</v>
      </c>
      <c r="I4081">
        <v>0</v>
      </c>
      <c r="J4081">
        <v>0</v>
      </c>
      <c r="K4081">
        <v>0</v>
      </c>
      <c r="L4081">
        <v>0</v>
      </c>
      <c r="M4081" t="s">
        <v>187</v>
      </c>
      <c r="N4081">
        <v>6452.1786510668499</v>
      </c>
      <c r="O4081" t="s">
        <v>248</v>
      </c>
      <c r="P4081" t="b">
        <v>1</v>
      </c>
      <c r="Q4081">
        <v>5633.1459640951844</v>
      </c>
      <c r="R4081">
        <v>27940.67935623684</v>
      </c>
      <c r="S4081">
        <v>5.259217119747249</v>
      </c>
      <c r="T4081">
        <v>80.688433217950973</v>
      </c>
      <c r="U4081">
        <v>0</v>
      </c>
      <c r="V4081">
        <v>0</v>
      </c>
    </row>
    <row r="4082" spans="1:22" x14ac:dyDescent="0.2">
      <c r="A4082"/>
      <c r="B4082">
        <v>75369</v>
      </c>
      <c r="C4082" t="s">
        <v>740</v>
      </c>
      <c r="D4082" t="s">
        <v>920</v>
      </c>
      <c r="E4082" t="s">
        <v>1275</v>
      </c>
      <c r="F4082" t="s">
        <v>89</v>
      </c>
      <c r="G4082">
        <v>129.53176798164986</v>
      </c>
      <c r="H4082" t="s">
        <v>248</v>
      </c>
      <c r="I4082">
        <v>0</v>
      </c>
      <c r="J4082">
        <v>0</v>
      </c>
      <c r="K4082">
        <v>0</v>
      </c>
      <c r="L4082">
        <v>0</v>
      </c>
      <c r="M4082" t="s">
        <v>187</v>
      </c>
      <c r="N4082">
        <v>6466.7508523856995</v>
      </c>
      <c r="O4082" t="s">
        <v>248</v>
      </c>
      <c r="P4082" t="b">
        <v>1</v>
      </c>
      <c r="Q4082">
        <v>5635.5052544281443</v>
      </c>
      <c r="R4082">
        <v>27955.059300584482</v>
      </c>
      <c r="S4082">
        <v>5.2587038671778865</v>
      </c>
      <c r="T4082">
        <v>80.677076123958983</v>
      </c>
      <c r="U4082">
        <v>0</v>
      </c>
      <c r="V4082">
        <v>0</v>
      </c>
    </row>
    <row r="4083" spans="1:22" x14ac:dyDescent="0.2">
      <c r="A4083"/>
      <c r="B4083">
        <v>75370</v>
      </c>
      <c r="C4083" t="s">
        <v>741</v>
      </c>
      <c r="D4083" t="s">
        <v>920</v>
      </c>
      <c r="E4083" t="s">
        <v>1275</v>
      </c>
      <c r="F4083" t="s">
        <v>89</v>
      </c>
      <c r="G4083">
        <v>132.47366595989024</v>
      </c>
      <c r="H4083" t="s">
        <v>248</v>
      </c>
      <c r="I4083">
        <v>0</v>
      </c>
      <c r="J4083">
        <v>0</v>
      </c>
      <c r="K4083">
        <v>0</v>
      </c>
      <c r="L4083">
        <v>0</v>
      </c>
      <c r="M4083" t="s">
        <v>187</v>
      </c>
      <c r="N4083">
        <v>6469.6927503639399</v>
      </c>
      <c r="O4083" t="s">
        <v>248</v>
      </c>
      <c r="P4083" t="b">
        <v>1</v>
      </c>
      <c r="Q4083">
        <v>5635.9818906448036</v>
      </c>
      <c r="R4083">
        <v>27957.962330314927</v>
      </c>
      <c r="S4083">
        <v>5.2585832196934499</v>
      </c>
      <c r="T4083">
        <v>80.675007370670812</v>
      </c>
      <c r="U4083">
        <v>0</v>
      </c>
      <c r="V4083">
        <v>0</v>
      </c>
    </row>
    <row r="4084" spans="1:22" x14ac:dyDescent="0.2">
      <c r="A4084"/>
      <c r="B4084">
        <v>75371</v>
      </c>
      <c r="C4084" t="s">
        <v>742</v>
      </c>
      <c r="D4084" t="s">
        <v>920</v>
      </c>
      <c r="E4084" t="s">
        <v>1275</v>
      </c>
      <c r="F4084" t="s">
        <v>89</v>
      </c>
      <c r="G4084">
        <v>152.0078685353601</v>
      </c>
      <c r="H4084" t="s">
        <v>248</v>
      </c>
      <c r="I4084">
        <v>0</v>
      </c>
      <c r="J4084">
        <v>0</v>
      </c>
      <c r="K4084">
        <v>0</v>
      </c>
      <c r="L4084">
        <v>0</v>
      </c>
      <c r="M4084" t="s">
        <v>187</v>
      </c>
      <c r="N4084">
        <v>6489.2269529394098</v>
      </c>
      <c r="O4084" t="s">
        <v>248</v>
      </c>
      <c r="P4084" t="b">
        <v>1</v>
      </c>
      <c r="Q4084">
        <v>5639.1491835493625</v>
      </c>
      <c r="R4084">
        <v>27977.238048814088</v>
      </c>
      <c r="S4084">
        <v>5.257637008064834</v>
      </c>
      <c r="T4084">
        <v>80.663180154892672</v>
      </c>
      <c r="U4084">
        <v>0</v>
      </c>
      <c r="V4084">
        <v>0</v>
      </c>
    </row>
    <row r="4085" spans="1:22" x14ac:dyDescent="0.2">
      <c r="A4085"/>
      <c r="B4085">
        <v>75372</v>
      </c>
      <c r="C4085" t="s">
        <v>743</v>
      </c>
      <c r="D4085" t="s">
        <v>920</v>
      </c>
      <c r="E4085" t="s">
        <v>1275</v>
      </c>
      <c r="F4085" t="s">
        <v>89</v>
      </c>
      <c r="G4085">
        <v>154.94976651360048</v>
      </c>
      <c r="H4085" t="s">
        <v>248</v>
      </c>
      <c r="I4085">
        <v>0</v>
      </c>
      <c r="J4085">
        <v>0</v>
      </c>
      <c r="K4085">
        <v>0</v>
      </c>
      <c r="L4085">
        <v>0</v>
      </c>
      <c r="M4085" t="s">
        <v>187</v>
      </c>
      <c r="N4085">
        <v>6492.1688509176502</v>
      </c>
      <c r="O4085" t="s">
        <v>248</v>
      </c>
      <c r="P4085" t="b">
        <v>1</v>
      </c>
      <c r="Q4085">
        <v>5639.6265092560188</v>
      </c>
      <c r="R4085">
        <v>27980.140965253915</v>
      </c>
      <c r="S4085">
        <v>5.2574726519821562</v>
      </c>
      <c r="T4085">
        <v>80.661686493789816</v>
      </c>
      <c r="U4085">
        <v>0</v>
      </c>
      <c r="V4085">
        <v>0</v>
      </c>
    </row>
    <row r="4086" spans="1:22" x14ac:dyDescent="0.2">
      <c r="A4086"/>
      <c r="B4086">
        <v>75373</v>
      </c>
      <c r="C4086" t="s">
        <v>744</v>
      </c>
      <c r="D4086" t="s">
        <v>920</v>
      </c>
      <c r="E4086" t="s">
        <v>1275</v>
      </c>
      <c r="F4086" t="s">
        <v>89</v>
      </c>
      <c r="G4086">
        <v>211.84607341265018</v>
      </c>
      <c r="H4086" t="s">
        <v>248</v>
      </c>
      <c r="I4086">
        <v>0</v>
      </c>
      <c r="J4086">
        <v>0</v>
      </c>
      <c r="K4086">
        <v>0</v>
      </c>
      <c r="L4086">
        <v>0</v>
      </c>
      <c r="M4086" t="s">
        <v>187</v>
      </c>
      <c r="N4086">
        <v>6549.0651578166999</v>
      </c>
      <c r="O4086" t="s">
        <v>248</v>
      </c>
      <c r="P4086" t="b">
        <v>1</v>
      </c>
      <c r="Q4086">
        <v>5648.8679121619689</v>
      </c>
      <c r="R4086">
        <v>28036.281736310204</v>
      </c>
      <c r="S4086">
        <v>5.253168741212634</v>
      </c>
      <c r="T4086">
        <v>80.647604535275889</v>
      </c>
      <c r="U4086">
        <v>0</v>
      </c>
      <c r="V4086">
        <v>0</v>
      </c>
    </row>
    <row r="4087" spans="1:22" x14ac:dyDescent="0.2">
      <c r="A4087"/>
      <c r="B4087">
        <v>75374</v>
      </c>
      <c r="C4087" t="s">
        <v>745</v>
      </c>
      <c r="D4087" t="s">
        <v>920</v>
      </c>
      <c r="E4087" t="s">
        <v>1275</v>
      </c>
      <c r="F4087" t="s">
        <v>89</v>
      </c>
      <c r="G4087">
        <v>246.26627975799056</v>
      </c>
      <c r="H4087" t="s">
        <v>248</v>
      </c>
      <c r="I4087">
        <v>0</v>
      </c>
      <c r="J4087">
        <v>0</v>
      </c>
      <c r="K4087">
        <v>0</v>
      </c>
      <c r="L4087">
        <v>0</v>
      </c>
      <c r="M4087" t="s">
        <v>187</v>
      </c>
      <c r="N4087">
        <v>6583.4853641620402</v>
      </c>
      <c r="O4087" t="s">
        <v>248</v>
      </c>
      <c r="P4087" t="b">
        <v>1</v>
      </c>
      <c r="Q4087">
        <v>5654.4603920921772</v>
      </c>
      <c r="R4087">
        <v>28070.244580109211</v>
      </c>
      <c r="S4087">
        <v>5.249526179134322</v>
      </c>
      <c r="T4087">
        <v>80.652753986159624</v>
      </c>
      <c r="U4087">
        <v>0</v>
      </c>
      <c r="V4087">
        <v>0</v>
      </c>
    </row>
    <row r="4088" spans="1:22" x14ac:dyDescent="0.2">
      <c r="A4088"/>
      <c r="B4088">
        <v>75375</v>
      </c>
      <c r="C4088" t="s">
        <v>746</v>
      </c>
      <c r="D4088" t="s">
        <v>920</v>
      </c>
      <c r="E4088" t="s">
        <v>1275</v>
      </c>
      <c r="F4088" t="s">
        <v>89</v>
      </c>
      <c r="G4088">
        <v>249.20817773623003</v>
      </c>
      <c r="H4088" t="s">
        <v>248</v>
      </c>
      <c r="I4088">
        <v>0</v>
      </c>
      <c r="J4088">
        <v>0</v>
      </c>
      <c r="K4088">
        <v>0</v>
      </c>
      <c r="L4088">
        <v>0</v>
      </c>
      <c r="M4088" t="s">
        <v>187</v>
      </c>
      <c r="N4088">
        <v>6586.4272621402797</v>
      </c>
      <c r="O4088" t="s">
        <v>248</v>
      </c>
      <c r="P4088" t="b">
        <v>1</v>
      </c>
      <c r="Q4088">
        <v>5654.9381849397887</v>
      </c>
      <c r="R4088">
        <v>28073.147419682471</v>
      </c>
      <c r="S4088">
        <v>5.2491785203753389</v>
      </c>
      <c r="T4088">
        <v>80.653672099090429</v>
      </c>
      <c r="U4088">
        <v>0</v>
      </c>
      <c r="V4088">
        <v>0</v>
      </c>
    </row>
    <row r="4089" spans="1:22" x14ac:dyDescent="0.2">
      <c r="A4089"/>
      <c r="B4089">
        <v>75376</v>
      </c>
      <c r="C4089" t="s">
        <v>747</v>
      </c>
      <c r="D4089" t="s">
        <v>920</v>
      </c>
      <c r="E4089" t="s">
        <v>1275</v>
      </c>
      <c r="F4089" t="s">
        <v>89</v>
      </c>
      <c r="G4089">
        <v>268.74238031169989</v>
      </c>
      <c r="H4089" t="s">
        <v>248</v>
      </c>
      <c r="I4089">
        <v>0</v>
      </c>
      <c r="J4089">
        <v>0</v>
      </c>
      <c r="K4089">
        <v>0</v>
      </c>
      <c r="L4089">
        <v>0</v>
      </c>
      <c r="M4089" t="s">
        <v>187</v>
      </c>
      <c r="N4089">
        <v>6605.9614647157496</v>
      </c>
      <c r="O4089" t="s">
        <v>248</v>
      </c>
      <c r="P4089" t="b">
        <v>1</v>
      </c>
      <c r="Q4089">
        <v>5658.1093193556326</v>
      </c>
      <c r="R4089">
        <v>28092.422506456034</v>
      </c>
      <c r="S4089">
        <v>5.2467249524494983</v>
      </c>
      <c r="T4089">
        <v>80.661677675006203</v>
      </c>
      <c r="U4089">
        <v>0</v>
      </c>
      <c r="V4089">
        <v>0</v>
      </c>
    </row>
    <row r="4090" spans="1:22" x14ac:dyDescent="0.2">
      <c r="A4090"/>
      <c r="B4090">
        <v>75377</v>
      </c>
      <c r="C4090" t="s">
        <v>748</v>
      </c>
      <c r="D4090" t="s">
        <v>920</v>
      </c>
      <c r="E4090" t="s">
        <v>1275</v>
      </c>
      <c r="F4090" t="s">
        <v>89</v>
      </c>
      <c r="G4090">
        <v>271.68427828994027</v>
      </c>
      <c r="H4090" t="s">
        <v>248</v>
      </c>
      <c r="I4090">
        <v>0</v>
      </c>
      <c r="J4090">
        <v>0</v>
      </c>
      <c r="K4090">
        <v>0</v>
      </c>
      <c r="L4090">
        <v>0</v>
      </c>
      <c r="M4090" t="s">
        <v>187</v>
      </c>
      <c r="N4090">
        <v>6608.9033626939899</v>
      </c>
      <c r="O4090" t="s">
        <v>248</v>
      </c>
      <c r="P4090" t="b">
        <v>1</v>
      </c>
      <c r="Q4090">
        <v>5658.5866455171681</v>
      </c>
      <c r="R4090">
        <v>28095.325422799338</v>
      </c>
      <c r="S4090">
        <v>5.2463335848594435</v>
      </c>
      <c r="T4090">
        <v>80.663170880122323</v>
      </c>
      <c r="U4090">
        <v>0</v>
      </c>
      <c r="V4090">
        <v>0</v>
      </c>
    </row>
    <row r="4091" spans="1:22" x14ac:dyDescent="0.2">
      <c r="A4091"/>
      <c r="B4091">
        <v>75378</v>
      </c>
      <c r="C4091" t="s">
        <v>749</v>
      </c>
      <c r="D4091" t="s">
        <v>920</v>
      </c>
      <c r="E4091" t="s">
        <v>1275</v>
      </c>
      <c r="F4091" t="s">
        <v>89</v>
      </c>
      <c r="G4091">
        <v>323.08904229629024</v>
      </c>
      <c r="H4091" t="s">
        <v>248</v>
      </c>
      <c r="I4091">
        <v>0</v>
      </c>
      <c r="J4091">
        <v>0</v>
      </c>
      <c r="K4091">
        <v>0</v>
      </c>
      <c r="L4091">
        <v>0</v>
      </c>
      <c r="M4091" t="s">
        <v>187</v>
      </c>
      <c r="N4091">
        <v>6660.3081267003399</v>
      </c>
      <c r="O4091" t="s">
        <v>248</v>
      </c>
      <c r="P4091" t="b">
        <v>1</v>
      </c>
      <c r="Q4091">
        <v>5666.9111784867682</v>
      </c>
      <c r="R4091">
        <v>28146.051666304113</v>
      </c>
      <c r="S4091">
        <v>5.2409709023900186</v>
      </c>
      <c r="T4091">
        <v>80.701677203974384</v>
      </c>
      <c r="U4091">
        <v>0</v>
      </c>
      <c r="V4091">
        <v>0</v>
      </c>
    </row>
    <row r="4092" spans="1:22" x14ac:dyDescent="0.2">
      <c r="A4092"/>
      <c r="B4092">
        <v>75379</v>
      </c>
      <c r="C4092" t="s">
        <v>750</v>
      </c>
      <c r="D4092" t="s">
        <v>920</v>
      </c>
      <c r="E4092" t="s">
        <v>1275</v>
      </c>
      <c r="F4092" t="s">
        <v>89</v>
      </c>
      <c r="G4092">
        <v>343.68232814393014</v>
      </c>
      <c r="H4092" t="s">
        <v>248</v>
      </c>
      <c r="I4092">
        <v>0</v>
      </c>
      <c r="J4092">
        <v>0</v>
      </c>
      <c r="K4092">
        <v>0</v>
      </c>
      <c r="L4092">
        <v>0</v>
      </c>
      <c r="M4092" t="s">
        <v>187</v>
      </c>
      <c r="N4092">
        <v>6680.9014125479798</v>
      </c>
      <c r="O4092" t="s">
        <v>248</v>
      </c>
      <c r="P4092" t="b">
        <v>1</v>
      </c>
      <c r="Q4092">
        <v>5670.234709903064</v>
      </c>
      <c r="R4092">
        <v>28166.374991695477</v>
      </c>
      <c r="S4092">
        <v>5.2415777426044778</v>
      </c>
      <c r="T4092">
        <v>80.723911031631516</v>
      </c>
      <c r="U4092">
        <v>0</v>
      </c>
      <c r="V4092">
        <v>0</v>
      </c>
    </row>
    <row r="4093" spans="1:22" x14ac:dyDescent="0.2">
      <c r="A4093"/>
      <c r="B4093">
        <v>75380</v>
      </c>
      <c r="C4093" t="s">
        <v>751</v>
      </c>
      <c r="D4093" t="s">
        <v>920</v>
      </c>
      <c r="E4093" t="s">
        <v>1275</v>
      </c>
      <c r="F4093" t="s">
        <v>89</v>
      </c>
      <c r="G4093">
        <v>368.13930666965007</v>
      </c>
      <c r="H4093" t="s">
        <v>248</v>
      </c>
      <c r="I4093">
        <v>0</v>
      </c>
      <c r="J4093">
        <v>0</v>
      </c>
      <c r="K4093">
        <v>0</v>
      </c>
      <c r="L4093">
        <v>0</v>
      </c>
      <c r="M4093" t="s">
        <v>187</v>
      </c>
      <c r="N4093">
        <v>6705.3583910736997</v>
      </c>
      <c r="O4093" t="s">
        <v>248</v>
      </c>
      <c r="P4093" t="b">
        <v>1</v>
      </c>
      <c r="Q4093">
        <v>5674.1705377489425</v>
      </c>
      <c r="R4093">
        <v>28190.513198604105</v>
      </c>
      <c r="S4093">
        <v>5.2446436535224175</v>
      </c>
      <c r="T4093">
        <v>80.75540833787295</v>
      </c>
      <c r="U4093">
        <v>0</v>
      </c>
      <c r="V4093">
        <v>0</v>
      </c>
    </row>
    <row r="4094" spans="1:22" x14ac:dyDescent="0.2">
      <c r="A4094"/>
      <c r="B4094">
        <v>75381</v>
      </c>
      <c r="C4094" t="s">
        <v>752</v>
      </c>
      <c r="D4094" t="s">
        <v>920</v>
      </c>
      <c r="E4094" t="s">
        <v>1275</v>
      </c>
      <c r="F4094" t="s">
        <v>91</v>
      </c>
      <c r="G4094">
        <v>64.634166016004883</v>
      </c>
      <c r="H4094" t="s">
        <v>248</v>
      </c>
      <c r="I4094">
        <v>0</v>
      </c>
      <c r="J4094">
        <v>0</v>
      </c>
      <c r="K4094">
        <v>0</v>
      </c>
      <c r="L4094">
        <v>0</v>
      </c>
      <c r="M4094" t="s">
        <v>187</v>
      </c>
      <c r="N4094">
        <v>6803.0889093448504</v>
      </c>
      <c r="O4094" t="s">
        <v>248</v>
      </c>
      <c r="P4094" t="b">
        <v>1</v>
      </c>
      <c r="Q4094">
        <v>5689.6207208403666</v>
      </c>
      <c r="R4094">
        <v>28287.013501203557</v>
      </c>
      <c r="S4094">
        <v>5.1401293469415394</v>
      </c>
      <c r="T4094">
        <v>81.529524239673975</v>
      </c>
      <c r="U4094">
        <v>0</v>
      </c>
      <c r="V4094">
        <v>0</v>
      </c>
    </row>
    <row r="4095" spans="1:22" x14ac:dyDescent="0.2">
      <c r="A4095"/>
      <c r="B4095">
        <v>75382</v>
      </c>
      <c r="C4095" t="s">
        <v>753</v>
      </c>
      <c r="D4095" t="s">
        <v>920</v>
      </c>
      <c r="E4095" t="s">
        <v>1275</v>
      </c>
      <c r="F4095" t="s">
        <v>91</v>
      </c>
      <c r="G4095">
        <v>90.886808755834636</v>
      </c>
      <c r="H4095" t="s">
        <v>248</v>
      </c>
      <c r="I4095">
        <v>0</v>
      </c>
      <c r="J4095">
        <v>0</v>
      </c>
      <c r="K4095">
        <v>0</v>
      </c>
      <c r="L4095">
        <v>0</v>
      </c>
      <c r="M4095" t="s">
        <v>187</v>
      </c>
      <c r="N4095">
        <v>6829.3415520846802</v>
      </c>
      <c r="O4095" t="s">
        <v>248</v>
      </c>
      <c r="P4095" t="b">
        <v>1</v>
      </c>
      <c r="Q4095">
        <v>5693.4690773492548</v>
      </c>
      <c r="R4095">
        <v>28312.982227506516</v>
      </c>
      <c r="S4095">
        <v>5.0115197927121899</v>
      </c>
      <c r="T4095">
        <v>81.59035384396519</v>
      </c>
      <c r="U4095">
        <v>0</v>
      </c>
      <c r="V4095">
        <v>0</v>
      </c>
    </row>
    <row r="4096" spans="1:22" x14ac:dyDescent="0.2">
      <c r="A4096"/>
      <c r="B4096">
        <v>75383</v>
      </c>
      <c r="C4096" t="s">
        <v>754</v>
      </c>
      <c r="D4096" t="s">
        <v>920</v>
      </c>
      <c r="E4096" t="s">
        <v>1275</v>
      </c>
      <c r="F4096" t="s">
        <v>91</v>
      </c>
      <c r="G4096">
        <v>158.42352759756409</v>
      </c>
      <c r="H4096" t="s">
        <v>248</v>
      </c>
      <c r="I4096">
        <v>0</v>
      </c>
      <c r="J4096">
        <v>0</v>
      </c>
      <c r="K4096">
        <v>0</v>
      </c>
      <c r="L4096">
        <v>0</v>
      </c>
      <c r="M4096" t="s">
        <v>187</v>
      </c>
      <c r="N4096">
        <v>6896.8782709264096</v>
      </c>
      <c r="O4096" t="s">
        <v>248</v>
      </c>
      <c r="P4096" t="b">
        <v>1</v>
      </c>
      <c r="Q4096">
        <v>5703.2741002416915</v>
      </c>
      <c r="R4096">
        <v>28379.802418675336</v>
      </c>
      <c r="S4096">
        <v>4.6518534297107381</v>
      </c>
      <c r="T4096">
        <v>81.728998953419165</v>
      </c>
      <c r="U4096">
        <v>0</v>
      </c>
      <c r="V4096">
        <v>0</v>
      </c>
    </row>
    <row r="4097" spans="1:22" x14ac:dyDescent="0.2">
      <c r="A4097"/>
      <c r="B4097">
        <v>75384</v>
      </c>
      <c r="C4097" t="s">
        <v>755</v>
      </c>
      <c r="D4097" t="s">
        <v>920</v>
      </c>
      <c r="E4097" t="s">
        <v>1275</v>
      </c>
      <c r="F4097" t="s">
        <v>91</v>
      </c>
      <c r="G4097">
        <v>186.76082167958407</v>
      </c>
      <c r="H4097" t="s">
        <v>248</v>
      </c>
      <c r="I4097">
        <v>0</v>
      </c>
      <c r="J4097">
        <v>0</v>
      </c>
      <c r="K4097">
        <v>0</v>
      </c>
      <c r="L4097">
        <v>0</v>
      </c>
      <c r="M4097" t="s">
        <v>187</v>
      </c>
      <c r="N4097">
        <v>6925.2155650084296</v>
      </c>
      <c r="O4097" t="s">
        <v>248</v>
      </c>
      <c r="P4097" t="b">
        <v>1</v>
      </c>
      <c r="Q4097">
        <v>5707.3303552699126</v>
      </c>
      <c r="R4097">
        <v>28407.847441579415</v>
      </c>
      <c r="S4097">
        <v>4.4932528264445617</v>
      </c>
      <c r="T4097">
        <v>81.813529392390649</v>
      </c>
      <c r="U4097">
        <v>0</v>
      </c>
      <c r="V4097">
        <v>0</v>
      </c>
    </row>
    <row r="4098" spans="1:22" x14ac:dyDescent="0.2">
      <c r="A4098"/>
      <c r="B4098">
        <v>75385</v>
      </c>
      <c r="C4098" t="s">
        <v>756</v>
      </c>
      <c r="D4098" t="s">
        <v>920</v>
      </c>
      <c r="E4098" t="s">
        <v>1275</v>
      </c>
      <c r="F4098" t="s">
        <v>91</v>
      </c>
      <c r="G4098">
        <v>232.48350949091468</v>
      </c>
      <c r="H4098" t="s">
        <v>248</v>
      </c>
      <c r="I4098">
        <v>0</v>
      </c>
      <c r="J4098">
        <v>0</v>
      </c>
      <c r="K4098">
        <v>0</v>
      </c>
      <c r="L4098">
        <v>0</v>
      </c>
      <c r="M4098" t="s">
        <v>187</v>
      </c>
      <c r="N4098">
        <v>6970.9382528197602</v>
      </c>
      <c r="O4098" t="s">
        <v>248</v>
      </c>
      <c r="P4098" t="b">
        <v>1</v>
      </c>
      <c r="Q4098">
        <v>5713.7832999101684</v>
      </c>
      <c r="R4098">
        <v>28453.111550101345</v>
      </c>
      <c r="S4098">
        <v>4.6962832210230525</v>
      </c>
      <c r="T4098">
        <v>81.960449011729864</v>
      </c>
      <c r="U4098">
        <v>0</v>
      </c>
      <c r="V4098">
        <v>0</v>
      </c>
    </row>
    <row r="4099" spans="1:22" x14ac:dyDescent="0.2">
      <c r="A4099"/>
      <c r="B4099">
        <v>75386</v>
      </c>
      <c r="C4099" t="s">
        <v>757</v>
      </c>
      <c r="D4099" t="s">
        <v>920</v>
      </c>
      <c r="E4099" t="s">
        <v>1275</v>
      </c>
      <c r="F4099" t="s">
        <v>91</v>
      </c>
      <c r="G4099">
        <v>271.87244800900476</v>
      </c>
      <c r="H4099" t="s">
        <v>248</v>
      </c>
      <c r="I4099">
        <v>0</v>
      </c>
      <c r="J4099">
        <v>0</v>
      </c>
      <c r="K4099">
        <v>0</v>
      </c>
      <c r="L4099">
        <v>0</v>
      </c>
      <c r="M4099" t="s">
        <v>187</v>
      </c>
      <c r="N4099">
        <v>7010.3271913378503</v>
      </c>
      <c r="O4099" t="s">
        <v>248</v>
      </c>
      <c r="P4099" t="b">
        <v>1</v>
      </c>
      <c r="Q4099">
        <v>5719.246566727039</v>
      </c>
      <c r="R4099">
        <v>28492.112405244363</v>
      </c>
      <c r="S4099">
        <v>5.4385778181000912</v>
      </c>
      <c r="T4099">
        <v>82.092354219644434</v>
      </c>
      <c r="U4099">
        <v>0</v>
      </c>
      <c r="V4099">
        <v>0</v>
      </c>
    </row>
    <row r="4100" spans="1:22" x14ac:dyDescent="0.2">
      <c r="A4100"/>
      <c r="B4100">
        <v>75387</v>
      </c>
      <c r="C4100" t="s">
        <v>758</v>
      </c>
      <c r="D4100" t="s">
        <v>920</v>
      </c>
      <c r="E4100" t="s">
        <v>1275</v>
      </c>
      <c r="F4100" t="s">
        <v>91</v>
      </c>
      <c r="G4100">
        <v>322.66213525492435</v>
      </c>
      <c r="H4100" t="s">
        <v>248</v>
      </c>
      <c r="I4100">
        <v>0</v>
      </c>
      <c r="J4100">
        <v>0</v>
      </c>
      <c r="K4100">
        <v>0</v>
      </c>
      <c r="L4100">
        <v>0</v>
      </c>
      <c r="M4100" t="s">
        <v>187</v>
      </c>
      <c r="N4100">
        <v>7061.1168785837699</v>
      </c>
      <c r="O4100" t="s">
        <v>248</v>
      </c>
      <c r="P4100" t="b">
        <v>1</v>
      </c>
      <c r="Q4100">
        <v>5725.6231754391001</v>
      </c>
      <c r="R4100">
        <v>28542.479057485572</v>
      </c>
      <c r="S4100">
        <v>6.6923171442207874</v>
      </c>
      <c r="T4100">
        <v>84.859100030894425</v>
      </c>
      <c r="U4100">
        <v>0</v>
      </c>
      <c r="V4100">
        <v>0</v>
      </c>
    </row>
    <row r="4101" spans="1:22" x14ac:dyDescent="0.2">
      <c r="A4101"/>
      <c r="B4101">
        <v>75388</v>
      </c>
      <c r="C4101" t="s">
        <v>759</v>
      </c>
      <c r="D4101" t="s">
        <v>920</v>
      </c>
      <c r="E4101" t="s">
        <v>1275</v>
      </c>
      <c r="F4101" t="s">
        <v>91</v>
      </c>
      <c r="G4101">
        <v>383.92495125343407</v>
      </c>
      <c r="H4101" t="s">
        <v>248</v>
      </c>
      <c r="I4101">
        <v>0</v>
      </c>
      <c r="J4101">
        <v>0</v>
      </c>
      <c r="K4101">
        <v>0</v>
      </c>
      <c r="L4101">
        <v>0</v>
      </c>
      <c r="M4101" t="s">
        <v>187</v>
      </c>
      <c r="N4101">
        <v>7122.3796945822796</v>
      </c>
      <c r="O4101" t="s">
        <v>248</v>
      </c>
      <c r="P4101" t="b">
        <v>1</v>
      </c>
      <c r="Q4101">
        <v>5727.3624858226758</v>
      </c>
      <c r="R4101">
        <v>28603.660496811255</v>
      </c>
      <c r="S4101">
        <v>8.2180477484393393</v>
      </c>
      <c r="T4101">
        <v>91.819663712828543</v>
      </c>
      <c r="U4101">
        <v>0</v>
      </c>
      <c r="V4101">
        <v>0</v>
      </c>
    </row>
    <row r="4102" spans="1:22" x14ac:dyDescent="0.2">
      <c r="A4102"/>
      <c r="B4102">
        <v>75389</v>
      </c>
      <c r="C4102" t="s">
        <v>760</v>
      </c>
      <c r="D4102" t="s">
        <v>920</v>
      </c>
      <c r="E4102" t="s">
        <v>1275</v>
      </c>
      <c r="F4102" t="s">
        <v>91</v>
      </c>
      <c r="G4102">
        <v>533.54107629049463</v>
      </c>
      <c r="H4102" t="s">
        <v>248</v>
      </c>
      <c r="I4102">
        <v>0</v>
      </c>
      <c r="J4102">
        <v>0</v>
      </c>
      <c r="K4102">
        <v>0</v>
      </c>
      <c r="L4102">
        <v>0</v>
      </c>
      <c r="M4102" t="s">
        <v>187</v>
      </c>
      <c r="N4102">
        <v>7271.9958196193402</v>
      </c>
      <c r="O4102" t="s">
        <v>248</v>
      </c>
      <c r="P4102" t="b">
        <v>1</v>
      </c>
      <c r="Q4102">
        <v>5702.7147493847078</v>
      </c>
      <c r="R4102">
        <v>28750.782232120371</v>
      </c>
      <c r="S4102">
        <v>11.934541647306803</v>
      </c>
      <c r="T4102">
        <v>105.0011127507474</v>
      </c>
      <c r="U4102">
        <v>0</v>
      </c>
      <c r="V4102">
        <v>0</v>
      </c>
    </row>
    <row r="4103" spans="1:22" x14ac:dyDescent="0.2">
      <c r="A4103"/>
      <c r="B4103">
        <v>75390</v>
      </c>
      <c r="C4103" t="s">
        <v>761</v>
      </c>
      <c r="D4103" t="s">
        <v>920</v>
      </c>
      <c r="E4103" t="s">
        <v>1275</v>
      </c>
      <c r="F4103" t="s">
        <v>91</v>
      </c>
      <c r="G4103">
        <v>623.64988119615441</v>
      </c>
      <c r="H4103" t="s">
        <v>248</v>
      </c>
      <c r="I4103">
        <v>0</v>
      </c>
      <c r="J4103">
        <v>0</v>
      </c>
      <c r="K4103">
        <v>0</v>
      </c>
      <c r="L4103">
        <v>0</v>
      </c>
      <c r="M4103" t="s">
        <v>187</v>
      </c>
      <c r="N4103">
        <v>7362.104624525</v>
      </c>
      <c r="O4103" t="s">
        <v>248</v>
      </c>
      <c r="P4103" t="b">
        <v>1</v>
      </c>
      <c r="Q4103">
        <v>5679.2642120730052</v>
      </c>
      <c r="R4103">
        <v>28837.757151450947</v>
      </c>
      <c r="S4103">
        <v>14.177245975435527</v>
      </c>
      <c r="T4103">
        <v>105.06937173532303</v>
      </c>
      <c r="U4103">
        <v>0</v>
      </c>
      <c r="V4103">
        <v>0</v>
      </c>
    </row>
    <row r="4104" spans="1:22" x14ac:dyDescent="0.2">
      <c r="A4104"/>
      <c r="B4104">
        <v>75391</v>
      </c>
      <c r="C4104" t="s">
        <v>762</v>
      </c>
      <c r="D4104" t="s">
        <v>920</v>
      </c>
      <c r="E4104" t="s">
        <v>1275</v>
      </c>
      <c r="F4104" t="s">
        <v>91</v>
      </c>
      <c r="G4104">
        <v>743.34278122580486</v>
      </c>
      <c r="H4104" t="s">
        <v>248</v>
      </c>
      <c r="I4104">
        <v>0</v>
      </c>
      <c r="J4104">
        <v>0</v>
      </c>
      <c r="K4104">
        <v>0</v>
      </c>
      <c r="L4104">
        <v>0</v>
      </c>
      <c r="M4104" t="s">
        <v>187</v>
      </c>
      <c r="N4104">
        <v>7481.7975245546504</v>
      </c>
      <c r="O4104" t="s">
        <v>248</v>
      </c>
      <c r="P4104" t="b">
        <v>1</v>
      </c>
      <c r="Q4104">
        <v>5651.3538941001407</v>
      </c>
      <c r="R4104">
        <v>28954.033224055147</v>
      </c>
      <c r="S4104">
        <v>17.003719850894356</v>
      </c>
      <c r="T4104">
        <v>97.954608524118697</v>
      </c>
      <c r="U4104">
        <v>0</v>
      </c>
      <c r="V4104">
        <v>0</v>
      </c>
    </row>
    <row r="4105" spans="1:22" x14ac:dyDescent="0.2">
      <c r="A4105"/>
      <c r="B4105">
        <v>75392</v>
      </c>
      <c r="C4105" t="s">
        <v>763</v>
      </c>
      <c r="D4105" t="s">
        <v>920</v>
      </c>
      <c r="E4105" t="s">
        <v>1275</v>
      </c>
      <c r="F4105" t="s">
        <v>91</v>
      </c>
      <c r="G4105">
        <v>764.28903873099421</v>
      </c>
      <c r="H4105" t="s">
        <v>248</v>
      </c>
      <c r="I4105">
        <v>0</v>
      </c>
      <c r="J4105">
        <v>0</v>
      </c>
      <c r="K4105">
        <v>0</v>
      </c>
      <c r="L4105">
        <v>0</v>
      </c>
      <c r="M4105" t="s">
        <v>187</v>
      </c>
      <c r="N4105">
        <v>7502.7437820598398</v>
      </c>
      <c r="O4105" t="s">
        <v>248</v>
      </c>
      <c r="P4105" t="b">
        <v>1</v>
      </c>
      <c r="Q4105">
        <v>5649.0149207011445</v>
      </c>
      <c r="R4105">
        <v>28974.844518314792</v>
      </c>
      <c r="S4105">
        <v>17.241812713121305</v>
      </c>
      <c r="T4105">
        <v>94.868256785482799</v>
      </c>
      <c r="U4105">
        <v>0</v>
      </c>
      <c r="V4105">
        <v>0</v>
      </c>
    </row>
    <row r="4106" spans="1:22" x14ac:dyDescent="0.2">
      <c r="A4106"/>
      <c r="B4106">
        <v>75393</v>
      </c>
      <c r="C4106" t="s">
        <v>764</v>
      </c>
      <c r="D4106" t="s">
        <v>920</v>
      </c>
      <c r="E4106" t="s">
        <v>1275</v>
      </c>
      <c r="F4106" t="s">
        <v>91</v>
      </c>
      <c r="G4106">
        <v>860.32264218811429</v>
      </c>
      <c r="H4106" t="s">
        <v>248</v>
      </c>
      <c r="I4106">
        <v>0</v>
      </c>
      <c r="J4106">
        <v>0</v>
      </c>
      <c r="K4106">
        <v>0</v>
      </c>
      <c r="L4106">
        <v>0</v>
      </c>
      <c r="M4106" t="s">
        <v>187</v>
      </c>
      <c r="N4106">
        <v>7598.7773855169598</v>
      </c>
      <c r="O4106" t="s">
        <v>248</v>
      </c>
      <c r="P4106" t="b">
        <v>1</v>
      </c>
      <c r="Q4106">
        <v>5649.4139108080826</v>
      </c>
      <c r="R4106">
        <v>29070.811168179996</v>
      </c>
      <c r="S4106">
        <v>17.309951542347829</v>
      </c>
      <c r="T4106">
        <v>88.079528071488639</v>
      </c>
      <c r="U4106">
        <v>0</v>
      </c>
      <c r="V4106">
        <v>0</v>
      </c>
    </row>
    <row r="4107" spans="1:22" x14ac:dyDescent="0.2">
      <c r="A4107"/>
      <c r="B4107">
        <v>75394</v>
      </c>
      <c r="C4107" t="s">
        <v>765</v>
      </c>
      <c r="D4107" t="s">
        <v>920</v>
      </c>
      <c r="E4107" t="s">
        <v>1275</v>
      </c>
      <c r="F4107" t="s">
        <v>91</v>
      </c>
      <c r="G4107">
        <v>875.14461297512457</v>
      </c>
      <c r="H4107" t="s">
        <v>248</v>
      </c>
      <c r="I4107">
        <v>0</v>
      </c>
      <c r="J4107">
        <v>0</v>
      </c>
      <c r="K4107">
        <v>0</v>
      </c>
      <c r="L4107">
        <v>0</v>
      </c>
      <c r="M4107" t="s">
        <v>187</v>
      </c>
      <c r="N4107">
        <v>7613.5993563039701</v>
      </c>
      <c r="O4107" t="s">
        <v>248</v>
      </c>
      <c r="P4107" t="b">
        <v>1</v>
      </c>
      <c r="Q4107">
        <v>5649.9179714647116</v>
      </c>
      <c r="R4107">
        <v>29085.62456474964</v>
      </c>
      <c r="S4107">
        <v>17.307669635973564</v>
      </c>
      <c r="T4107">
        <v>88.023227790685382</v>
      </c>
      <c r="U4107">
        <v>0</v>
      </c>
      <c r="V4107">
        <v>0</v>
      </c>
    </row>
    <row r="4108" spans="1:22" x14ac:dyDescent="0.2">
      <c r="A4108"/>
      <c r="B4108">
        <v>75395</v>
      </c>
      <c r="C4108" t="s">
        <v>766</v>
      </c>
      <c r="D4108" t="s">
        <v>920</v>
      </c>
      <c r="E4108" t="s">
        <v>1275</v>
      </c>
      <c r="F4108" t="s">
        <v>91</v>
      </c>
      <c r="G4108">
        <v>878.13693547586422</v>
      </c>
      <c r="H4108" t="s">
        <v>248</v>
      </c>
      <c r="I4108">
        <v>0</v>
      </c>
      <c r="J4108">
        <v>0</v>
      </c>
      <c r="K4108">
        <v>0</v>
      </c>
      <c r="L4108">
        <v>0</v>
      </c>
      <c r="M4108" t="s">
        <v>187</v>
      </c>
      <c r="N4108">
        <v>7616.5916788047098</v>
      </c>
      <c r="O4108" t="s">
        <v>248</v>
      </c>
      <c r="P4108" t="b">
        <v>1</v>
      </c>
      <c r="Q4108">
        <v>5650.0214773242933</v>
      </c>
      <c r="R4108">
        <v>29088.615096529131</v>
      </c>
      <c r="S4108">
        <v>17.307303961477867</v>
      </c>
      <c r="T4108">
        <v>88.012225083025967</v>
      </c>
      <c r="U4108">
        <v>0</v>
      </c>
      <c r="V4108">
        <v>0</v>
      </c>
    </row>
    <row r="4109" spans="1:22" x14ac:dyDescent="0.2">
      <c r="A4109"/>
      <c r="B4109">
        <v>75396</v>
      </c>
      <c r="C4109" t="s">
        <v>767</v>
      </c>
      <c r="D4109" t="s">
        <v>920</v>
      </c>
      <c r="E4109" t="s">
        <v>1275</v>
      </c>
      <c r="F4109" t="s">
        <v>91</v>
      </c>
      <c r="G4109">
        <v>898.00595688078442</v>
      </c>
      <c r="H4109" t="s">
        <v>248</v>
      </c>
      <c r="I4109">
        <v>0</v>
      </c>
      <c r="J4109">
        <v>0</v>
      </c>
      <c r="K4109">
        <v>0</v>
      </c>
      <c r="L4109">
        <v>0</v>
      </c>
      <c r="M4109" t="s">
        <v>187</v>
      </c>
      <c r="N4109">
        <v>7636.46070020963</v>
      </c>
      <c r="O4109" t="s">
        <v>248</v>
      </c>
      <c r="P4109" t="b">
        <v>1</v>
      </c>
      <c r="Q4109">
        <v>5650.7229378642232</v>
      </c>
      <c r="R4109">
        <v>29108.471730505225</v>
      </c>
      <c r="S4109">
        <v>17.30568545386863</v>
      </c>
      <c r="T4109">
        <v>87.942263988398921</v>
      </c>
      <c r="U4109">
        <v>0</v>
      </c>
      <c r="V4109">
        <v>0</v>
      </c>
    </row>
    <row r="4110" spans="1:22" x14ac:dyDescent="0.2">
      <c r="A4110"/>
      <c r="B4110">
        <v>75397</v>
      </c>
      <c r="C4110" t="s">
        <v>768</v>
      </c>
      <c r="D4110" t="s">
        <v>920</v>
      </c>
      <c r="E4110" t="s">
        <v>1275</v>
      </c>
      <c r="F4110" t="s">
        <v>91</v>
      </c>
      <c r="G4110">
        <v>900.99827938152407</v>
      </c>
      <c r="H4110" t="s">
        <v>248</v>
      </c>
      <c r="I4110">
        <v>0</v>
      </c>
      <c r="J4110">
        <v>0</v>
      </c>
      <c r="K4110">
        <v>0</v>
      </c>
      <c r="L4110">
        <v>0</v>
      </c>
      <c r="M4110" t="s">
        <v>187</v>
      </c>
      <c r="N4110">
        <v>7639.4530227103696</v>
      </c>
      <c r="O4110" t="s">
        <v>248</v>
      </c>
      <c r="P4110" t="b">
        <v>1</v>
      </c>
      <c r="Q4110">
        <v>5650.8306451529052</v>
      </c>
      <c r="R4110">
        <v>29111.462113933889</v>
      </c>
      <c r="S4110">
        <v>17.305563626049246</v>
      </c>
      <c r="T4110">
        <v>87.932194077194794</v>
      </c>
      <c r="U4110">
        <v>0</v>
      </c>
      <c r="V4110">
        <v>0</v>
      </c>
    </row>
    <row r="4111" spans="1:22" x14ac:dyDescent="0.2">
      <c r="A4111"/>
      <c r="B4111">
        <v>75398</v>
      </c>
      <c r="C4111" t="s">
        <v>769</v>
      </c>
      <c r="D4111" t="s">
        <v>920</v>
      </c>
      <c r="E4111" t="s">
        <v>1275</v>
      </c>
      <c r="F4111" t="s">
        <v>91</v>
      </c>
      <c r="G4111">
        <v>958.8697965458648</v>
      </c>
      <c r="H4111" t="s">
        <v>248</v>
      </c>
      <c r="I4111">
        <v>0</v>
      </c>
      <c r="J4111">
        <v>0</v>
      </c>
      <c r="K4111">
        <v>0</v>
      </c>
      <c r="L4111">
        <v>0</v>
      </c>
      <c r="M4111" t="s">
        <v>187</v>
      </c>
      <c r="N4111">
        <v>7697.3245398747104</v>
      </c>
      <c r="O4111" t="s">
        <v>248</v>
      </c>
      <c r="P4111" t="b">
        <v>1</v>
      </c>
      <c r="Q4111">
        <v>5653.0087846166489</v>
      </c>
      <c r="R4111">
        <v>29169.292605016206</v>
      </c>
      <c r="S4111">
        <v>17.309485177620939</v>
      </c>
      <c r="T4111">
        <v>87.76145635087282</v>
      </c>
      <c r="U4111">
        <v>0</v>
      </c>
      <c r="V4111">
        <v>0</v>
      </c>
    </row>
    <row r="4112" spans="1:22" x14ac:dyDescent="0.2">
      <c r="A4112"/>
      <c r="B4112">
        <v>75399</v>
      </c>
      <c r="C4112" t="s">
        <v>770</v>
      </c>
      <c r="D4112" t="s">
        <v>920</v>
      </c>
      <c r="E4112" t="s">
        <v>1275</v>
      </c>
      <c r="F4112" t="s">
        <v>91</v>
      </c>
      <c r="G4112">
        <v>993.87996980453477</v>
      </c>
      <c r="H4112" t="s">
        <v>248</v>
      </c>
      <c r="I4112">
        <v>0</v>
      </c>
      <c r="J4112">
        <v>0</v>
      </c>
      <c r="K4112">
        <v>0</v>
      </c>
      <c r="L4112">
        <v>0</v>
      </c>
      <c r="M4112" t="s">
        <v>187</v>
      </c>
      <c r="N4112">
        <v>7732.3347131333803</v>
      </c>
      <c r="O4112" t="s">
        <v>248</v>
      </c>
      <c r="P4112" t="b">
        <v>1</v>
      </c>
      <c r="Q4112">
        <v>5654.4018974369237</v>
      </c>
      <c r="R4112">
        <v>29204.27504625568</v>
      </c>
      <c r="S4112">
        <v>17.317653207336246</v>
      </c>
      <c r="T4112">
        <v>87.680336482579378</v>
      </c>
      <c r="U4112">
        <v>0</v>
      </c>
      <c r="V4112">
        <v>0</v>
      </c>
    </row>
    <row r="4113" spans="1:22" x14ac:dyDescent="0.2">
      <c r="A4113"/>
      <c r="B4113">
        <v>75400</v>
      </c>
      <c r="C4113" t="s">
        <v>771</v>
      </c>
      <c r="D4113" t="s">
        <v>920</v>
      </c>
      <c r="E4113" t="s">
        <v>1275</v>
      </c>
      <c r="F4113" t="s">
        <v>91</v>
      </c>
      <c r="G4113">
        <v>996.87229230527441</v>
      </c>
      <c r="H4113" t="s">
        <v>248</v>
      </c>
      <c r="I4113">
        <v>0</v>
      </c>
      <c r="J4113">
        <v>0</v>
      </c>
      <c r="K4113">
        <v>0</v>
      </c>
      <c r="L4113">
        <v>0</v>
      </c>
      <c r="M4113" t="s">
        <v>187</v>
      </c>
      <c r="N4113">
        <v>7735.32703563412</v>
      </c>
      <c r="O4113" t="s">
        <v>248</v>
      </c>
      <c r="P4113" t="b">
        <v>1</v>
      </c>
      <c r="Q4113">
        <v>5654.5231720104257</v>
      </c>
      <c r="R4113">
        <v>29207.264910066311</v>
      </c>
      <c r="S4113">
        <v>17.318554003077718</v>
      </c>
      <c r="T4113">
        <v>87.674178455986137</v>
      </c>
      <c r="U4113">
        <v>0</v>
      </c>
      <c r="V4113">
        <v>0</v>
      </c>
    </row>
    <row r="4114" spans="1:22" x14ac:dyDescent="0.2">
      <c r="A4114"/>
      <c r="B4114">
        <v>75401</v>
      </c>
      <c r="C4114" t="s">
        <v>772</v>
      </c>
      <c r="D4114" t="s">
        <v>920</v>
      </c>
      <c r="E4114" t="s">
        <v>1275</v>
      </c>
      <c r="F4114" t="s">
        <v>91</v>
      </c>
      <c r="G4114">
        <v>1016.7413137101946</v>
      </c>
      <c r="H4114" t="s">
        <v>248</v>
      </c>
      <c r="I4114">
        <v>0</v>
      </c>
      <c r="J4114">
        <v>0</v>
      </c>
      <c r="K4114">
        <v>0</v>
      </c>
      <c r="L4114">
        <v>0</v>
      </c>
      <c r="M4114" t="s">
        <v>187</v>
      </c>
      <c r="N4114">
        <v>7755.1960570390402</v>
      </c>
      <c r="O4114" t="s">
        <v>248</v>
      </c>
      <c r="P4114" t="b">
        <v>1</v>
      </c>
      <c r="Q4114">
        <v>5655.3361480570848</v>
      </c>
      <c r="R4114">
        <v>29227.117291019098</v>
      </c>
      <c r="S4114">
        <v>17.324641254978506</v>
      </c>
      <c r="T4114">
        <v>87.638050163774224</v>
      </c>
      <c r="U4114">
        <v>0</v>
      </c>
      <c r="V4114">
        <v>0</v>
      </c>
    </row>
    <row r="4115" spans="1:22" x14ac:dyDescent="0.2">
      <c r="A4115"/>
      <c r="B4115">
        <v>75402</v>
      </c>
      <c r="C4115" t="s">
        <v>773</v>
      </c>
      <c r="D4115" t="s">
        <v>920</v>
      </c>
      <c r="E4115" t="s">
        <v>1275</v>
      </c>
      <c r="F4115" t="s">
        <v>91</v>
      </c>
      <c r="G4115">
        <v>1019.7336362109343</v>
      </c>
      <c r="H4115" t="s">
        <v>248</v>
      </c>
      <c r="I4115">
        <v>0</v>
      </c>
      <c r="J4115">
        <v>0</v>
      </c>
      <c r="K4115">
        <v>0</v>
      </c>
      <c r="L4115">
        <v>0</v>
      </c>
      <c r="M4115" t="s">
        <v>187</v>
      </c>
      <c r="N4115">
        <v>7758.1883795397798</v>
      </c>
      <c r="O4115" t="s">
        <v>248</v>
      </c>
      <c r="P4115" t="b">
        <v>1</v>
      </c>
      <c r="Q4115">
        <v>5655.4595491394721</v>
      </c>
      <c r="R4115">
        <v>29230.107067946821</v>
      </c>
      <c r="S4115">
        <v>17.324813137657348</v>
      </c>
      <c r="T4115">
        <v>87.635125653371759</v>
      </c>
      <c r="U4115">
        <v>0</v>
      </c>
      <c r="V4115">
        <v>0</v>
      </c>
    </row>
    <row r="4116" spans="1:22" x14ac:dyDescent="0.2">
      <c r="A4116"/>
      <c r="B4116">
        <v>75403</v>
      </c>
      <c r="C4116" t="s">
        <v>774</v>
      </c>
      <c r="D4116" t="s">
        <v>920</v>
      </c>
      <c r="E4116" t="s">
        <v>1275</v>
      </c>
      <c r="F4116" t="s">
        <v>91</v>
      </c>
      <c r="G4116">
        <v>1072.0194847072241</v>
      </c>
      <c r="H4116" t="s">
        <v>248</v>
      </c>
      <c r="I4116">
        <v>0</v>
      </c>
      <c r="J4116">
        <v>0</v>
      </c>
      <c r="K4116">
        <v>0</v>
      </c>
      <c r="L4116">
        <v>0</v>
      </c>
      <c r="M4116" t="s">
        <v>187</v>
      </c>
      <c r="N4116">
        <v>7810.4742280360697</v>
      </c>
      <c r="O4116" t="s">
        <v>248</v>
      </c>
      <c r="P4116" t="b">
        <v>1</v>
      </c>
      <c r="Q4116">
        <v>5657.8658130659869</v>
      </c>
      <c r="R4116">
        <v>29282.335221854541</v>
      </c>
      <c r="S4116">
        <v>17.314618237283987</v>
      </c>
      <c r="T4116">
        <v>85.669828732698704</v>
      </c>
      <c r="U4116">
        <v>0</v>
      </c>
      <c r="V4116">
        <v>0</v>
      </c>
    </row>
    <row r="4117" spans="1:22" x14ac:dyDescent="0.2">
      <c r="A4117"/>
      <c r="B4117">
        <v>75404</v>
      </c>
      <c r="C4117" t="s">
        <v>775</v>
      </c>
      <c r="D4117" t="s">
        <v>920</v>
      </c>
      <c r="E4117" t="s">
        <v>1275</v>
      </c>
      <c r="F4117" t="s">
        <v>91</v>
      </c>
      <c r="G4117">
        <v>1152.2935229937746</v>
      </c>
      <c r="H4117" t="s">
        <v>248</v>
      </c>
      <c r="I4117">
        <v>0</v>
      </c>
      <c r="J4117">
        <v>0</v>
      </c>
      <c r="K4117">
        <v>0</v>
      </c>
      <c r="L4117">
        <v>0</v>
      </c>
      <c r="M4117" t="s">
        <v>187</v>
      </c>
      <c r="N4117">
        <v>7890.7482663226201</v>
      </c>
      <c r="O4117" t="s">
        <v>248</v>
      </c>
      <c r="P4117" t="b">
        <v>1</v>
      </c>
      <c r="Q4117">
        <v>5667.29242717343</v>
      </c>
      <c r="R4117">
        <v>29362.045026938744</v>
      </c>
      <c r="S4117">
        <v>17.319499045693245</v>
      </c>
      <c r="T4117">
        <v>82.868782876571061</v>
      </c>
      <c r="U4117">
        <v>0</v>
      </c>
      <c r="V4117">
        <v>0</v>
      </c>
    </row>
    <row r="4118" spans="1:22" x14ac:dyDescent="0.2">
      <c r="A4118"/>
      <c r="B4118">
        <v>75405</v>
      </c>
      <c r="C4118" t="s">
        <v>776</v>
      </c>
      <c r="D4118" t="s">
        <v>920</v>
      </c>
      <c r="E4118" t="s">
        <v>1275</v>
      </c>
      <c r="F4118" t="s">
        <v>91</v>
      </c>
      <c r="G4118">
        <v>1173.2397804989648</v>
      </c>
      <c r="H4118" t="s">
        <v>248</v>
      </c>
      <c r="I4118">
        <v>0</v>
      </c>
      <c r="J4118">
        <v>0</v>
      </c>
      <c r="K4118">
        <v>0</v>
      </c>
      <c r="L4118">
        <v>0</v>
      </c>
      <c r="M4118" t="s">
        <v>187</v>
      </c>
      <c r="N4118">
        <v>7911.6945238278104</v>
      </c>
      <c r="O4118" t="s">
        <v>248</v>
      </c>
      <c r="P4118" t="b">
        <v>1</v>
      </c>
      <c r="Q4118">
        <v>5669.7711615463377</v>
      </c>
      <c r="R4118">
        <v>29382.843860710876</v>
      </c>
      <c r="S4118">
        <v>17.277374421961586</v>
      </c>
      <c r="T4118">
        <v>83.620733463921539</v>
      </c>
      <c r="U4118">
        <v>0</v>
      </c>
      <c r="V4118">
        <v>0</v>
      </c>
    </row>
    <row r="4119" spans="1:22" x14ac:dyDescent="0.2">
      <c r="A4119"/>
      <c r="B4119">
        <v>75406</v>
      </c>
      <c r="C4119" t="s">
        <v>777</v>
      </c>
      <c r="D4119" t="s">
        <v>920</v>
      </c>
      <c r="E4119" t="s">
        <v>1275</v>
      </c>
      <c r="F4119" t="s">
        <v>92</v>
      </c>
      <c r="G4119">
        <v>14.723384553861933</v>
      </c>
      <c r="H4119" t="s">
        <v>248</v>
      </c>
      <c r="I4119">
        <v>0</v>
      </c>
      <c r="J4119">
        <v>0</v>
      </c>
      <c r="K4119">
        <v>0</v>
      </c>
      <c r="L4119">
        <v>0</v>
      </c>
      <c r="M4119" t="s">
        <v>187</v>
      </c>
      <c r="N4119">
        <v>8031.1491959076302</v>
      </c>
      <c r="O4119" t="s">
        <v>248</v>
      </c>
      <c r="P4119" t="b">
        <v>1</v>
      </c>
      <c r="Q4119">
        <v>5677.5376033699195</v>
      </c>
      <c r="R4119">
        <v>29502.00018101418</v>
      </c>
      <c r="S4119">
        <v>15.235232497070905</v>
      </c>
      <c r="T4119">
        <v>87.384793968197229</v>
      </c>
      <c r="U4119">
        <v>0</v>
      </c>
      <c r="V4119">
        <v>0</v>
      </c>
    </row>
    <row r="4120" spans="1:22" x14ac:dyDescent="0.2">
      <c r="A4120"/>
      <c r="B4120">
        <v>75407</v>
      </c>
      <c r="C4120" t="s">
        <v>778</v>
      </c>
      <c r="D4120" t="s">
        <v>920</v>
      </c>
      <c r="E4120" t="s">
        <v>1275</v>
      </c>
      <c r="F4120" t="s">
        <v>92</v>
      </c>
      <c r="G4120">
        <v>173.73593773570133</v>
      </c>
      <c r="H4120" t="s">
        <v>248</v>
      </c>
      <c r="I4120">
        <v>0</v>
      </c>
      <c r="J4120">
        <v>0</v>
      </c>
      <c r="K4120">
        <v>0</v>
      </c>
      <c r="L4120">
        <v>0</v>
      </c>
      <c r="M4120" t="s">
        <v>187</v>
      </c>
      <c r="N4120">
        <v>8190.1617490894696</v>
      </c>
      <c r="O4120" t="s">
        <v>248</v>
      </c>
      <c r="P4120" t="b">
        <v>1</v>
      </c>
      <c r="Q4120">
        <v>5689.1123709074263</v>
      </c>
      <c r="R4120">
        <v>29660.464711734083</v>
      </c>
      <c r="S4120">
        <v>12.212958661421467</v>
      </c>
      <c r="T4120">
        <v>80.516213412623486</v>
      </c>
      <c r="U4120">
        <v>0</v>
      </c>
      <c r="V4120">
        <v>0</v>
      </c>
    </row>
    <row r="4121" spans="1:22" x14ac:dyDescent="0.2">
      <c r="A4121"/>
      <c r="B4121">
        <v>75408</v>
      </c>
      <c r="C4121" t="s">
        <v>779</v>
      </c>
      <c r="D4121" t="s">
        <v>920</v>
      </c>
      <c r="E4121" t="s">
        <v>1275</v>
      </c>
      <c r="F4121" t="s">
        <v>92</v>
      </c>
      <c r="G4121">
        <v>291.52301416669138</v>
      </c>
      <c r="H4121" t="s">
        <v>248</v>
      </c>
      <c r="I4121">
        <v>0</v>
      </c>
      <c r="J4121">
        <v>0</v>
      </c>
      <c r="K4121">
        <v>0</v>
      </c>
      <c r="L4121">
        <v>0</v>
      </c>
      <c r="M4121" t="s">
        <v>187</v>
      </c>
      <c r="N4121">
        <v>8307.9488255204596</v>
      </c>
      <c r="O4121" t="s">
        <v>248</v>
      </c>
      <c r="P4121" t="b">
        <v>1</v>
      </c>
      <c r="Q4121">
        <v>5706.9042615466169</v>
      </c>
      <c r="R4121">
        <v>29776.822264958824</v>
      </c>
      <c r="S4121">
        <v>9.98284207693853</v>
      </c>
      <c r="T4121">
        <v>85.251043892392715</v>
      </c>
      <c r="U4121">
        <v>0</v>
      </c>
      <c r="V4121">
        <v>0</v>
      </c>
    </row>
    <row r="4122" spans="1:22" x14ac:dyDescent="0.2">
      <c r="A4122"/>
      <c r="B4122">
        <v>75409</v>
      </c>
      <c r="C4122" t="s">
        <v>780</v>
      </c>
      <c r="D4122" t="s">
        <v>920</v>
      </c>
      <c r="E4122" t="s">
        <v>1275</v>
      </c>
      <c r="F4122" t="s">
        <v>92</v>
      </c>
      <c r="G4122">
        <v>312.13575254211241</v>
      </c>
      <c r="H4122" t="s">
        <v>248</v>
      </c>
      <c r="I4122">
        <v>0</v>
      </c>
      <c r="J4122">
        <v>0</v>
      </c>
      <c r="K4122">
        <v>0</v>
      </c>
      <c r="L4122">
        <v>0</v>
      </c>
      <c r="M4122" t="s">
        <v>187</v>
      </c>
      <c r="N4122">
        <v>8328.5615638958807</v>
      </c>
      <c r="O4122" t="s">
        <v>248</v>
      </c>
      <c r="P4122" t="b">
        <v>1</v>
      </c>
      <c r="Q4122">
        <v>5708.2445941678379</v>
      </c>
      <c r="R4122">
        <v>29797.386307434492</v>
      </c>
      <c r="S4122">
        <v>9.5802490494808197</v>
      </c>
      <c r="T4122">
        <v>87.323877519320305</v>
      </c>
      <c r="U4122">
        <v>0</v>
      </c>
      <c r="V4122">
        <v>0</v>
      </c>
    </row>
    <row r="4123" spans="1:22" x14ac:dyDescent="0.2">
      <c r="A4123"/>
      <c r="B4123">
        <v>75410</v>
      </c>
      <c r="C4123" t="s">
        <v>781</v>
      </c>
      <c r="D4123" t="s">
        <v>920</v>
      </c>
      <c r="E4123" t="s">
        <v>1275</v>
      </c>
      <c r="F4123" t="s">
        <v>92</v>
      </c>
      <c r="G4123">
        <v>406.53227871185186</v>
      </c>
      <c r="H4123" t="s">
        <v>248</v>
      </c>
      <c r="I4123">
        <v>0</v>
      </c>
      <c r="J4123">
        <v>0</v>
      </c>
      <c r="K4123">
        <v>0</v>
      </c>
      <c r="L4123">
        <v>0</v>
      </c>
      <c r="M4123" t="s">
        <v>187</v>
      </c>
      <c r="N4123">
        <v>8422.9580900656201</v>
      </c>
      <c r="O4123" t="s">
        <v>248</v>
      </c>
      <c r="P4123" t="b">
        <v>1</v>
      </c>
      <c r="Q4123">
        <v>5711.7574061203823</v>
      </c>
      <c r="R4123">
        <v>29891.712180794653</v>
      </c>
      <c r="S4123">
        <v>8.8525086586008346</v>
      </c>
      <c r="T4123">
        <v>87.925875509713606</v>
      </c>
      <c r="U4123">
        <v>0</v>
      </c>
      <c r="V4123">
        <v>0</v>
      </c>
    </row>
    <row r="4124" spans="1:22" x14ac:dyDescent="0.2">
      <c r="A4124"/>
      <c r="B4124">
        <v>75411</v>
      </c>
      <c r="C4124" t="s">
        <v>782</v>
      </c>
      <c r="D4124" t="s">
        <v>920</v>
      </c>
      <c r="E4124" t="s">
        <v>1275</v>
      </c>
      <c r="F4124" t="s">
        <v>92</v>
      </c>
      <c r="G4124">
        <v>421.11824500988109</v>
      </c>
      <c r="H4124" t="s">
        <v>248</v>
      </c>
      <c r="I4124">
        <v>0</v>
      </c>
      <c r="J4124">
        <v>0</v>
      </c>
      <c r="K4124">
        <v>0</v>
      </c>
      <c r="L4124">
        <v>0</v>
      </c>
      <c r="M4124" t="s">
        <v>187</v>
      </c>
      <c r="N4124">
        <v>8437.5440563636494</v>
      </c>
      <c r="O4124" t="s">
        <v>248</v>
      </c>
      <c r="P4124" t="b">
        <v>1</v>
      </c>
      <c r="Q4124">
        <v>5712.2831584954201</v>
      </c>
      <c r="R4124">
        <v>29906.288668357029</v>
      </c>
      <c r="S4124">
        <v>8.8500531861785365</v>
      </c>
      <c r="T4124">
        <v>87.942866384865766</v>
      </c>
      <c r="U4124">
        <v>0</v>
      </c>
      <c r="V4124">
        <v>0</v>
      </c>
    </row>
    <row r="4125" spans="1:22" x14ac:dyDescent="0.2">
      <c r="A4125"/>
      <c r="B4125">
        <v>75412</v>
      </c>
      <c r="C4125" t="s">
        <v>783</v>
      </c>
      <c r="D4125" t="s">
        <v>920</v>
      </c>
      <c r="E4125" t="s">
        <v>1275</v>
      </c>
      <c r="F4125" t="s">
        <v>92</v>
      </c>
      <c r="G4125">
        <v>424.06292192066098</v>
      </c>
      <c r="H4125" t="s">
        <v>248</v>
      </c>
      <c r="I4125">
        <v>0</v>
      </c>
      <c r="J4125">
        <v>0</v>
      </c>
      <c r="K4125">
        <v>0</v>
      </c>
      <c r="L4125">
        <v>0</v>
      </c>
      <c r="M4125" t="s">
        <v>187</v>
      </c>
      <c r="N4125">
        <v>8440.4887332744293</v>
      </c>
      <c r="O4125" t="s">
        <v>248</v>
      </c>
      <c r="P4125" t="b">
        <v>1</v>
      </c>
      <c r="Q4125">
        <v>5712.3887708982129</v>
      </c>
      <c r="R4125">
        <v>29909.231450707019</v>
      </c>
      <c r="S4125">
        <v>8.8496444186306125</v>
      </c>
      <c r="T4125">
        <v>87.946368811553441</v>
      </c>
      <c r="U4125">
        <v>0</v>
      </c>
      <c r="V4125">
        <v>0</v>
      </c>
    </row>
    <row r="4126" spans="1:22" x14ac:dyDescent="0.2">
      <c r="A4126"/>
      <c r="B4126">
        <v>75413</v>
      </c>
      <c r="C4126" t="s">
        <v>784</v>
      </c>
      <c r="D4126" t="s">
        <v>920</v>
      </c>
      <c r="E4126" t="s">
        <v>1275</v>
      </c>
      <c r="F4126" t="s">
        <v>92</v>
      </c>
      <c r="G4126">
        <v>443.61557660820176</v>
      </c>
      <c r="H4126" t="s">
        <v>248</v>
      </c>
      <c r="I4126">
        <v>0</v>
      </c>
      <c r="J4126">
        <v>0</v>
      </c>
      <c r="K4126">
        <v>0</v>
      </c>
      <c r="L4126">
        <v>0</v>
      </c>
      <c r="M4126" t="s">
        <v>187</v>
      </c>
      <c r="N4126">
        <v>8460.04138796197</v>
      </c>
      <c r="O4126" t="s">
        <v>248</v>
      </c>
      <c r="P4126" t="b">
        <v>1</v>
      </c>
      <c r="Q4126">
        <v>5713.0853991393114</v>
      </c>
      <c r="R4126">
        <v>29928.771691362173</v>
      </c>
      <c r="S4126">
        <v>8.8476711529650292</v>
      </c>
      <c r="T4126">
        <v>87.9702404675228</v>
      </c>
      <c r="U4126">
        <v>0</v>
      </c>
      <c r="V4126">
        <v>0</v>
      </c>
    </row>
    <row r="4127" spans="1:22" x14ac:dyDescent="0.2">
      <c r="A4127"/>
      <c r="B4127">
        <v>75414</v>
      </c>
      <c r="C4127" t="s">
        <v>785</v>
      </c>
      <c r="D4127" t="s">
        <v>920</v>
      </c>
      <c r="E4127" t="s">
        <v>1275</v>
      </c>
      <c r="F4127" t="s">
        <v>92</v>
      </c>
      <c r="G4127">
        <v>446.56025351898165</v>
      </c>
      <c r="H4127" t="s">
        <v>248</v>
      </c>
      <c r="I4127">
        <v>0</v>
      </c>
      <c r="J4127">
        <v>0</v>
      </c>
      <c r="K4127">
        <v>0</v>
      </c>
      <c r="L4127">
        <v>0</v>
      </c>
      <c r="M4127" t="s">
        <v>187</v>
      </c>
      <c r="N4127">
        <v>8462.9860648727499</v>
      </c>
      <c r="O4127" t="s">
        <v>248</v>
      </c>
      <c r="P4127" t="b">
        <v>1</v>
      </c>
      <c r="Q4127">
        <v>5713.1896008026561</v>
      </c>
      <c r="R4127">
        <v>29931.714524025567</v>
      </c>
      <c r="S4127">
        <v>8.8474855633679343</v>
      </c>
      <c r="T4127">
        <v>87.973928298657242</v>
      </c>
      <c r="U4127">
        <v>0</v>
      </c>
      <c r="V4127">
        <v>0</v>
      </c>
    </row>
    <row r="4128" spans="1:22" x14ac:dyDescent="0.2">
      <c r="A4128"/>
      <c r="B4128">
        <v>75415</v>
      </c>
      <c r="C4128" t="s">
        <v>786</v>
      </c>
      <c r="D4128" t="s">
        <v>920</v>
      </c>
      <c r="E4128" t="s">
        <v>1275</v>
      </c>
      <c r="F4128" t="s">
        <v>92</v>
      </c>
      <c r="G4128">
        <v>503.51030497336046</v>
      </c>
      <c r="H4128" t="s">
        <v>248</v>
      </c>
      <c r="I4128">
        <v>0</v>
      </c>
      <c r="J4128">
        <v>0</v>
      </c>
      <c r="K4128">
        <v>0</v>
      </c>
      <c r="L4128">
        <v>0</v>
      </c>
      <c r="M4128" t="s">
        <v>187</v>
      </c>
      <c r="N4128">
        <v>8519.9361163271296</v>
      </c>
      <c r="O4128" t="s">
        <v>248</v>
      </c>
      <c r="P4128" t="b">
        <v>1</v>
      </c>
      <c r="Q4128">
        <v>5715.1659834588436</v>
      </c>
      <c r="R4128">
        <v>29988.630266845983</v>
      </c>
      <c r="S4128">
        <v>8.8496418588905161</v>
      </c>
      <c r="T4128">
        <v>88.050024093208137</v>
      </c>
      <c r="U4128">
        <v>0</v>
      </c>
      <c r="V4128">
        <v>0</v>
      </c>
    </row>
    <row r="4129" spans="1:22" x14ac:dyDescent="0.2">
      <c r="A4129"/>
      <c r="B4129">
        <v>75416</v>
      </c>
      <c r="C4129" t="s">
        <v>787</v>
      </c>
      <c r="D4129" t="s">
        <v>920</v>
      </c>
      <c r="E4129" t="s">
        <v>1275</v>
      </c>
      <c r="F4129" t="s">
        <v>92</v>
      </c>
      <c r="G4129">
        <v>537.96302482943042</v>
      </c>
      <c r="H4129" t="s">
        <v>248</v>
      </c>
      <c r="I4129">
        <v>0</v>
      </c>
      <c r="J4129">
        <v>0</v>
      </c>
      <c r="K4129">
        <v>0</v>
      </c>
      <c r="L4129">
        <v>0</v>
      </c>
      <c r="M4129" t="s">
        <v>187</v>
      </c>
      <c r="N4129">
        <v>8554.3888361831996</v>
      </c>
      <c r="O4129" t="s">
        <v>248</v>
      </c>
      <c r="P4129" t="b">
        <v>1</v>
      </c>
      <c r="Q4129">
        <v>5716.3233130652743</v>
      </c>
      <c r="R4129">
        <v>30023.063541043797</v>
      </c>
      <c r="S4129">
        <v>8.8562507294112383</v>
      </c>
      <c r="T4129">
        <v>88.100465902137003</v>
      </c>
      <c r="U4129">
        <v>0</v>
      </c>
      <c r="V4129">
        <v>0</v>
      </c>
    </row>
    <row r="4130" spans="1:22" x14ac:dyDescent="0.2">
      <c r="A4130"/>
      <c r="B4130">
        <v>75417</v>
      </c>
      <c r="C4130" t="s">
        <v>788</v>
      </c>
      <c r="D4130" t="s">
        <v>920</v>
      </c>
      <c r="E4130" t="s">
        <v>1275</v>
      </c>
      <c r="F4130" t="s">
        <v>92</v>
      </c>
      <c r="G4130">
        <v>540.90770174020122</v>
      </c>
      <c r="H4130" t="s">
        <v>248</v>
      </c>
      <c r="I4130">
        <v>0</v>
      </c>
      <c r="J4130">
        <v>0</v>
      </c>
      <c r="K4130">
        <v>0</v>
      </c>
      <c r="L4130">
        <v>0</v>
      </c>
      <c r="M4130" t="s">
        <v>187</v>
      </c>
      <c r="N4130">
        <v>8557.3335130939704</v>
      </c>
      <c r="O4130" t="s">
        <v>248</v>
      </c>
      <c r="P4130" t="b">
        <v>1</v>
      </c>
      <c r="Q4130">
        <v>5716.4208058384893</v>
      </c>
      <c r="R4130">
        <v>30026.006603513488</v>
      </c>
      <c r="S4130">
        <v>8.857001084833735</v>
      </c>
      <c r="T4130">
        <v>88.104931267103083</v>
      </c>
      <c r="U4130">
        <v>0</v>
      </c>
      <c r="V4130">
        <v>0</v>
      </c>
    </row>
    <row r="4131" spans="1:22" x14ac:dyDescent="0.2">
      <c r="A4131"/>
      <c r="B4131">
        <v>75418</v>
      </c>
      <c r="C4131" t="s">
        <v>789</v>
      </c>
      <c r="D4131" t="s">
        <v>920</v>
      </c>
      <c r="E4131" t="s">
        <v>1275</v>
      </c>
      <c r="F4131" t="s">
        <v>92</v>
      </c>
      <c r="G4131">
        <v>560.46035642775109</v>
      </c>
      <c r="H4131" t="s">
        <v>248</v>
      </c>
      <c r="I4131">
        <v>0</v>
      </c>
      <c r="J4131">
        <v>0</v>
      </c>
      <c r="K4131">
        <v>0</v>
      </c>
      <c r="L4131">
        <v>0</v>
      </c>
      <c r="M4131" t="s">
        <v>187</v>
      </c>
      <c r="N4131">
        <v>8576.8861677815203</v>
      </c>
      <c r="O4131" t="s">
        <v>248</v>
      </c>
      <c r="P4131" t="b">
        <v>1</v>
      </c>
      <c r="Q4131">
        <v>5717.0620270454319</v>
      </c>
      <c r="R4131">
        <v>30045.548697408398</v>
      </c>
      <c r="S4131">
        <v>8.8285257612026413</v>
      </c>
      <c r="T4131">
        <v>88.137964376125481</v>
      </c>
      <c r="U4131">
        <v>0</v>
      </c>
      <c r="V4131">
        <v>0</v>
      </c>
    </row>
    <row r="4132" spans="1:22" x14ac:dyDescent="0.2">
      <c r="A4132"/>
      <c r="B4132">
        <v>75419</v>
      </c>
      <c r="C4132" t="s">
        <v>790</v>
      </c>
      <c r="D4132" t="s">
        <v>920</v>
      </c>
      <c r="E4132" t="s">
        <v>1275</v>
      </c>
      <c r="F4132" t="s">
        <v>92</v>
      </c>
      <c r="G4132">
        <v>563.40503333852007</v>
      </c>
      <c r="H4132" t="s">
        <v>248</v>
      </c>
      <c r="I4132">
        <v>0</v>
      </c>
      <c r="J4132">
        <v>0</v>
      </c>
      <c r="K4132">
        <v>0</v>
      </c>
      <c r="L4132">
        <v>0</v>
      </c>
      <c r="M4132" t="s">
        <v>187</v>
      </c>
      <c r="N4132">
        <v>8579.8308446922892</v>
      </c>
      <c r="O4132" t="s">
        <v>248</v>
      </c>
      <c r="P4132" t="b">
        <v>1</v>
      </c>
      <c r="Q4132">
        <v>5717.1575573632808</v>
      </c>
      <c r="R4132">
        <v>30048.491790340562</v>
      </c>
      <c r="S4132">
        <v>8.8144036351325354</v>
      </c>
      <c r="T4132">
        <v>88.143836771353335</v>
      </c>
      <c r="U4132">
        <v>0</v>
      </c>
      <c r="V4132">
        <v>0</v>
      </c>
    </row>
    <row r="4133" spans="1:22" x14ac:dyDescent="0.2">
      <c r="A4133"/>
      <c r="B4133">
        <v>75420</v>
      </c>
      <c r="C4133" t="s">
        <v>791</v>
      </c>
      <c r="D4133" t="s">
        <v>920</v>
      </c>
      <c r="E4133" t="s">
        <v>1275</v>
      </c>
      <c r="F4133" t="s">
        <v>92</v>
      </c>
      <c r="G4133">
        <v>614.85835455946085</v>
      </c>
      <c r="H4133" t="s">
        <v>248</v>
      </c>
      <c r="I4133">
        <v>0</v>
      </c>
      <c r="J4133">
        <v>0</v>
      </c>
      <c r="K4133">
        <v>0</v>
      </c>
      <c r="L4133">
        <v>0</v>
      </c>
      <c r="M4133" t="s">
        <v>187</v>
      </c>
      <c r="N4133">
        <v>8631.28416591323</v>
      </c>
      <c r="O4133" t="s">
        <v>248</v>
      </c>
      <c r="P4133" t="b">
        <v>1</v>
      </c>
      <c r="Q4133">
        <v>5718.7866831154724</v>
      </c>
      <c r="R4133">
        <v>30099.913605523951</v>
      </c>
      <c r="S4133">
        <v>8.0972113496200251</v>
      </c>
      <c r="T4133">
        <v>88.183417918769777</v>
      </c>
      <c r="U4133">
        <v>0</v>
      </c>
      <c r="V4133">
        <v>0</v>
      </c>
    </row>
    <row r="4134" spans="1:22" x14ac:dyDescent="0.2">
      <c r="A4134"/>
      <c r="B4134">
        <v>75421</v>
      </c>
      <c r="C4134" t="s">
        <v>792</v>
      </c>
      <c r="D4134" t="s">
        <v>920</v>
      </c>
      <c r="E4134" t="s">
        <v>1275</v>
      </c>
      <c r="F4134" t="s">
        <v>92</v>
      </c>
      <c r="G4134">
        <v>693.96219197257028</v>
      </c>
      <c r="H4134" t="s">
        <v>248</v>
      </c>
      <c r="I4134">
        <v>0</v>
      </c>
      <c r="J4134">
        <v>0</v>
      </c>
      <c r="K4134">
        <v>0</v>
      </c>
      <c r="L4134">
        <v>0</v>
      </c>
      <c r="M4134" t="s">
        <v>187</v>
      </c>
      <c r="N4134">
        <v>8710.3880033263395</v>
      </c>
      <c r="O4134" t="s">
        <v>248</v>
      </c>
      <c r="P4134" t="b">
        <v>1</v>
      </c>
      <c r="Q4134">
        <v>5717.5223289681098</v>
      </c>
      <c r="R4134">
        <v>30178.905510478493</v>
      </c>
      <c r="S4134">
        <v>6.2665722301194249</v>
      </c>
      <c r="T4134">
        <v>95.474932491148678</v>
      </c>
      <c r="U4134">
        <v>0</v>
      </c>
      <c r="V4134">
        <v>0</v>
      </c>
    </row>
    <row r="4135" spans="1:22" x14ac:dyDescent="0.2">
      <c r="A4135"/>
      <c r="B4135">
        <v>75422</v>
      </c>
      <c r="C4135" t="s">
        <v>793</v>
      </c>
      <c r="D4135" t="s">
        <v>920</v>
      </c>
      <c r="E4135" t="s">
        <v>1275</v>
      </c>
      <c r="F4135" t="s">
        <v>92</v>
      </c>
      <c r="G4135">
        <v>714.57493034799131</v>
      </c>
      <c r="H4135" t="s">
        <v>248</v>
      </c>
      <c r="I4135">
        <v>0</v>
      </c>
      <c r="J4135">
        <v>0</v>
      </c>
      <c r="K4135">
        <v>0</v>
      </c>
      <c r="L4135">
        <v>0</v>
      </c>
      <c r="M4135" t="s">
        <v>187</v>
      </c>
      <c r="N4135">
        <v>8731.0007417017605</v>
      </c>
      <c r="O4135" t="s">
        <v>248</v>
      </c>
      <c r="P4135" t="b">
        <v>1</v>
      </c>
      <c r="Q4135">
        <v>5715.3560944893234</v>
      </c>
      <c r="R4135">
        <v>30199.398446048621</v>
      </c>
      <c r="S4135">
        <v>5.794271874942285</v>
      </c>
      <c r="T4135">
        <v>96.36783025637375</v>
      </c>
      <c r="U4135">
        <v>0</v>
      </c>
      <c r="V4135">
        <v>0</v>
      </c>
    </row>
    <row r="4136" spans="1:22" x14ac:dyDescent="0.2">
      <c r="A4136"/>
      <c r="B4136">
        <v>75423</v>
      </c>
      <c r="C4136" t="s">
        <v>794</v>
      </c>
      <c r="D4136" t="s">
        <v>920</v>
      </c>
      <c r="E4136" t="s">
        <v>1275</v>
      </c>
      <c r="F4136" t="s">
        <v>92</v>
      </c>
      <c r="G4136">
        <v>832.36200677898159</v>
      </c>
      <c r="H4136" t="s">
        <v>248</v>
      </c>
      <c r="I4136">
        <v>0</v>
      </c>
      <c r="J4136">
        <v>0</v>
      </c>
      <c r="K4136">
        <v>0</v>
      </c>
      <c r="L4136">
        <v>0</v>
      </c>
      <c r="M4136" t="s">
        <v>187</v>
      </c>
      <c r="N4136">
        <v>8848.7878181327505</v>
      </c>
      <c r="O4136" t="s">
        <v>248</v>
      </c>
      <c r="P4136" t="b">
        <v>1</v>
      </c>
      <c r="Q4136">
        <v>5708.945660714081</v>
      </c>
      <c r="R4136">
        <v>30316.819370616839</v>
      </c>
      <c r="S4136">
        <v>4.7393378893782971</v>
      </c>
      <c r="T4136">
        <v>87.544595345275354</v>
      </c>
      <c r="U4136">
        <v>0</v>
      </c>
      <c r="V4136">
        <v>0</v>
      </c>
    </row>
    <row r="4137" spans="1:22" x14ac:dyDescent="0.2">
      <c r="A4137"/>
      <c r="B4137">
        <v>75424</v>
      </c>
      <c r="C4137" t="s">
        <v>795</v>
      </c>
      <c r="D4137" t="s">
        <v>920</v>
      </c>
      <c r="E4137" t="s">
        <v>1275</v>
      </c>
      <c r="F4137" t="s">
        <v>92</v>
      </c>
      <c r="G4137">
        <v>1028.6738008306302</v>
      </c>
      <c r="H4137" t="s">
        <v>248</v>
      </c>
      <c r="I4137">
        <v>0</v>
      </c>
      <c r="J4137">
        <v>0</v>
      </c>
      <c r="K4137">
        <v>0</v>
      </c>
      <c r="L4137">
        <v>0</v>
      </c>
      <c r="M4137" t="s">
        <v>187</v>
      </c>
      <c r="N4137">
        <v>9045.0996121844</v>
      </c>
      <c r="O4137" t="s">
        <v>248</v>
      </c>
      <c r="P4137" t="b">
        <v>1</v>
      </c>
      <c r="Q4137">
        <v>5757.7259869929785</v>
      </c>
      <c r="R4137">
        <v>30502.904281875588</v>
      </c>
      <c r="S4137">
        <v>7.0252353240762684</v>
      </c>
      <c r="T4137">
        <v>56.286436959932033</v>
      </c>
      <c r="U4137">
        <v>0</v>
      </c>
      <c r="V4137">
        <v>0</v>
      </c>
    </row>
    <row r="4138" spans="1:22" x14ac:dyDescent="0.2">
      <c r="A4138"/>
      <c r="B4138">
        <v>75425</v>
      </c>
      <c r="C4138" t="s">
        <v>796</v>
      </c>
      <c r="D4138" t="s">
        <v>920</v>
      </c>
      <c r="E4138" t="s">
        <v>1275</v>
      </c>
      <c r="F4138" t="s">
        <v>92</v>
      </c>
      <c r="G4138">
        <v>1224.9855948822906</v>
      </c>
      <c r="H4138" t="s">
        <v>248</v>
      </c>
      <c r="I4138">
        <v>0</v>
      </c>
      <c r="J4138">
        <v>0</v>
      </c>
      <c r="K4138">
        <v>0</v>
      </c>
      <c r="L4138">
        <v>0</v>
      </c>
      <c r="M4138" t="s">
        <v>187</v>
      </c>
      <c r="N4138">
        <v>9241.4114062360604</v>
      </c>
      <c r="O4138" t="s">
        <v>248</v>
      </c>
      <c r="P4138" t="b">
        <v>1</v>
      </c>
      <c r="Q4138">
        <v>5863.9563768016078</v>
      </c>
      <c r="R4138">
        <v>30667.810734182796</v>
      </c>
      <c r="S4138">
        <v>10.891901840728547</v>
      </c>
      <c r="T4138">
        <v>62.605971506099628</v>
      </c>
      <c r="U4138">
        <v>0</v>
      </c>
      <c r="V4138">
        <v>0</v>
      </c>
    </row>
    <row r="4139" spans="1:22" x14ac:dyDescent="0.2">
      <c r="A4139"/>
      <c r="B4139">
        <v>75426</v>
      </c>
      <c r="C4139" t="s">
        <v>797</v>
      </c>
      <c r="D4139" t="s">
        <v>920</v>
      </c>
      <c r="E4139" t="s">
        <v>1275</v>
      </c>
      <c r="F4139" t="s">
        <v>92</v>
      </c>
      <c r="G4139">
        <v>1420.3158299636807</v>
      </c>
      <c r="H4139" t="s">
        <v>248</v>
      </c>
      <c r="I4139">
        <v>0</v>
      </c>
      <c r="J4139">
        <v>0</v>
      </c>
      <c r="K4139">
        <v>0</v>
      </c>
      <c r="L4139">
        <v>0</v>
      </c>
      <c r="M4139" t="s">
        <v>187</v>
      </c>
      <c r="N4139">
        <v>9436.7416413174506</v>
      </c>
      <c r="O4139" t="s">
        <v>248</v>
      </c>
      <c r="P4139" t="b">
        <v>1</v>
      </c>
      <c r="Q4139">
        <v>5926.4065632243974</v>
      </c>
      <c r="R4139">
        <v>30852.327945219688</v>
      </c>
      <c r="S4139">
        <v>9.2774959891525608</v>
      </c>
      <c r="T4139">
        <v>75.151270346944827</v>
      </c>
      <c r="U4139">
        <v>0</v>
      </c>
      <c r="V4139">
        <v>0</v>
      </c>
    </row>
    <row r="4140" spans="1:22" x14ac:dyDescent="0.2">
      <c r="A4140"/>
      <c r="B4140">
        <v>75427</v>
      </c>
      <c r="C4140" t="s">
        <v>798</v>
      </c>
      <c r="D4140" t="s">
        <v>920</v>
      </c>
      <c r="E4140" t="s">
        <v>1275</v>
      </c>
      <c r="F4140" t="s">
        <v>92</v>
      </c>
      <c r="G4140">
        <v>1538.1029063946708</v>
      </c>
      <c r="H4140" t="s">
        <v>248</v>
      </c>
      <c r="I4140">
        <v>0</v>
      </c>
      <c r="J4140">
        <v>0</v>
      </c>
      <c r="K4140">
        <v>0</v>
      </c>
      <c r="L4140">
        <v>0</v>
      </c>
      <c r="M4140" t="s">
        <v>187</v>
      </c>
      <c r="N4140">
        <v>9554.5287177484406</v>
      </c>
      <c r="O4140" t="s">
        <v>248</v>
      </c>
      <c r="P4140" t="b">
        <v>1</v>
      </c>
      <c r="Q4140">
        <v>5956.3227578161832</v>
      </c>
      <c r="R4140">
        <v>30966.251546506748</v>
      </c>
      <c r="S4140">
        <v>9.0400893190149247</v>
      </c>
      <c r="T4140">
        <v>75.408145517733672</v>
      </c>
      <c r="U4140">
        <v>0</v>
      </c>
      <c r="V4140">
        <v>0</v>
      </c>
    </row>
    <row r="4141" spans="1:22" x14ac:dyDescent="0.2">
      <c r="A4141"/>
      <c r="B4141">
        <v>75428</v>
      </c>
      <c r="C4141" t="s">
        <v>799</v>
      </c>
      <c r="D4141" t="s">
        <v>920</v>
      </c>
      <c r="E4141" t="s">
        <v>1275</v>
      </c>
      <c r="F4141" t="s">
        <v>92</v>
      </c>
      <c r="G4141">
        <v>1558.71564477009</v>
      </c>
      <c r="H4141" t="s">
        <v>248</v>
      </c>
      <c r="I4141">
        <v>0</v>
      </c>
      <c r="J4141">
        <v>0</v>
      </c>
      <c r="K4141">
        <v>0</v>
      </c>
      <c r="L4141">
        <v>0</v>
      </c>
      <c r="M4141" t="s">
        <v>187</v>
      </c>
      <c r="N4141">
        <v>9575.1414561238598</v>
      </c>
      <c r="O4141" t="s">
        <v>248</v>
      </c>
      <c r="P4141" t="b">
        <v>1</v>
      </c>
      <c r="Q4141">
        <v>5961.4739837810666</v>
      </c>
      <c r="R4141">
        <v>30986.210232008245</v>
      </c>
      <c r="S4141">
        <v>9.0389316215364701</v>
      </c>
      <c r="T4141">
        <v>75.663553425402711</v>
      </c>
      <c r="U4141">
        <v>0</v>
      </c>
      <c r="V4141">
        <v>0</v>
      </c>
    </row>
    <row r="4142" spans="1:22" x14ac:dyDescent="0.2">
      <c r="A4142"/>
      <c r="B4142">
        <v>75429</v>
      </c>
      <c r="C4142" t="s">
        <v>800</v>
      </c>
      <c r="D4142" t="s">
        <v>920</v>
      </c>
      <c r="E4142" t="s">
        <v>1275</v>
      </c>
      <c r="F4142" t="s">
        <v>92</v>
      </c>
      <c r="G4142">
        <v>1652.6606538135102</v>
      </c>
      <c r="H4142" t="s">
        <v>248</v>
      </c>
      <c r="I4142">
        <v>0</v>
      </c>
      <c r="J4142">
        <v>0</v>
      </c>
      <c r="K4142">
        <v>0</v>
      </c>
      <c r="L4142">
        <v>0</v>
      </c>
      <c r="M4142" t="s">
        <v>187</v>
      </c>
      <c r="N4142">
        <v>9669.08646516728</v>
      </c>
      <c r="O4142" t="s">
        <v>248</v>
      </c>
      <c r="P4142" t="b">
        <v>1</v>
      </c>
      <c r="Q4142">
        <v>5983.7116040137398</v>
      </c>
      <c r="R4142">
        <v>31077.483659421341</v>
      </c>
      <c r="S4142">
        <v>9.0491047328969483</v>
      </c>
      <c r="T4142">
        <v>76.826722033145501</v>
      </c>
      <c r="U4142">
        <v>0</v>
      </c>
      <c r="V4142">
        <v>0</v>
      </c>
    </row>
    <row r="4143" spans="1:22" x14ac:dyDescent="0.2">
      <c r="A4143"/>
      <c r="B4143">
        <v>75430</v>
      </c>
      <c r="C4143" t="s">
        <v>801</v>
      </c>
      <c r="D4143" t="s">
        <v>920</v>
      </c>
      <c r="E4143" t="s">
        <v>1275</v>
      </c>
      <c r="F4143" t="s">
        <v>92</v>
      </c>
      <c r="G4143">
        <v>1667.2466201115503</v>
      </c>
      <c r="H4143" t="s">
        <v>248</v>
      </c>
      <c r="I4143">
        <v>0</v>
      </c>
      <c r="J4143">
        <v>0</v>
      </c>
      <c r="K4143">
        <v>0</v>
      </c>
      <c r="L4143">
        <v>0</v>
      </c>
      <c r="M4143" t="s">
        <v>187</v>
      </c>
      <c r="N4143">
        <v>9683.6724314653202</v>
      </c>
      <c r="O4143" t="s">
        <v>248</v>
      </c>
      <c r="P4143" t="b">
        <v>1</v>
      </c>
      <c r="Q4143">
        <v>5987.0221215178317</v>
      </c>
      <c r="R4143">
        <v>31091.688969194747</v>
      </c>
      <c r="S4143">
        <v>9.0495233252577503</v>
      </c>
      <c r="T4143">
        <v>76.932754101906056</v>
      </c>
      <c r="U4143">
        <v>0</v>
      </c>
      <c r="V4143">
        <v>0</v>
      </c>
    </row>
    <row r="4144" spans="1:22" x14ac:dyDescent="0.2">
      <c r="A4144"/>
      <c r="B4144">
        <v>75431</v>
      </c>
      <c r="C4144" t="s">
        <v>802</v>
      </c>
      <c r="D4144" t="s">
        <v>920</v>
      </c>
      <c r="E4144" t="s">
        <v>1275</v>
      </c>
      <c r="F4144" t="s">
        <v>92</v>
      </c>
      <c r="G4144">
        <v>1670.1912970223193</v>
      </c>
      <c r="H4144" t="s">
        <v>248</v>
      </c>
      <c r="I4144">
        <v>0</v>
      </c>
      <c r="J4144">
        <v>0</v>
      </c>
      <c r="K4144">
        <v>0</v>
      </c>
      <c r="L4144">
        <v>0</v>
      </c>
      <c r="M4144" t="s">
        <v>187</v>
      </c>
      <c r="N4144">
        <v>9686.6171083760892</v>
      </c>
      <c r="O4144" t="s">
        <v>248</v>
      </c>
      <c r="P4144" t="b">
        <v>1</v>
      </c>
      <c r="Q4144">
        <v>5987.6874210961723</v>
      </c>
      <c r="R4144">
        <v>31094.557505145363</v>
      </c>
      <c r="S4144">
        <v>9.0495633034434189</v>
      </c>
      <c r="T4144">
        <v>76.951611516710344</v>
      </c>
      <c r="U4144">
        <v>0</v>
      </c>
      <c r="V4144">
        <v>0</v>
      </c>
    </row>
    <row r="4145" spans="1:22" x14ac:dyDescent="0.2">
      <c r="A4145"/>
      <c r="B4145">
        <v>75432</v>
      </c>
      <c r="C4145" t="s">
        <v>803</v>
      </c>
      <c r="D4145" t="s">
        <v>920</v>
      </c>
      <c r="E4145" t="s">
        <v>1275</v>
      </c>
      <c r="F4145" t="s">
        <v>92</v>
      </c>
      <c r="G4145">
        <v>1689.743951709871</v>
      </c>
      <c r="H4145" t="s">
        <v>248</v>
      </c>
      <c r="I4145">
        <v>0</v>
      </c>
      <c r="J4145">
        <v>0</v>
      </c>
      <c r="K4145">
        <v>0</v>
      </c>
      <c r="L4145">
        <v>0</v>
      </c>
      <c r="M4145" t="s">
        <v>187</v>
      </c>
      <c r="N4145">
        <v>9706.1697630636409</v>
      </c>
      <c r="O4145" t="s">
        <v>248</v>
      </c>
      <c r="P4145" t="b">
        <v>1</v>
      </c>
      <c r="Q4145">
        <v>5992.0836478507308</v>
      </c>
      <c r="R4145">
        <v>31113.609523186104</v>
      </c>
      <c r="S4145">
        <v>9.0494493184078504</v>
      </c>
      <c r="T4145">
        <v>77.055105976031228</v>
      </c>
      <c r="U4145">
        <v>0</v>
      </c>
      <c r="V4145">
        <v>0</v>
      </c>
    </row>
    <row r="4146" spans="1:22" x14ac:dyDescent="0.2">
      <c r="A4146"/>
      <c r="B4146">
        <v>75433</v>
      </c>
      <c r="C4146" t="s">
        <v>804</v>
      </c>
      <c r="D4146" t="s">
        <v>920</v>
      </c>
      <c r="E4146" t="s">
        <v>1275</v>
      </c>
      <c r="F4146" t="s">
        <v>92</v>
      </c>
      <c r="G4146">
        <v>1692.68862862064</v>
      </c>
      <c r="H4146" t="s">
        <v>248</v>
      </c>
      <c r="I4146">
        <v>0</v>
      </c>
      <c r="J4146">
        <v>0</v>
      </c>
      <c r="K4146">
        <v>0</v>
      </c>
      <c r="L4146">
        <v>0</v>
      </c>
      <c r="M4146" t="s">
        <v>187</v>
      </c>
      <c r="N4146">
        <v>9709.1144399744098</v>
      </c>
      <c r="O4146" t="s">
        <v>248</v>
      </c>
      <c r="P4146" t="b">
        <v>1</v>
      </c>
      <c r="Q4146">
        <v>5992.7429841617632</v>
      </c>
      <c r="R4146">
        <v>31116.479435675858</v>
      </c>
      <c r="S4146">
        <v>9.0493750073647146</v>
      </c>
      <c r="T4146">
        <v>77.067421591142775</v>
      </c>
      <c r="U4146">
        <v>0</v>
      </c>
      <c r="V4146">
        <v>0</v>
      </c>
    </row>
    <row r="4147" spans="1:22" x14ac:dyDescent="0.2">
      <c r="A4147"/>
      <c r="B4147">
        <v>75434</v>
      </c>
      <c r="C4147" t="s">
        <v>805</v>
      </c>
      <c r="D4147" t="s">
        <v>920</v>
      </c>
      <c r="E4147" t="s">
        <v>1275</v>
      </c>
      <c r="F4147" t="s">
        <v>92</v>
      </c>
      <c r="G4147">
        <v>1749.6386800750306</v>
      </c>
      <c r="H4147" t="s">
        <v>248</v>
      </c>
      <c r="I4147">
        <v>0</v>
      </c>
      <c r="J4147">
        <v>0</v>
      </c>
      <c r="K4147">
        <v>0</v>
      </c>
      <c r="L4147">
        <v>0</v>
      </c>
      <c r="M4147" t="s">
        <v>187</v>
      </c>
      <c r="N4147">
        <v>9766.0644914288005</v>
      </c>
      <c r="O4147" t="s">
        <v>248</v>
      </c>
      <c r="P4147" t="b">
        <v>1</v>
      </c>
      <c r="Q4147">
        <v>6005.4267276530336</v>
      </c>
      <c r="R4147">
        <v>31171.99907538015</v>
      </c>
      <c r="S4147">
        <v>9.0481931298740204</v>
      </c>
      <c r="T4147">
        <v>77.144675679816061</v>
      </c>
      <c r="U4147">
        <v>0</v>
      </c>
      <c r="V4147">
        <v>0</v>
      </c>
    </row>
    <row r="4148" spans="1:22" x14ac:dyDescent="0.2">
      <c r="A4148"/>
      <c r="B4148">
        <v>75435</v>
      </c>
      <c r="C4148" t="s">
        <v>806</v>
      </c>
      <c r="D4148" t="s">
        <v>920</v>
      </c>
      <c r="E4148" t="s">
        <v>1275</v>
      </c>
      <c r="F4148" t="s">
        <v>92</v>
      </c>
      <c r="G4148">
        <v>1784.0913999310897</v>
      </c>
      <c r="H4148" t="s">
        <v>248</v>
      </c>
      <c r="I4148">
        <v>0</v>
      </c>
      <c r="J4148">
        <v>0</v>
      </c>
      <c r="K4148">
        <v>0</v>
      </c>
      <c r="L4148">
        <v>0</v>
      </c>
      <c r="M4148" t="s">
        <v>187</v>
      </c>
      <c r="N4148">
        <v>9800.5172112848595</v>
      </c>
      <c r="O4148" t="s">
        <v>248</v>
      </c>
      <c r="P4148" t="b">
        <v>1</v>
      </c>
      <c r="Q4148">
        <v>6013.1161458209308</v>
      </c>
      <c r="R4148">
        <v>31205.58273871788</v>
      </c>
      <c r="S4148">
        <v>9.0482862155653532</v>
      </c>
      <c r="T4148">
        <v>77.044179556832859</v>
      </c>
      <c r="U4148">
        <v>0</v>
      </c>
      <c r="V4148">
        <v>0</v>
      </c>
    </row>
    <row r="4149" spans="1:22" x14ac:dyDescent="0.2">
      <c r="A4149"/>
      <c r="B4149">
        <v>75436</v>
      </c>
      <c r="C4149" t="s">
        <v>807</v>
      </c>
      <c r="D4149" t="s">
        <v>920</v>
      </c>
      <c r="E4149" t="s">
        <v>1275</v>
      </c>
      <c r="F4149" t="s">
        <v>92</v>
      </c>
      <c r="G4149">
        <v>1787.0360768418604</v>
      </c>
      <c r="H4149" t="s">
        <v>248</v>
      </c>
      <c r="I4149">
        <v>0</v>
      </c>
      <c r="J4149">
        <v>0</v>
      </c>
      <c r="K4149">
        <v>0</v>
      </c>
      <c r="L4149">
        <v>0</v>
      </c>
      <c r="M4149" t="s">
        <v>187</v>
      </c>
      <c r="N4149">
        <v>9803.4618881956303</v>
      </c>
      <c r="O4149" t="s">
        <v>248</v>
      </c>
      <c r="P4149" t="b">
        <v>1</v>
      </c>
      <c r="Q4149">
        <v>6013.7766820529696</v>
      </c>
      <c r="R4149">
        <v>31208.452375271889</v>
      </c>
      <c r="S4149">
        <v>9.0483227317921813</v>
      </c>
      <c r="T4149">
        <v>77.030442138998382</v>
      </c>
      <c r="U4149">
        <v>0</v>
      </c>
      <c r="V4149">
        <v>0</v>
      </c>
    </row>
    <row r="4150" spans="1:22" x14ac:dyDescent="0.2">
      <c r="A4150"/>
      <c r="B4150">
        <v>75437</v>
      </c>
      <c r="C4150" t="s">
        <v>808</v>
      </c>
      <c r="D4150" t="s">
        <v>920</v>
      </c>
      <c r="E4150" t="s">
        <v>1275</v>
      </c>
      <c r="F4150" t="s">
        <v>92</v>
      </c>
      <c r="G4150">
        <v>1806.5887315294103</v>
      </c>
      <c r="H4150" t="s">
        <v>248</v>
      </c>
      <c r="I4150">
        <v>0</v>
      </c>
      <c r="J4150">
        <v>0</v>
      </c>
      <c r="K4150">
        <v>0</v>
      </c>
      <c r="L4150">
        <v>0</v>
      </c>
      <c r="M4150" t="s">
        <v>187</v>
      </c>
      <c r="N4150">
        <v>9823.0145428831802</v>
      </c>
      <c r="O4150" t="s">
        <v>248</v>
      </c>
      <c r="P4150" t="b">
        <v>1</v>
      </c>
      <c r="Q4150">
        <v>6018.182542566642</v>
      </c>
      <c r="R4150">
        <v>31227.50216731456</v>
      </c>
      <c r="S4150">
        <v>9.0486792802579696</v>
      </c>
      <c r="T4150">
        <v>76.918662199098534</v>
      </c>
      <c r="U4150">
        <v>0</v>
      </c>
      <c r="V4150">
        <v>0</v>
      </c>
    </row>
    <row r="4151" spans="1:22" x14ac:dyDescent="0.2">
      <c r="A4151"/>
      <c r="B4151">
        <v>75438</v>
      </c>
      <c r="C4151" t="s">
        <v>809</v>
      </c>
      <c r="D4151" t="s">
        <v>920</v>
      </c>
      <c r="E4151" t="s">
        <v>1275</v>
      </c>
      <c r="F4151" t="s">
        <v>92</v>
      </c>
      <c r="G4151">
        <v>1809.5334084401793</v>
      </c>
      <c r="H4151" t="s">
        <v>248</v>
      </c>
      <c r="I4151">
        <v>0</v>
      </c>
      <c r="J4151">
        <v>0</v>
      </c>
      <c r="K4151">
        <v>0</v>
      </c>
      <c r="L4151">
        <v>0</v>
      </c>
      <c r="M4151" t="s">
        <v>187</v>
      </c>
      <c r="N4151">
        <v>9825.9592197939492</v>
      </c>
      <c r="O4151" t="s">
        <v>248</v>
      </c>
      <c r="P4151" t="b">
        <v>1</v>
      </c>
      <c r="Q4151">
        <v>6018.8495187221606</v>
      </c>
      <c r="R4151">
        <v>31230.370313898038</v>
      </c>
      <c r="S4151">
        <v>9.0487501583296801</v>
      </c>
      <c r="T4151">
        <v>76.898730960336707</v>
      </c>
      <c r="U4151">
        <v>0</v>
      </c>
      <c r="V4151">
        <v>0</v>
      </c>
    </row>
    <row r="4152" spans="1:22" x14ac:dyDescent="0.2">
      <c r="A4152"/>
      <c r="B4152">
        <v>75439</v>
      </c>
      <c r="C4152" t="s">
        <v>810</v>
      </c>
      <c r="D4152" t="s">
        <v>920</v>
      </c>
      <c r="E4152" t="s">
        <v>1275</v>
      </c>
      <c r="F4152" t="s">
        <v>92</v>
      </c>
      <c r="G4152">
        <v>1860.9867296611201</v>
      </c>
      <c r="H4152" t="s">
        <v>248</v>
      </c>
      <c r="I4152">
        <v>0</v>
      </c>
      <c r="J4152">
        <v>0</v>
      </c>
      <c r="K4152">
        <v>0</v>
      </c>
      <c r="L4152">
        <v>0</v>
      </c>
      <c r="M4152" t="s">
        <v>187</v>
      </c>
      <c r="N4152">
        <v>9877.4125410148899</v>
      </c>
      <c r="O4152" t="s">
        <v>248</v>
      </c>
      <c r="P4152" t="b">
        <v>1</v>
      </c>
      <c r="Q4152">
        <v>6030.7010546766624</v>
      </c>
      <c r="R4152">
        <v>31280.439941350316</v>
      </c>
      <c r="S4152">
        <v>9.0325503814910899</v>
      </c>
      <c r="T4152">
        <v>76.430155448640505</v>
      </c>
      <c r="U4152">
        <v>0</v>
      </c>
      <c r="V4152">
        <v>0</v>
      </c>
    </row>
    <row r="4153" spans="1:22" x14ac:dyDescent="0.2">
      <c r="A4153"/>
      <c r="B4153">
        <v>75440</v>
      </c>
      <c r="C4153" t="s">
        <v>811</v>
      </c>
      <c r="D4153" t="s">
        <v>920</v>
      </c>
      <c r="E4153" t="s">
        <v>1275</v>
      </c>
      <c r="F4153" t="s">
        <v>92</v>
      </c>
      <c r="G4153">
        <v>1938.5789662600409</v>
      </c>
      <c r="H4153" t="s">
        <v>248</v>
      </c>
      <c r="I4153">
        <v>0</v>
      </c>
      <c r="J4153">
        <v>0</v>
      </c>
      <c r="K4153">
        <v>0</v>
      </c>
      <c r="L4153">
        <v>0</v>
      </c>
      <c r="M4153" t="s">
        <v>187</v>
      </c>
      <c r="N4153">
        <v>9955.0047776138108</v>
      </c>
      <c r="O4153" t="s">
        <v>248</v>
      </c>
      <c r="P4153" t="b">
        <v>1</v>
      </c>
      <c r="Q4153">
        <v>6053.7737851628681</v>
      </c>
      <c r="R4153">
        <v>31354.424872913161</v>
      </c>
      <c r="S4153">
        <v>7.7684865344371827</v>
      </c>
      <c r="T4153">
        <v>68.659837203933805</v>
      </c>
      <c r="U4153">
        <v>0</v>
      </c>
      <c r="V4153">
        <v>0</v>
      </c>
    </row>
    <row r="4154" spans="1:22" x14ac:dyDescent="0.2">
      <c r="A4154"/>
      <c r="B4154">
        <v>75441</v>
      </c>
      <c r="C4154" t="s">
        <v>812</v>
      </c>
      <c r="D4154" t="s">
        <v>920</v>
      </c>
      <c r="E4154" t="s">
        <v>1275</v>
      </c>
      <c r="F4154" t="s">
        <v>92</v>
      </c>
      <c r="G4154">
        <v>1959.1917046354602</v>
      </c>
      <c r="H4154" t="s">
        <v>248</v>
      </c>
      <c r="I4154">
        <v>0</v>
      </c>
      <c r="J4154">
        <v>0</v>
      </c>
      <c r="K4154">
        <v>0</v>
      </c>
      <c r="L4154">
        <v>0</v>
      </c>
      <c r="M4154" t="s">
        <v>187</v>
      </c>
      <c r="N4154">
        <v>9975.61751598923</v>
      </c>
      <c r="O4154" t="s">
        <v>248</v>
      </c>
      <c r="P4154" t="b">
        <v>1</v>
      </c>
      <c r="Q4154">
        <v>6061.4093918245198</v>
      </c>
      <c r="R4154">
        <v>31373.563634444577</v>
      </c>
      <c r="S4154">
        <v>7.2340152828187332</v>
      </c>
      <c r="T4154">
        <v>68.004502182920248</v>
      </c>
      <c r="U4154">
        <v>0</v>
      </c>
      <c r="V4154">
        <v>0</v>
      </c>
    </row>
    <row r="4155" spans="1:22" x14ac:dyDescent="0.2">
      <c r="A4155"/>
      <c r="B4155">
        <v>75442</v>
      </c>
      <c r="C4155" t="s">
        <v>813</v>
      </c>
      <c r="D4155" t="s">
        <v>920</v>
      </c>
      <c r="E4155" t="s">
        <v>1275</v>
      </c>
      <c r="F4155" t="s">
        <v>92</v>
      </c>
      <c r="G4155">
        <v>2076.9787810664302</v>
      </c>
      <c r="H4155" t="s">
        <v>248</v>
      </c>
      <c r="I4155">
        <v>0</v>
      </c>
      <c r="J4155">
        <v>0</v>
      </c>
      <c r="K4155">
        <v>0</v>
      </c>
      <c r="L4155">
        <v>0</v>
      </c>
      <c r="M4155" t="s">
        <v>187</v>
      </c>
      <c r="N4155">
        <v>10093.4045924202</v>
      </c>
      <c r="O4155" t="s">
        <v>248</v>
      </c>
      <c r="P4155" t="b">
        <v>1</v>
      </c>
      <c r="Q4155">
        <v>6107.013856196394</v>
      </c>
      <c r="R4155">
        <v>31482.105611429237</v>
      </c>
      <c r="S4155">
        <v>4.0586681603935846</v>
      </c>
      <c r="T4155">
        <v>64.583129259214374</v>
      </c>
      <c r="U4155">
        <v>0</v>
      </c>
      <c r="V4155">
        <v>0</v>
      </c>
    </row>
    <row r="4156" spans="1:22" x14ac:dyDescent="0.2">
      <c r="A4156"/>
      <c r="B4156">
        <v>75443</v>
      </c>
      <c r="C4156" t="s">
        <v>814</v>
      </c>
      <c r="D4156" t="s">
        <v>920</v>
      </c>
      <c r="E4156" t="s">
        <v>1275</v>
      </c>
      <c r="F4156" t="s">
        <v>92</v>
      </c>
      <c r="G4156">
        <v>2112.3149039957307</v>
      </c>
      <c r="H4156" t="s">
        <v>248</v>
      </c>
      <c r="I4156">
        <v>0</v>
      </c>
      <c r="J4156">
        <v>0</v>
      </c>
      <c r="K4156">
        <v>0</v>
      </c>
      <c r="L4156">
        <v>0</v>
      </c>
      <c r="M4156" t="s">
        <v>187</v>
      </c>
      <c r="N4156">
        <v>10128.740715349501</v>
      </c>
      <c r="O4156" t="s">
        <v>248</v>
      </c>
      <c r="P4156" t="b">
        <v>1</v>
      </c>
      <c r="Q4156">
        <v>6123.3307093768308</v>
      </c>
      <c r="R4156">
        <v>31513.424920015961</v>
      </c>
      <c r="S4156">
        <v>3.101398410456321</v>
      </c>
      <c r="T4156">
        <v>60.287970715050818</v>
      </c>
      <c r="U4156">
        <v>0</v>
      </c>
      <c r="V4156">
        <v>0</v>
      </c>
    </row>
    <row r="4157" spans="1:22" x14ac:dyDescent="0.2">
      <c r="A4157"/>
      <c r="B4157">
        <v>75444</v>
      </c>
      <c r="C4157" t="s">
        <v>815</v>
      </c>
      <c r="D4157" t="s">
        <v>920</v>
      </c>
      <c r="E4157" t="s">
        <v>1275</v>
      </c>
      <c r="F4157" t="s">
        <v>92</v>
      </c>
      <c r="G4157">
        <v>2230.1019804267298</v>
      </c>
      <c r="H4157" t="s">
        <v>248</v>
      </c>
      <c r="I4157">
        <v>0</v>
      </c>
      <c r="J4157">
        <v>0</v>
      </c>
      <c r="K4157">
        <v>0</v>
      </c>
      <c r="L4157">
        <v>0</v>
      </c>
      <c r="M4157" t="s">
        <v>187</v>
      </c>
      <c r="N4157">
        <v>10246.5277917805</v>
      </c>
      <c r="O4157" t="s">
        <v>248</v>
      </c>
      <c r="P4157" t="b">
        <v>1</v>
      </c>
      <c r="Q4157">
        <v>6187.9012482347234</v>
      </c>
      <c r="R4157">
        <v>31611.878877494517</v>
      </c>
      <c r="S4157">
        <v>0.99396138130773581</v>
      </c>
      <c r="T4157">
        <v>55.353187373649533</v>
      </c>
      <c r="U4157">
        <v>0</v>
      </c>
      <c r="V4157">
        <v>0</v>
      </c>
    </row>
    <row r="4158" spans="1:22" x14ac:dyDescent="0.2">
      <c r="A4158"/>
      <c r="B4158">
        <v>75445</v>
      </c>
      <c r="C4158" t="s">
        <v>816</v>
      </c>
      <c r="D4158" t="s">
        <v>920</v>
      </c>
      <c r="E4158" t="s">
        <v>1275</v>
      </c>
      <c r="F4158" t="s">
        <v>92</v>
      </c>
      <c r="G4158">
        <v>2250.7147188021308</v>
      </c>
      <c r="H4158" t="s">
        <v>248</v>
      </c>
      <c r="I4158">
        <v>0</v>
      </c>
      <c r="J4158">
        <v>0</v>
      </c>
      <c r="K4158">
        <v>0</v>
      </c>
      <c r="L4158">
        <v>0</v>
      </c>
      <c r="M4158" t="s">
        <v>187</v>
      </c>
      <c r="N4158">
        <v>10267.140530155901</v>
      </c>
      <c r="O4158" t="s">
        <v>248</v>
      </c>
      <c r="P4158" t="b">
        <v>1</v>
      </c>
      <c r="Q4158">
        <v>6199.714342296038</v>
      </c>
      <c r="R4158">
        <v>31628.770567594831</v>
      </c>
      <c r="S4158">
        <v>0.99265735311272096</v>
      </c>
      <c r="T4158">
        <v>54.389945339260322</v>
      </c>
      <c r="U4158">
        <v>0</v>
      </c>
      <c r="V4158">
        <v>0</v>
      </c>
    </row>
    <row r="4159" spans="1:22" x14ac:dyDescent="0.2">
      <c r="A4159"/>
      <c r="B4159">
        <v>75446</v>
      </c>
      <c r="C4159" t="s">
        <v>817</v>
      </c>
      <c r="D4159" t="s">
        <v>920</v>
      </c>
      <c r="E4159" t="s">
        <v>1275</v>
      </c>
      <c r="F4159" t="s">
        <v>92</v>
      </c>
      <c r="G4159">
        <v>2344.5124940000305</v>
      </c>
      <c r="H4159" t="s">
        <v>248</v>
      </c>
      <c r="I4159">
        <v>0</v>
      </c>
      <c r="J4159">
        <v>0</v>
      </c>
      <c r="K4159">
        <v>0</v>
      </c>
      <c r="L4159">
        <v>0</v>
      </c>
      <c r="M4159" t="s">
        <v>187</v>
      </c>
      <c r="N4159">
        <v>10360.9383053538</v>
      </c>
      <c r="O4159" t="s">
        <v>248</v>
      </c>
      <c r="P4159" t="b">
        <v>1</v>
      </c>
      <c r="Q4159">
        <v>6263.1293748332282</v>
      </c>
      <c r="R4159">
        <v>31697.678975085611</v>
      </c>
      <c r="S4159">
        <v>0.98991079601779441</v>
      </c>
      <c r="T4159">
        <v>44.47784394838132</v>
      </c>
      <c r="U4159">
        <v>0</v>
      </c>
      <c r="V4159">
        <v>0</v>
      </c>
    </row>
    <row r="4160" spans="1:22" x14ac:dyDescent="0.2">
      <c r="A4160"/>
      <c r="B4160">
        <v>75447</v>
      </c>
      <c r="C4160" t="s">
        <v>818</v>
      </c>
      <c r="D4160" t="s">
        <v>920</v>
      </c>
      <c r="E4160" t="s">
        <v>1275</v>
      </c>
      <c r="F4160" t="s">
        <v>92</v>
      </c>
      <c r="G4160">
        <v>2359.0984602980307</v>
      </c>
      <c r="H4160" t="s">
        <v>248</v>
      </c>
      <c r="I4160">
        <v>0</v>
      </c>
      <c r="J4160">
        <v>0</v>
      </c>
      <c r="K4160">
        <v>0</v>
      </c>
      <c r="L4160">
        <v>0</v>
      </c>
      <c r="M4160" t="s">
        <v>187</v>
      </c>
      <c r="N4160">
        <v>10375.524271651801</v>
      </c>
      <c r="O4160" t="s">
        <v>248</v>
      </c>
      <c r="P4160" t="b">
        <v>1</v>
      </c>
      <c r="Q4160">
        <v>6273.538093905695</v>
      </c>
      <c r="R4160">
        <v>31707.897046269092</v>
      </c>
      <c r="S4160">
        <v>0.98944647420517962</v>
      </c>
      <c r="T4160">
        <v>44.463151525512018</v>
      </c>
      <c r="U4160">
        <v>0</v>
      </c>
      <c r="V4160">
        <v>0</v>
      </c>
    </row>
    <row r="4161" spans="1:22" x14ac:dyDescent="0.2">
      <c r="A4161"/>
      <c r="B4161">
        <v>75448</v>
      </c>
      <c r="C4161" t="s">
        <v>819</v>
      </c>
      <c r="D4161" t="s">
        <v>920</v>
      </c>
      <c r="E4161" t="s">
        <v>1275</v>
      </c>
      <c r="F4161" t="s">
        <v>92</v>
      </c>
      <c r="G4161">
        <v>2362.0431372088306</v>
      </c>
      <c r="H4161" t="s">
        <v>248</v>
      </c>
      <c r="I4161">
        <v>0</v>
      </c>
      <c r="J4161">
        <v>0</v>
      </c>
      <c r="K4161">
        <v>0</v>
      </c>
      <c r="L4161">
        <v>0</v>
      </c>
      <c r="M4161" t="s">
        <v>187</v>
      </c>
      <c r="N4161">
        <v>10378.4689485626</v>
      </c>
      <c r="O4161" t="s">
        <v>248</v>
      </c>
      <c r="P4161" t="b">
        <v>1</v>
      </c>
      <c r="Q4161">
        <v>6275.6397650818071</v>
      </c>
      <c r="R4161">
        <v>31709.959593328884</v>
      </c>
      <c r="S4161">
        <v>0.98941891014197703</v>
      </c>
      <c r="T4161">
        <v>44.460261319317482</v>
      </c>
      <c r="U4161">
        <v>0</v>
      </c>
      <c r="V4161">
        <v>0</v>
      </c>
    </row>
    <row r="4162" spans="1:22" x14ac:dyDescent="0.2">
      <c r="A4162"/>
      <c r="B4162">
        <v>75449</v>
      </c>
      <c r="C4162" t="s">
        <v>820</v>
      </c>
      <c r="D4162" t="s">
        <v>920</v>
      </c>
      <c r="E4162" t="s">
        <v>1275</v>
      </c>
      <c r="F4162" t="s">
        <v>92</v>
      </c>
      <c r="G4162">
        <v>2381.5957918963295</v>
      </c>
      <c r="H4162" t="s">
        <v>248</v>
      </c>
      <c r="I4162">
        <v>0</v>
      </c>
      <c r="J4162">
        <v>0</v>
      </c>
      <c r="K4162">
        <v>0</v>
      </c>
      <c r="L4162">
        <v>0</v>
      </c>
      <c r="M4162" t="s">
        <v>187</v>
      </c>
      <c r="N4162">
        <v>10398.021603250099</v>
      </c>
      <c r="O4162" t="s">
        <v>248</v>
      </c>
      <c r="P4162" t="b">
        <v>1</v>
      </c>
      <c r="Q4162">
        <v>6289.597444935268</v>
      </c>
      <c r="R4162">
        <v>31723.65227293787</v>
      </c>
      <c r="S4162">
        <v>0.98979977736104141</v>
      </c>
      <c r="T4162">
        <v>44.441717643592085</v>
      </c>
      <c r="U4162">
        <v>0</v>
      </c>
      <c r="V4162">
        <v>0</v>
      </c>
    </row>
    <row r="4163" spans="1:22" x14ac:dyDescent="0.2">
      <c r="A4163"/>
      <c r="B4163">
        <v>75450</v>
      </c>
      <c r="C4163" t="s">
        <v>821</v>
      </c>
      <c r="D4163" t="s">
        <v>920</v>
      </c>
      <c r="E4163" t="s">
        <v>1275</v>
      </c>
      <c r="F4163" t="s">
        <v>92</v>
      </c>
      <c r="G4163">
        <v>2384.5404688071294</v>
      </c>
      <c r="H4163" t="s">
        <v>248</v>
      </c>
      <c r="I4163">
        <v>0</v>
      </c>
      <c r="J4163">
        <v>0</v>
      </c>
      <c r="K4163">
        <v>0</v>
      </c>
      <c r="L4163">
        <v>0</v>
      </c>
      <c r="M4163" t="s">
        <v>187</v>
      </c>
      <c r="N4163">
        <v>10400.966280160899</v>
      </c>
      <c r="O4163" t="s">
        <v>248</v>
      </c>
      <c r="P4163" t="b">
        <v>1</v>
      </c>
      <c r="Q4163">
        <v>6291.6998840360193</v>
      </c>
      <c r="R4163">
        <v>31725.714037210222</v>
      </c>
      <c r="S4163">
        <v>0.98994206051662426</v>
      </c>
      <c r="T4163">
        <v>44.439022405290963</v>
      </c>
      <c r="U4163">
        <v>0</v>
      </c>
      <c r="V4163">
        <v>0</v>
      </c>
    </row>
    <row r="4164" spans="1:22" x14ac:dyDescent="0.2">
      <c r="A4164"/>
      <c r="B4164">
        <v>75451</v>
      </c>
      <c r="C4164" t="s">
        <v>822</v>
      </c>
      <c r="D4164" t="s">
        <v>920</v>
      </c>
      <c r="E4164" t="s">
        <v>1275</v>
      </c>
      <c r="F4164" t="s">
        <v>92</v>
      </c>
      <c r="G4164">
        <v>2441.4905202615309</v>
      </c>
      <c r="H4164" t="s">
        <v>248</v>
      </c>
      <c r="I4164">
        <v>0</v>
      </c>
      <c r="J4164">
        <v>0</v>
      </c>
      <c r="K4164">
        <v>0</v>
      </c>
      <c r="L4164">
        <v>0</v>
      </c>
      <c r="M4164" t="s">
        <v>187</v>
      </c>
      <c r="N4164">
        <v>10457.916331615301</v>
      </c>
      <c r="O4164" t="s">
        <v>248</v>
      </c>
      <c r="P4164" t="b">
        <v>1</v>
      </c>
      <c r="Q4164">
        <v>6332.3789323719984</v>
      </c>
      <c r="R4164">
        <v>31765.570318368907</v>
      </c>
      <c r="S4164">
        <v>0.99706644293706725</v>
      </c>
      <c r="T4164">
        <v>44.391915842885894</v>
      </c>
      <c r="U4164">
        <v>0</v>
      </c>
      <c r="V4164">
        <v>0</v>
      </c>
    </row>
    <row r="4165" spans="1:22" x14ac:dyDescent="0.2">
      <c r="A4165"/>
      <c r="B4165">
        <v>75452</v>
      </c>
      <c r="C4165" t="s">
        <v>823</v>
      </c>
      <c r="D4165" t="s">
        <v>920</v>
      </c>
      <c r="E4165" t="s">
        <v>1275</v>
      </c>
      <c r="F4165" t="s">
        <v>92</v>
      </c>
      <c r="G4165">
        <v>2475.94324011753</v>
      </c>
      <c r="H4165" t="s">
        <v>248</v>
      </c>
      <c r="I4165">
        <v>0</v>
      </c>
      <c r="J4165">
        <v>0</v>
      </c>
      <c r="K4165">
        <v>0</v>
      </c>
      <c r="L4165">
        <v>0</v>
      </c>
      <c r="M4165" t="s">
        <v>187</v>
      </c>
      <c r="N4165">
        <v>10492.3690514713</v>
      </c>
      <c r="O4165" t="s">
        <v>248</v>
      </c>
      <c r="P4165" t="b">
        <v>1</v>
      </c>
      <c r="Q4165">
        <v>6357.0030005755007</v>
      </c>
      <c r="R4165">
        <v>31789.666896611016</v>
      </c>
      <c r="S4165">
        <v>1.0054132860628315</v>
      </c>
      <c r="T4165">
        <v>44.368051984687689</v>
      </c>
      <c r="U4165">
        <v>0</v>
      </c>
      <c r="V4165">
        <v>0</v>
      </c>
    </row>
    <row r="4166" spans="1:22" x14ac:dyDescent="0.2">
      <c r="A4166"/>
      <c r="B4166">
        <v>75453</v>
      </c>
      <c r="C4166" t="s">
        <v>824</v>
      </c>
      <c r="D4166" t="s">
        <v>920</v>
      </c>
      <c r="E4166" t="s">
        <v>1275</v>
      </c>
      <c r="F4166" t="s">
        <v>92</v>
      </c>
      <c r="G4166">
        <v>2478.8879170283299</v>
      </c>
      <c r="H4166" t="s">
        <v>248</v>
      </c>
      <c r="I4166">
        <v>0</v>
      </c>
      <c r="J4166">
        <v>0</v>
      </c>
      <c r="K4166">
        <v>0</v>
      </c>
      <c r="L4166">
        <v>0</v>
      </c>
      <c r="M4166" t="s">
        <v>187</v>
      </c>
      <c r="N4166">
        <v>10495.3137283821</v>
      </c>
      <c r="O4166" t="s">
        <v>248</v>
      </c>
      <c r="P4166" t="b">
        <v>1</v>
      </c>
      <c r="Q4166">
        <v>6359.1080739871713</v>
      </c>
      <c r="R4166">
        <v>31791.725970992713</v>
      </c>
      <c r="S4166">
        <v>1.0062678602649258</v>
      </c>
      <c r="T4166">
        <v>44.3661743866097</v>
      </c>
      <c r="U4166">
        <v>0</v>
      </c>
      <c r="V4166">
        <v>0</v>
      </c>
    </row>
    <row r="4167" spans="1:22" x14ac:dyDescent="0.2">
      <c r="A4167"/>
      <c r="B4167">
        <v>75454</v>
      </c>
      <c r="C4167" t="s">
        <v>825</v>
      </c>
      <c r="D4167" t="s">
        <v>920</v>
      </c>
      <c r="E4167" t="s">
        <v>1275</v>
      </c>
      <c r="F4167" t="s">
        <v>92</v>
      </c>
      <c r="G4167">
        <v>2498.4405717159307</v>
      </c>
      <c r="H4167" t="s">
        <v>248</v>
      </c>
      <c r="I4167">
        <v>0</v>
      </c>
      <c r="J4167">
        <v>0</v>
      </c>
      <c r="K4167">
        <v>0</v>
      </c>
      <c r="L4167">
        <v>0</v>
      </c>
      <c r="M4167" t="s">
        <v>187</v>
      </c>
      <c r="N4167">
        <v>10514.866383069701</v>
      </c>
      <c r="O4167" t="s">
        <v>248</v>
      </c>
      <c r="P4167" t="b">
        <v>1</v>
      </c>
      <c r="Q4167">
        <v>6373.0874173515131</v>
      </c>
      <c r="R4167">
        <v>31805.396531481674</v>
      </c>
      <c r="S4167">
        <v>1.0125061255772025</v>
      </c>
      <c r="T4167">
        <v>44.354354428778031</v>
      </c>
      <c r="U4167">
        <v>0</v>
      </c>
      <c r="V4167">
        <v>0</v>
      </c>
    </row>
    <row r="4168" spans="1:22" x14ac:dyDescent="0.2">
      <c r="A4168"/>
      <c r="B4168">
        <v>75455</v>
      </c>
      <c r="C4168" t="s">
        <v>826</v>
      </c>
      <c r="D4168" t="s">
        <v>920</v>
      </c>
      <c r="E4168" t="s">
        <v>1275</v>
      </c>
      <c r="F4168" t="s">
        <v>92</v>
      </c>
      <c r="G4168">
        <v>2501.3852486266305</v>
      </c>
      <c r="H4168" t="s">
        <v>248</v>
      </c>
      <c r="I4168">
        <v>0</v>
      </c>
      <c r="J4168">
        <v>0</v>
      </c>
      <c r="K4168">
        <v>0</v>
      </c>
      <c r="L4168">
        <v>0</v>
      </c>
      <c r="M4168" t="s">
        <v>187</v>
      </c>
      <c r="N4168">
        <v>10517.8110599804</v>
      </c>
      <c r="O4168" t="s">
        <v>248</v>
      </c>
      <c r="P4168" t="b">
        <v>1</v>
      </c>
      <c r="Q4168">
        <v>6375.1929794193957</v>
      </c>
      <c r="R4168">
        <v>31807.455106094505</v>
      </c>
      <c r="S4168">
        <v>1.0135305469398745</v>
      </c>
      <c r="T4168">
        <v>44.352671798593505</v>
      </c>
      <c r="U4168">
        <v>0</v>
      </c>
      <c r="V4168">
        <v>0</v>
      </c>
    </row>
    <row r="4169" spans="1:22" x14ac:dyDescent="0.2">
      <c r="A4169"/>
      <c r="B4169">
        <v>75456</v>
      </c>
      <c r="C4169" t="s">
        <v>827</v>
      </c>
      <c r="D4169" t="s">
        <v>920</v>
      </c>
      <c r="E4169" t="s">
        <v>1275</v>
      </c>
      <c r="F4169" t="s">
        <v>92</v>
      </c>
      <c r="G4169">
        <v>2552.8385698476295</v>
      </c>
      <c r="H4169" t="s">
        <v>248</v>
      </c>
      <c r="I4169">
        <v>0</v>
      </c>
      <c r="J4169">
        <v>0</v>
      </c>
      <c r="K4169">
        <v>0</v>
      </c>
      <c r="L4169">
        <v>0</v>
      </c>
      <c r="M4169" t="s">
        <v>187</v>
      </c>
      <c r="N4169">
        <v>10569.264381201399</v>
      </c>
      <c r="O4169" t="s">
        <v>248</v>
      </c>
      <c r="P4169" t="b">
        <v>1</v>
      </c>
      <c r="Q4169">
        <v>6411.990494742493</v>
      </c>
      <c r="R4169">
        <v>31843.416046492639</v>
      </c>
      <c r="S4169">
        <v>0.64728039287127115</v>
      </c>
      <c r="T4169">
        <v>44.333382726849621</v>
      </c>
      <c r="U4169">
        <v>0</v>
      </c>
      <c r="V4169">
        <v>0</v>
      </c>
    </row>
    <row r="4170" spans="1:22" x14ac:dyDescent="0.2">
      <c r="A4170"/>
      <c r="B4170">
        <v>75457</v>
      </c>
      <c r="C4170" t="s">
        <v>828</v>
      </c>
      <c r="D4170" t="s">
        <v>920</v>
      </c>
      <c r="E4170" t="s">
        <v>1275</v>
      </c>
      <c r="F4170" t="s">
        <v>92</v>
      </c>
      <c r="G4170">
        <v>2630.5780402920309</v>
      </c>
      <c r="H4170" t="s">
        <v>248</v>
      </c>
      <c r="I4170">
        <v>0</v>
      </c>
      <c r="J4170">
        <v>0</v>
      </c>
      <c r="K4170">
        <v>0</v>
      </c>
      <c r="L4170">
        <v>0</v>
      </c>
      <c r="M4170" t="s">
        <v>187</v>
      </c>
      <c r="N4170">
        <v>10647.003851645801</v>
      </c>
      <c r="O4170" t="s">
        <v>248</v>
      </c>
      <c r="P4170" t="b">
        <v>1</v>
      </c>
      <c r="Q4170">
        <v>6467.5839387321275</v>
      </c>
      <c r="R4170">
        <v>31897.734103767471</v>
      </c>
      <c r="S4170">
        <v>-0.88155071016335995</v>
      </c>
      <c r="T4170">
        <v>44.345242882843124</v>
      </c>
      <c r="U4170">
        <v>0</v>
      </c>
      <c r="V4170">
        <v>0</v>
      </c>
    </row>
    <row r="4171" spans="1:22" x14ac:dyDescent="0.2">
      <c r="A4171"/>
      <c r="B4171">
        <v>75458</v>
      </c>
      <c r="C4171" t="s">
        <v>829</v>
      </c>
      <c r="D4171" t="s">
        <v>920</v>
      </c>
      <c r="E4171" t="s">
        <v>1275</v>
      </c>
      <c r="F4171" t="s">
        <v>92</v>
      </c>
      <c r="G4171">
        <v>2651.1907786675301</v>
      </c>
      <c r="H4171" t="s">
        <v>248</v>
      </c>
      <c r="I4171">
        <v>0</v>
      </c>
      <c r="J4171">
        <v>0</v>
      </c>
      <c r="K4171">
        <v>0</v>
      </c>
      <c r="L4171">
        <v>0</v>
      </c>
      <c r="M4171" t="s">
        <v>187</v>
      </c>
      <c r="N4171">
        <v>10667.6165900213</v>
      </c>
      <c r="O4171" t="s">
        <v>248</v>
      </c>
      <c r="P4171" t="b">
        <v>1</v>
      </c>
      <c r="Q4171">
        <v>6482.3206376096896</v>
      </c>
      <c r="R4171">
        <v>31912.140517199146</v>
      </c>
      <c r="S4171">
        <v>-1.2937886747338823</v>
      </c>
      <c r="T4171">
        <v>44.356701705419709</v>
      </c>
      <c r="U4171">
        <v>0</v>
      </c>
      <c r="V4171">
        <v>0</v>
      </c>
    </row>
    <row r="4172" spans="1:22" x14ac:dyDescent="0.2">
      <c r="A4172"/>
      <c r="B4172">
        <v>75459</v>
      </c>
      <c r="C4172" t="s">
        <v>830</v>
      </c>
      <c r="D4172" t="s">
        <v>920</v>
      </c>
      <c r="E4172" t="s">
        <v>1275</v>
      </c>
      <c r="F4172" t="s">
        <v>92</v>
      </c>
      <c r="G4172">
        <v>2778.7934448010301</v>
      </c>
      <c r="H4172" t="s">
        <v>248</v>
      </c>
      <c r="I4172">
        <v>0</v>
      </c>
      <c r="J4172">
        <v>0</v>
      </c>
      <c r="K4172">
        <v>0</v>
      </c>
      <c r="L4172">
        <v>0</v>
      </c>
      <c r="M4172" t="s">
        <v>187</v>
      </c>
      <c r="N4172">
        <v>10795.2192561548</v>
      </c>
      <c r="O4172" t="s">
        <v>248</v>
      </c>
      <c r="P4172" t="b">
        <v>1</v>
      </c>
      <c r="Q4172">
        <v>6573.5601082137937</v>
      </c>
      <c r="R4172">
        <v>32001.310199349424</v>
      </c>
      <c r="S4172">
        <v>-3.8393753041695291</v>
      </c>
      <c r="T4172">
        <v>43.839751900996738</v>
      </c>
      <c r="U4172">
        <v>0</v>
      </c>
      <c r="V4172">
        <v>0</v>
      </c>
    </row>
    <row r="4173" spans="1:22" x14ac:dyDescent="0.2">
      <c r="A4173"/>
      <c r="B4173">
        <v>75460</v>
      </c>
      <c r="C4173" t="s">
        <v>831</v>
      </c>
      <c r="D4173" t="s">
        <v>920</v>
      </c>
      <c r="E4173" t="s">
        <v>1275</v>
      </c>
      <c r="F4173" t="s">
        <v>92</v>
      </c>
      <c r="G4173">
        <v>2975.1052388527305</v>
      </c>
      <c r="H4173" t="s">
        <v>248</v>
      </c>
      <c r="I4173">
        <v>0</v>
      </c>
      <c r="J4173">
        <v>0</v>
      </c>
      <c r="K4173">
        <v>0</v>
      </c>
      <c r="L4173">
        <v>0</v>
      </c>
      <c r="M4173" t="s">
        <v>187</v>
      </c>
      <c r="N4173">
        <v>10991.5310502065</v>
      </c>
      <c r="O4173" t="s">
        <v>248</v>
      </c>
      <c r="P4173" t="b">
        <v>1</v>
      </c>
      <c r="Q4173">
        <v>6713.0199364744813</v>
      </c>
      <c r="R4173">
        <v>32139.277099291754</v>
      </c>
      <c r="S4173">
        <v>-4.9001549595085709</v>
      </c>
      <c r="T4173">
        <v>50.226665097582014</v>
      </c>
      <c r="U4173">
        <v>0</v>
      </c>
      <c r="V4173">
        <v>0</v>
      </c>
    </row>
    <row r="4174" spans="1:22" x14ac:dyDescent="0.2">
      <c r="A4174"/>
      <c r="B4174">
        <v>75461</v>
      </c>
      <c r="C4174" t="s">
        <v>832</v>
      </c>
      <c r="D4174" t="s">
        <v>920</v>
      </c>
      <c r="E4174" t="s">
        <v>1275</v>
      </c>
      <c r="F4174" t="s">
        <v>92</v>
      </c>
      <c r="G4174">
        <v>3171.4170329043309</v>
      </c>
      <c r="H4174" t="s">
        <v>248</v>
      </c>
      <c r="I4174">
        <v>0</v>
      </c>
      <c r="J4174">
        <v>0</v>
      </c>
      <c r="K4174">
        <v>0</v>
      </c>
      <c r="L4174">
        <v>0</v>
      </c>
      <c r="M4174" t="s">
        <v>187</v>
      </c>
      <c r="N4174">
        <v>11187.842844258101</v>
      </c>
      <c r="O4174" t="s">
        <v>248</v>
      </c>
      <c r="P4174" t="b">
        <v>1</v>
      </c>
      <c r="Q4174">
        <v>6820.0050379201757</v>
      </c>
      <c r="R4174">
        <v>32303.240659652387</v>
      </c>
      <c r="S4174">
        <v>-4.5571154829667533</v>
      </c>
      <c r="T4174">
        <v>65.534644220159223</v>
      </c>
      <c r="U4174">
        <v>0</v>
      </c>
      <c r="V4174">
        <v>0</v>
      </c>
    </row>
    <row r="4175" spans="1:22" x14ac:dyDescent="0.2">
      <c r="A4175"/>
      <c r="B4175">
        <v>75462</v>
      </c>
      <c r="C4175" t="s">
        <v>833</v>
      </c>
      <c r="D4175" t="s">
        <v>920</v>
      </c>
      <c r="E4175" t="s">
        <v>1275</v>
      </c>
      <c r="F4175" t="s">
        <v>92</v>
      </c>
      <c r="G4175">
        <v>3367.7288269560295</v>
      </c>
      <c r="H4175" t="s">
        <v>248</v>
      </c>
      <c r="I4175">
        <v>0</v>
      </c>
      <c r="J4175">
        <v>0</v>
      </c>
      <c r="K4175">
        <v>0</v>
      </c>
      <c r="L4175">
        <v>0</v>
      </c>
      <c r="M4175" t="s">
        <v>187</v>
      </c>
      <c r="N4175">
        <v>11384.154638309799</v>
      </c>
      <c r="O4175" t="s">
        <v>248</v>
      </c>
      <c r="P4175" t="b">
        <v>1</v>
      </c>
      <c r="Q4175">
        <v>6868.236100969325</v>
      </c>
      <c r="R4175">
        <v>32492.484587226652</v>
      </c>
      <c r="S4175">
        <v>-3.7907138269842591</v>
      </c>
      <c r="T4175">
        <v>85.156097026787123</v>
      </c>
      <c r="U4175">
        <v>0</v>
      </c>
      <c r="V4175">
        <v>0</v>
      </c>
    </row>
    <row r="4176" spans="1:22" x14ac:dyDescent="0.2">
      <c r="A4176"/>
      <c r="B4176">
        <v>75463</v>
      </c>
      <c r="C4176" t="s">
        <v>834</v>
      </c>
      <c r="D4176" t="s">
        <v>920</v>
      </c>
      <c r="E4176" t="s">
        <v>1275</v>
      </c>
      <c r="F4176" t="s">
        <v>92</v>
      </c>
      <c r="G4176">
        <v>3564.0406210076299</v>
      </c>
      <c r="H4176" t="s">
        <v>248</v>
      </c>
      <c r="I4176">
        <v>0</v>
      </c>
      <c r="J4176">
        <v>0</v>
      </c>
      <c r="K4176">
        <v>0</v>
      </c>
      <c r="L4176">
        <v>0</v>
      </c>
      <c r="M4176" t="s">
        <v>187</v>
      </c>
      <c r="N4176">
        <v>11580.4664323614</v>
      </c>
      <c r="O4176" t="s">
        <v>248</v>
      </c>
      <c r="P4176" t="b">
        <v>1</v>
      </c>
      <c r="Q4176">
        <v>6864.0997677802907</v>
      </c>
      <c r="R4176">
        <v>32688.155443858835</v>
      </c>
      <c r="S4176">
        <v>-1.7870463830912096</v>
      </c>
      <c r="T4176">
        <v>99.55003249069523</v>
      </c>
      <c r="U4176">
        <v>0</v>
      </c>
      <c r="V4176">
        <v>0</v>
      </c>
    </row>
    <row r="4177" spans="1:22" x14ac:dyDescent="0.2">
      <c r="A4177"/>
      <c r="B4177">
        <v>75464</v>
      </c>
      <c r="C4177" t="s">
        <v>835</v>
      </c>
      <c r="D4177" t="s">
        <v>920</v>
      </c>
      <c r="E4177" t="s">
        <v>1275</v>
      </c>
      <c r="F4177" t="s">
        <v>92</v>
      </c>
      <c r="G4177">
        <v>3753.4815022675293</v>
      </c>
      <c r="H4177" t="s">
        <v>248</v>
      </c>
      <c r="I4177">
        <v>0</v>
      </c>
      <c r="J4177">
        <v>0</v>
      </c>
      <c r="K4177">
        <v>0</v>
      </c>
      <c r="L4177">
        <v>0</v>
      </c>
      <c r="M4177" t="s">
        <v>187</v>
      </c>
      <c r="N4177">
        <v>11769.907313621299</v>
      </c>
      <c r="O4177" t="s">
        <v>248</v>
      </c>
      <c r="P4177" t="b">
        <v>1</v>
      </c>
      <c r="Q4177">
        <v>6817.1966549687249</v>
      </c>
      <c r="R4177">
        <v>32871.604178854737</v>
      </c>
      <c r="S4177">
        <v>0.14908880255126539</v>
      </c>
      <c r="T4177">
        <v>105.24425781906004</v>
      </c>
      <c r="U4177">
        <v>0</v>
      </c>
      <c r="V4177">
        <v>0</v>
      </c>
    </row>
    <row r="4178" spans="1:22" x14ac:dyDescent="0.2">
      <c r="A4178"/>
      <c r="B4178">
        <v>75465</v>
      </c>
      <c r="C4178" t="s">
        <v>836</v>
      </c>
      <c r="D4178" t="s">
        <v>920</v>
      </c>
      <c r="E4178" t="s">
        <v>1275</v>
      </c>
      <c r="F4178" t="s">
        <v>92</v>
      </c>
      <c r="G4178">
        <v>3881.0841684010293</v>
      </c>
      <c r="H4178" t="s">
        <v>248</v>
      </c>
      <c r="I4178">
        <v>0</v>
      </c>
      <c r="J4178">
        <v>0</v>
      </c>
      <c r="K4178">
        <v>0</v>
      </c>
      <c r="L4178">
        <v>0</v>
      </c>
      <c r="M4178" t="s">
        <v>187</v>
      </c>
      <c r="N4178">
        <v>11897.509979754799</v>
      </c>
      <c r="O4178" t="s">
        <v>248</v>
      </c>
      <c r="P4178" t="b">
        <v>1</v>
      </c>
      <c r="Q4178">
        <v>6785.1982149496107</v>
      </c>
      <c r="R4178">
        <v>32995.120711993724</v>
      </c>
      <c r="S4178">
        <v>1.4640255357247507</v>
      </c>
      <c r="T4178">
        <v>104.38375467897052</v>
      </c>
      <c r="U4178">
        <v>0</v>
      </c>
      <c r="V4178">
        <v>0</v>
      </c>
    </row>
    <row r="4179" spans="1:22" x14ac:dyDescent="0.2">
      <c r="A4179"/>
      <c r="B4179">
        <v>75466</v>
      </c>
      <c r="C4179" t="s">
        <v>837</v>
      </c>
      <c r="D4179" t="s">
        <v>920</v>
      </c>
      <c r="E4179" t="s">
        <v>1275</v>
      </c>
      <c r="F4179" t="s">
        <v>92</v>
      </c>
      <c r="G4179">
        <v>3901.6969067765303</v>
      </c>
      <c r="H4179" t="s">
        <v>248</v>
      </c>
      <c r="I4179">
        <v>0</v>
      </c>
      <c r="J4179">
        <v>0</v>
      </c>
      <c r="K4179">
        <v>0</v>
      </c>
      <c r="L4179">
        <v>0</v>
      </c>
      <c r="M4179" t="s">
        <v>187</v>
      </c>
      <c r="N4179">
        <v>11918.1227181303</v>
      </c>
      <c r="O4179" t="s">
        <v>248</v>
      </c>
      <c r="P4179" t="b">
        <v>1</v>
      </c>
      <c r="Q4179">
        <v>6780.055142435639</v>
      </c>
      <c r="R4179">
        <v>33015.080439982688</v>
      </c>
      <c r="S4179">
        <v>1.6709636421073975</v>
      </c>
      <c r="T4179">
        <v>104.52543533516285</v>
      </c>
      <c r="U4179">
        <v>0</v>
      </c>
      <c r="V4179">
        <v>0</v>
      </c>
    </row>
    <row r="4180" spans="1:22" x14ac:dyDescent="0.2">
      <c r="A4180"/>
      <c r="B4180">
        <v>75467</v>
      </c>
      <c r="C4180" t="s">
        <v>838</v>
      </c>
      <c r="D4180" t="s">
        <v>920</v>
      </c>
      <c r="E4180" t="s">
        <v>1275</v>
      </c>
      <c r="F4180" t="s">
        <v>92</v>
      </c>
      <c r="G4180">
        <v>3994.7977751055305</v>
      </c>
      <c r="H4180" t="s">
        <v>248</v>
      </c>
      <c r="I4180">
        <v>0</v>
      </c>
      <c r="J4180">
        <v>0</v>
      </c>
      <c r="K4180">
        <v>0</v>
      </c>
      <c r="L4180">
        <v>0</v>
      </c>
      <c r="M4180" t="s">
        <v>187</v>
      </c>
      <c r="N4180">
        <v>12011.2235864593</v>
      </c>
      <c r="O4180" t="s">
        <v>248</v>
      </c>
      <c r="P4180" t="b">
        <v>1</v>
      </c>
      <c r="Q4180">
        <v>6755.8307452854579</v>
      </c>
      <c r="R4180">
        <v>33104.972295629312</v>
      </c>
      <c r="S4180">
        <v>1.8948563914273902</v>
      </c>
      <c r="T4180">
        <v>105.48378903978339</v>
      </c>
      <c r="U4180">
        <v>0</v>
      </c>
      <c r="V4180">
        <v>0</v>
      </c>
    </row>
    <row r="4181" spans="1:22" x14ac:dyDescent="0.2">
      <c r="A4181"/>
      <c r="B4181">
        <v>75468</v>
      </c>
      <c r="C4181" t="s">
        <v>839</v>
      </c>
      <c r="D4181" t="s">
        <v>920</v>
      </c>
      <c r="E4181" t="s">
        <v>1275</v>
      </c>
      <c r="F4181" t="s">
        <v>92</v>
      </c>
      <c r="G4181">
        <v>4009.3837414035306</v>
      </c>
      <c r="H4181" t="s">
        <v>248</v>
      </c>
      <c r="I4181">
        <v>0</v>
      </c>
      <c r="J4181">
        <v>0</v>
      </c>
      <c r="K4181">
        <v>0</v>
      </c>
      <c r="L4181">
        <v>0</v>
      </c>
      <c r="M4181" t="s">
        <v>187</v>
      </c>
      <c r="N4181">
        <v>12025.8095527573</v>
      </c>
      <c r="O4181" t="s">
        <v>248</v>
      </c>
      <c r="P4181" t="b">
        <v>1</v>
      </c>
      <c r="Q4181">
        <v>6751.933534433203</v>
      </c>
      <c r="R4181">
        <v>33119.027975532794</v>
      </c>
      <c r="S4181">
        <v>1.8992603101470078</v>
      </c>
      <c r="T4181">
        <v>105.50890045856082</v>
      </c>
      <c r="U4181">
        <v>0</v>
      </c>
      <c r="V4181">
        <v>0</v>
      </c>
    </row>
    <row r="4182" spans="1:22" x14ac:dyDescent="0.2">
      <c r="A4182"/>
      <c r="B4182">
        <v>75469</v>
      </c>
      <c r="C4182" t="s">
        <v>841</v>
      </c>
      <c r="D4182" t="s">
        <v>920</v>
      </c>
      <c r="E4182" t="s">
        <v>1275</v>
      </c>
      <c r="F4182" t="s">
        <v>92</v>
      </c>
      <c r="G4182">
        <v>4012.3284183143305</v>
      </c>
      <c r="H4182" t="s">
        <v>248</v>
      </c>
      <c r="I4182">
        <v>0</v>
      </c>
      <c r="J4182">
        <v>0</v>
      </c>
      <c r="K4182">
        <v>0</v>
      </c>
      <c r="L4182">
        <v>0</v>
      </c>
      <c r="M4182" t="s">
        <v>187</v>
      </c>
      <c r="N4182">
        <v>12028.7542296681</v>
      </c>
      <c r="O4182" t="s">
        <v>248</v>
      </c>
      <c r="P4182" t="b">
        <v>1</v>
      </c>
      <c r="Q4182">
        <v>6751.1460621339538</v>
      </c>
      <c r="R4182">
        <v>33121.865405508979</v>
      </c>
      <c r="S4182">
        <v>1.9000435756280123</v>
      </c>
      <c r="T4182">
        <v>105.51291484929635</v>
      </c>
      <c r="U4182">
        <v>0</v>
      </c>
      <c r="V4182">
        <v>0</v>
      </c>
    </row>
    <row r="4183" spans="1:22" x14ac:dyDescent="0.2">
      <c r="A4183"/>
      <c r="B4183">
        <v>75470</v>
      </c>
      <c r="C4183" t="s">
        <v>840</v>
      </c>
      <c r="D4183" t="s">
        <v>920</v>
      </c>
      <c r="E4183" t="s">
        <v>1275</v>
      </c>
      <c r="F4183" t="s">
        <v>92</v>
      </c>
      <c r="G4183">
        <v>4031.8810730018295</v>
      </c>
      <c r="H4183" t="s">
        <v>248</v>
      </c>
      <c r="I4183">
        <v>0</v>
      </c>
      <c r="J4183">
        <v>0</v>
      </c>
      <c r="K4183">
        <v>0</v>
      </c>
      <c r="L4183">
        <v>0</v>
      </c>
      <c r="M4183" t="s">
        <v>187</v>
      </c>
      <c r="N4183">
        <v>12048.306884355599</v>
      </c>
      <c r="O4183" t="s">
        <v>248</v>
      </c>
      <c r="P4183" t="b">
        <v>1</v>
      </c>
      <c r="Q4183">
        <v>6745.9132633459349</v>
      </c>
      <c r="R4183">
        <v>33140.704834916934</v>
      </c>
      <c r="S4183">
        <v>1.9043427751567716</v>
      </c>
      <c r="T4183">
        <v>105.53057874447924</v>
      </c>
      <c r="U4183">
        <v>0</v>
      </c>
      <c r="V4183">
        <v>0</v>
      </c>
    </row>
    <row r="4184" spans="1:22" x14ac:dyDescent="0.2">
      <c r="A4184"/>
      <c r="B4184">
        <v>75471</v>
      </c>
      <c r="C4184" t="s">
        <v>842</v>
      </c>
      <c r="D4184" t="s">
        <v>920</v>
      </c>
      <c r="E4184" t="s">
        <v>1275</v>
      </c>
      <c r="F4184" t="s">
        <v>92</v>
      </c>
      <c r="G4184">
        <v>4034.8257499126294</v>
      </c>
      <c r="H4184" t="s">
        <v>248</v>
      </c>
      <c r="I4184">
        <v>0</v>
      </c>
      <c r="J4184">
        <v>0</v>
      </c>
      <c r="K4184">
        <v>0</v>
      </c>
      <c r="L4184">
        <v>0</v>
      </c>
      <c r="M4184" t="s">
        <v>187</v>
      </c>
      <c r="N4184">
        <v>12051.251561266399</v>
      </c>
      <c r="O4184" t="s">
        <v>248</v>
      </c>
      <c r="P4184" t="b">
        <v>1</v>
      </c>
      <c r="Q4184">
        <v>6745.1247845789594</v>
      </c>
      <c r="R4184">
        <v>33143.541985438278</v>
      </c>
      <c r="S4184">
        <v>1.9048544492798893</v>
      </c>
      <c r="T4184">
        <v>105.53188480410005</v>
      </c>
      <c r="U4184">
        <v>0</v>
      </c>
      <c r="V4184">
        <v>0</v>
      </c>
    </row>
    <row r="4185" spans="1:22" x14ac:dyDescent="0.2">
      <c r="A4185"/>
      <c r="B4185">
        <v>75472</v>
      </c>
      <c r="C4185" t="s">
        <v>843</v>
      </c>
      <c r="D4185" t="s">
        <v>920</v>
      </c>
      <c r="E4185" t="s">
        <v>1275</v>
      </c>
      <c r="F4185" t="s">
        <v>92</v>
      </c>
      <c r="G4185">
        <v>4091.7758013670309</v>
      </c>
      <c r="H4185" t="s">
        <v>248</v>
      </c>
      <c r="I4185">
        <v>0</v>
      </c>
      <c r="J4185">
        <v>0</v>
      </c>
      <c r="K4185">
        <v>0</v>
      </c>
      <c r="L4185">
        <v>0</v>
      </c>
      <c r="M4185" t="s">
        <v>187</v>
      </c>
      <c r="N4185">
        <v>12108.201612720801</v>
      </c>
      <c r="O4185" t="s">
        <v>248</v>
      </c>
      <c r="P4185" t="b">
        <v>1</v>
      </c>
      <c r="Q4185">
        <v>6729.8857185231527</v>
      </c>
      <c r="R4185">
        <v>33198.415285105191</v>
      </c>
      <c r="S4185">
        <v>1.9077582494174632</v>
      </c>
      <c r="T4185">
        <v>105.4874194305913</v>
      </c>
      <c r="U4185">
        <v>0</v>
      </c>
      <c r="V4185">
        <v>0</v>
      </c>
    </row>
    <row r="4186" spans="1:22" x14ac:dyDescent="0.2">
      <c r="A4186"/>
      <c r="B4186">
        <v>75473</v>
      </c>
      <c r="C4186" t="s">
        <v>844</v>
      </c>
      <c r="D4186" t="s">
        <v>920</v>
      </c>
      <c r="E4186" t="s">
        <v>1275</v>
      </c>
      <c r="F4186" t="s">
        <v>92</v>
      </c>
      <c r="G4186">
        <v>4126.2285212230299</v>
      </c>
      <c r="H4186" t="s">
        <v>248</v>
      </c>
      <c r="I4186">
        <v>0</v>
      </c>
      <c r="J4186">
        <v>0</v>
      </c>
      <c r="K4186">
        <v>0</v>
      </c>
      <c r="L4186">
        <v>0</v>
      </c>
      <c r="M4186" t="s">
        <v>187</v>
      </c>
      <c r="N4186">
        <v>12142.6543325768</v>
      </c>
      <c r="O4186" t="s">
        <v>248</v>
      </c>
      <c r="P4186" t="b">
        <v>1</v>
      </c>
      <c r="Q4186">
        <v>6720.7092827160795</v>
      </c>
      <c r="R4186">
        <v>33231.623457283982</v>
      </c>
      <c r="S4186">
        <v>1.9048683018670698</v>
      </c>
      <c r="T4186">
        <v>105.40943388196426</v>
      </c>
      <c r="U4186">
        <v>0</v>
      </c>
      <c r="V4186">
        <v>0</v>
      </c>
    </row>
    <row r="4187" spans="1:22" x14ac:dyDescent="0.2">
      <c r="A4187"/>
      <c r="B4187">
        <v>75474</v>
      </c>
      <c r="C4187" t="s">
        <v>845</v>
      </c>
      <c r="D4187" t="s">
        <v>920</v>
      </c>
      <c r="E4187" t="s">
        <v>1275</v>
      </c>
      <c r="F4187" t="s">
        <v>92</v>
      </c>
      <c r="G4187">
        <v>4129.1731981338298</v>
      </c>
      <c r="H4187" t="s">
        <v>248</v>
      </c>
      <c r="I4187">
        <v>0</v>
      </c>
      <c r="J4187">
        <v>0</v>
      </c>
      <c r="K4187">
        <v>0</v>
      </c>
      <c r="L4187">
        <v>0</v>
      </c>
      <c r="M4187" t="s">
        <v>187</v>
      </c>
      <c r="N4187">
        <v>12145.5990094876</v>
      </c>
      <c r="O4187" t="s">
        <v>248</v>
      </c>
      <c r="P4187" t="b">
        <v>1</v>
      </c>
      <c r="Q4187">
        <v>6719.9268719452011</v>
      </c>
      <c r="R4187">
        <v>33234.462287170834</v>
      </c>
      <c r="S4187">
        <v>1.9054693848854793</v>
      </c>
      <c r="T4187">
        <v>105.40840576347044</v>
      </c>
      <c r="U4187">
        <v>0</v>
      </c>
      <c r="V4187">
        <v>0</v>
      </c>
    </row>
    <row r="4188" spans="1:22" x14ac:dyDescent="0.2">
      <c r="A4188"/>
      <c r="B4188">
        <v>75475</v>
      </c>
      <c r="C4188" t="s">
        <v>846</v>
      </c>
      <c r="D4188" t="s">
        <v>920</v>
      </c>
      <c r="E4188" t="s">
        <v>1275</v>
      </c>
      <c r="F4188" t="s">
        <v>92</v>
      </c>
      <c r="G4188">
        <v>4148.7258528214306</v>
      </c>
      <c r="H4188" t="s">
        <v>248</v>
      </c>
      <c r="I4188">
        <v>0</v>
      </c>
      <c r="J4188">
        <v>0</v>
      </c>
      <c r="K4188">
        <v>0</v>
      </c>
      <c r="L4188">
        <v>0</v>
      </c>
      <c r="M4188" t="s">
        <v>187</v>
      </c>
      <c r="N4188">
        <v>12165.1516641752</v>
      </c>
      <c r="O4188" t="s">
        <v>248</v>
      </c>
      <c r="P4188" t="b">
        <v>1</v>
      </c>
      <c r="Q4188">
        <v>6714.7263013073907</v>
      </c>
      <c r="R4188">
        <v>33253.310636238166</v>
      </c>
      <c r="S4188">
        <v>1.9137985889621347</v>
      </c>
      <c r="T4188">
        <v>105.46898862094905</v>
      </c>
      <c r="U4188">
        <v>0</v>
      </c>
      <c r="V4188">
        <v>0</v>
      </c>
    </row>
    <row r="4189" spans="1:22" x14ac:dyDescent="0.2">
      <c r="A4189"/>
      <c r="B4189">
        <v>75476</v>
      </c>
      <c r="C4189" t="s">
        <v>847</v>
      </c>
      <c r="D4189" t="s">
        <v>920</v>
      </c>
      <c r="E4189" t="s">
        <v>1275</v>
      </c>
      <c r="F4189" t="s">
        <v>92</v>
      </c>
      <c r="G4189">
        <v>4151.6705297321305</v>
      </c>
      <c r="H4189" t="s">
        <v>248</v>
      </c>
      <c r="I4189">
        <v>0</v>
      </c>
      <c r="J4189">
        <v>0</v>
      </c>
      <c r="K4189">
        <v>0</v>
      </c>
      <c r="L4189">
        <v>0</v>
      </c>
      <c r="M4189" t="s">
        <v>187</v>
      </c>
      <c r="N4189">
        <v>12168.0963410859</v>
      </c>
      <c r="O4189" t="s">
        <v>248</v>
      </c>
      <c r="P4189" t="b">
        <v>1</v>
      </c>
      <c r="Q4189">
        <v>6713.9401998069734</v>
      </c>
      <c r="R4189">
        <v>33256.148446356317</v>
      </c>
      <c r="S4189">
        <v>1.9140354340208148</v>
      </c>
      <c r="T4189">
        <v>105.49868753711019</v>
      </c>
      <c r="U4189">
        <v>0</v>
      </c>
      <c r="V4189">
        <v>0</v>
      </c>
    </row>
    <row r="4190" spans="1:22" x14ac:dyDescent="0.2">
      <c r="A4190"/>
      <c r="B4190">
        <v>75477</v>
      </c>
      <c r="C4190" t="s">
        <v>848</v>
      </c>
      <c r="D4190" t="s">
        <v>920</v>
      </c>
      <c r="E4190" t="s">
        <v>1275</v>
      </c>
      <c r="F4190" t="s">
        <v>92</v>
      </c>
      <c r="G4190">
        <v>4203.1238509531295</v>
      </c>
      <c r="H4190" t="s">
        <v>248</v>
      </c>
      <c r="I4190">
        <v>0</v>
      </c>
      <c r="J4190">
        <v>0</v>
      </c>
      <c r="K4190">
        <v>0</v>
      </c>
      <c r="L4190">
        <v>0</v>
      </c>
      <c r="M4190" t="s">
        <v>187</v>
      </c>
      <c r="N4190">
        <v>12219.549662306899</v>
      </c>
      <c r="O4190" t="s">
        <v>248</v>
      </c>
      <c r="P4190" t="b">
        <v>1</v>
      </c>
      <c r="Q4190">
        <v>6699.6348285220993</v>
      </c>
      <c r="R4190">
        <v>33305.570874593221</v>
      </c>
      <c r="S4190">
        <v>1.7746335532689554</v>
      </c>
      <c r="T4190">
        <v>107.14247473792817</v>
      </c>
      <c r="U4190">
        <v>0</v>
      </c>
      <c r="V4190">
        <v>0</v>
      </c>
    </row>
    <row r="4191" spans="1:22" x14ac:dyDescent="0.2">
      <c r="A4191"/>
      <c r="B4191">
        <v>75478</v>
      </c>
      <c r="C4191" t="s">
        <v>849</v>
      </c>
      <c r="D4191" t="s">
        <v>920</v>
      </c>
      <c r="E4191" t="s">
        <v>1275</v>
      </c>
      <c r="F4191" t="s">
        <v>92</v>
      </c>
      <c r="G4191">
        <v>4281.5602282664304</v>
      </c>
      <c r="H4191" t="s">
        <v>248</v>
      </c>
      <c r="I4191">
        <v>0</v>
      </c>
      <c r="J4191">
        <v>0</v>
      </c>
      <c r="K4191">
        <v>0</v>
      </c>
      <c r="L4191">
        <v>0</v>
      </c>
      <c r="M4191" t="s">
        <v>187</v>
      </c>
      <c r="N4191">
        <v>12297.9860396202</v>
      </c>
      <c r="O4191" t="s">
        <v>248</v>
      </c>
      <c r="P4191" t="b">
        <v>1</v>
      </c>
      <c r="Q4191">
        <v>6675.2912583185844</v>
      </c>
      <c r="R4191">
        <v>33380.127024849033</v>
      </c>
      <c r="S4191">
        <v>1.0330056036010768</v>
      </c>
      <c r="T4191">
        <v>106.97519079031004</v>
      </c>
      <c r="U4191">
        <v>0</v>
      </c>
      <c r="V4191">
        <v>0</v>
      </c>
    </row>
    <row r="4192" spans="1:22" x14ac:dyDescent="0.2">
      <c r="A4192"/>
      <c r="B4192">
        <v>75479</v>
      </c>
      <c r="C4192" t="s">
        <v>850</v>
      </c>
      <c r="D4192" t="s">
        <v>920</v>
      </c>
      <c r="E4192" t="s">
        <v>1275</v>
      </c>
      <c r="F4192" t="s">
        <v>92</v>
      </c>
      <c r="G4192">
        <v>4302.1729666418296</v>
      </c>
      <c r="H4192" t="s">
        <v>248</v>
      </c>
      <c r="I4192">
        <v>0</v>
      </c>
      <c r="J4192">
        <v>0</v>
      </c>
      <c r="K4192">
        <v>0</v>
      </c>
      <c r="L4192">
        <v>0</v>
      </c>
      <c r="M4192" t="s">
        <v>187</v>
      </c>
      <c r="N4192">
        <v>12318.598777995599</v>
      </c>
      <c r="O4192" t="s">
        <v>248</v>
      </c>
      <c r="P4192" t="b">
        <v>1</v>
      </c>
      <c r="Q4192">
        <v>6669.5337136986327</v>
      </c>
      <c r="R4192">
        <v>33399.917687525565</v>
      </c>
      <c r="S4192">
        <v>0.83078587312515939</v>
      </c>
      <c r="T4192">
        <v>105.46975049209944</v>
      </c>
      <c r="U4192">
        <v>0</v>
      </c>
      <c r="V4192">
        <v>0</v>
      </c>
    </row>
    <row r="4193" spans="1:22" x14ac:dyDescent="0.2">
      <c r="A4193"/>
      <c r="B4193">
        <v>75480</v>
      </c>
      <c r="C4193" t="s">
        <v>851</v>
      </c>
      <c r="D4193" t="s">
        <v>920</v>
      </c>
      <c r="E4193" t="s">
        <v>1275</v>
      </c>
      <c r="F4193" t="s">
        <v>92</v>
      </c>
      <c r="G4193">
        <v>4419.9600430728306</v>
      </c>
      <c r="H4193" t="s">
        <v>248</v>
      </c>
      <c r="I4193">
        <v>0</v>
      </c>
      <c r="J4193">
        <v>0</v>
      </c>
      <c r="K4193">
        <v>0</v>
      </c>
      <c r="L4193">
        <v>0</v>
      </c>
      <c r="M4193" t="s">
        <v>187</v>
      </c>
      <c r="N4193">
        <v>12436.3858544266</v>
      </c>
      <c r="O4193" t="s">
        <v>248</v>
      </c>
      <c r="P4193" t="b">
        <v>1</v>
      </c>
      <c r="Q4193">
        <v>6639.0283141662849</v>
      </c>
      <c r="R4193">
        <v>33513.681162868663</v>
      </c>
      <c r="S4193">
        <v>-0.10583811355914013</v>
      </c>
      <c r="T4193">
        <v>104.91342984013311</v>
      </c>
      <c r="U4193">
        <v>0</v>
      </c>
      <c r="V4193">
        <v>0</v>
      </c>
    </row>
    <row r="4194" spans="1:22" x14ac:dyDescent="0.2">
      <c r="A4194"/>
      <c r="B4194">
        <v>75481</v>
      </c>
      <c r="C4194" t="s">
        <v>852</v>
      </c>
      <c r="D4194" t="s">
        <v>920</v>
      </c>
      <c r="E4194" t="s">
        <v>1275</v>
      </c>
      <c r="F4194" t="s">
        <v>92</v>
      </c>
      <c r="G4194">
        <v>4583.8803911060304</v>
      </c>
      <c r="H4194" t="s">
        <v>248</v>
      </c>
      <c r="I4194">
        <v>0</v>
      </c>
      <c r="J4194">
        <v>0</v>
      </c>
      <c r="K4194">
        <v>0</v>
      </c>
      <c r="L4194">
        <v>0</v>
      </c>
      <c r="M4194" t="s">
        <v>187</v>
      </c>
      <c r="N4194">
        <v>12600.3062024598</v>
      </c>
      <c r="O4194" t="s">
        <v>248</v>
      </c>
      <c r="P4194" t="b">
        <v>1</v>
      </c>
      <c r="Q4194">
        <v>6596.1109355297958</v>
      </c>
      <c r="R4194">
        <v>33671.865966183359</v>
      </c>
      <c r="S4194">
        <v>2.0688393589356324</v>
      </c>
      <c r="T4194">
        <v>105.93909628166337</v>
      </c>
      <c r="U4194">
        <v>0</v>
      </c>
      <c r="V4194">
        <v>0</v>
      </c>
    </row>
    <row r="4195" spans="1:22" x14ac:dyDescent="0.2">
      <c r="A4195"/>
      <c r="B4195">
        <v>75482</v>
      </c>
      <c r="C4195" t="s">
        <v>853</v>
      </c>
      <c r="D4195" t="s">
        <v>920</v>
      </c>
      <c r="E4195" t="s">
        <v>1275</v>
      </c>
      <c r="F4195" t="s">
        <v>92</v>
      </c>
      <c r="G4195">
        <v>4701.6674675369295</v>
      </c>
      <c r="H4195" t="s">
        <v>248</v>
      </c>
      <c r="I4195">
        <v>0</v>
      </c>
      <c r="J4195">
        <v>0</v>
      </c>
      <c r="K4195">
        <v>0</v>
      </c>
      <c r="L4195">
        <v>0</v>
      </c>
      <c r="M4195" t="s">
        <v>187</v>
      </c>
      <c r="N4195">
        <v>12718.093278890699</v>
      </c>
      <c r="O4195" t="s">
        <v>248</v>
      </c>
      <c r="P4195" t="b">
        <v>1</v>
      </c>
      <c r="Q4195">
        <v>6563.3891362766399</v>
      </c>
      <c r="R4195">
        <v>33785.001791156064</v>
      </c>
      <c r="S4195">
        <v>3.7818842442646416</v>
      </c>
      <c r="T4195">
        <v>105.33781456452208</v>
      </c>
      <c r="U4195">
        <v>0</v>
      </c>
      <c r="V4195">
        <v>0</v>
      </c>
    </row>
    <row r="4196" spans="1:22" x14ac:dyDescent="0.2">
      <c r="A4196"/>
      <c r="B4196">
        <v>75483</v>
      </c>
      <c r="C4196" t="s">
        <v>854</v>
      </c>
      <c r="D4196" t="s">
        <v>920</v>
      </c>
      <c r="E4196" t="s">
        <v>1275</v>
      </c>
      <c r="F4196" t="s">
        <v>92</v>
      </c>
      <c r="G4196">
        <v>4722.2802059124306</v>
      </c>
      <c r="H4196" t="s">
        <v>248</v>
      </c>
      <c r="I4196">
        <v>0</v>
      </c>
      <c r="J4196">
        <v>0</v>
      </c>
      <c r="K4196">
        <v>0</v>
      </c>
      <c r="L4196">
        <v>0</v>
      </c>
      <c r="M4196" t="s">
        <v>187</v>
      </c>
      <c r="N4196">
        <v>12738.7060172662</v>
      </c>
      <c r="O4196" t="s">
        <v>248</v>
      </c>
      <c r="P4196" t="b">
        <v>1</v>
      </c>
      <c r="Q4196">
        <v>6558.0099878663532</v>
      </c>
      <c r="R4196">
        <v>33804.897952405561</v>
      </c>
      <c r="S4196">
        <v>4.0833787933270589</v>
      </c>
      <c r="T4196">
        <v>104.9704293109972</v>
      </c>
      <c r="U4196">
        <v>0</v>
      </c>
      <c r="V4196">
        <v>0</v>
      </c>
    </row>
    <row r="4197" spans="1:22" x14ac:dyDescent="0.2">
      <c r="A4197"/>
      <c r="B4197">
        <v>75484</v>
      </c>
      <c r="C4197" t="s">
        <v>855</v>
      </c>
      <c r="D4197" t="s">
        <v>920</v>
      </c>
      <c r="E4197" t="s">
        <v>1275</v>
      </c>
      <c r="F4197" t="s">
        <v>92</v>
      </c>
      <c r="G4197">
        <v>4816.2252149558308</v>
      </c>
      <c r="H4197" t="s">
        <v>248</v>
      </c>
      <c r="I4197">
        <v>0</v>
      </c>
      <c r="J4197">
        <v>0</v>
      </c>
      <c r="K4197">
        <v>0</v>
      </c>
      <c r="L4197">
        <v>0</v>
      </c>
      <c r="M4197" t="s">
        <v>187</v>
      </c>
      <c r="N4197">
        <v>12832.651026309601</v>
      </c>
      <c r="O4197" t="s">
        <v>248</v>
      </c>
      <c r="P4197" t="b">
        <v>1</v>
      </c>
      <c r="Q4197">
        <v>6533.7042888093183</v>
      </c>
      <c r="R4197">
        <v>33895.643033098218</v>
      </c>
      <c r="S4197">
        <v>4.3484337719106163</v>
      </c>
      <c r="T4197">
        <v>105.0216986835255</v>
      </c>
      <c r="U4197">
        <v>0</v>
      </c>
      <c r="V4197">
        <v>0</v>
      </c>
    </row>
    <row r="4198" spans="1:22" x14ac:dyDescent="0.2">
      <c r="A4198"/>
      <c r="B4198">
        <v>75485</v>
      </c>
      <c r="C4198" t="s">
        <v>856</v>
      </c>
      <c r="D4198" t="s">
        <v>920</v>
      </c>
      <c r="E4198" t="s">
        <v>1275</v>
      </c>
      <c r="F4198" t="s">
        <v>92</v>
      </c>
      <c r="G4198">
        <v>4830.8111812538309</v>
      </c>
      <c r="H4198" t="s">
        <v>248</v>
      </c>
      <c r="I4198">
        <v>0</v>
      </c>
      <c r="J4198">
        <v>0</v>
      </c>
      <c r="K4198">
        <v>0</v>
      </c>
      <c r="L4198">
        <v>0</v>
      </c>
      <c r="M4198" t="s">
        <v>187</v>
      </c>
      <c r="N4198">
        <v>12847.236992607601</v>
      </c>
      <c r="O4198" t="s">
        <v>248</v>
      </c>
      <c r="P4198" t="b">
        <v>1</v>
      </c>
      <c r="Q4198">
        <v>6529.9236324133162</v>
      </c>
      <c r="R4198">
        <v>33909.730511462134</v>
      </c>
      <c r="S4198">
        <v>4.3502754181805114</v>
      </c>
      <c r="T4198">
        <v>105.02304926404585</v>
      </c>
      <c r="U4198">
        <v>0</v>
      </c>
      <c r="V4198">
        <v>0</v>
      </c>
    </row>
    <row r="4199" spans="1:22" x14ac:dyDescent="0.2">
      <c r="A4199"/>
      <c r="B4199">
        <v>75486</v>
      </c>
      <c r="C4199" t="s">
        <v>857</v>
      </c>
      <c r="D4199" t="s">
        <v>920</v>
      </c>
      <c r="E4199" t="s">
        <v>1275</v>
      </c>
      <c r="F4199" t="s">
        <v>92</v>
      </c>
      <c r="G4199">
        <v>4833.7558581646308</v>
      </c>
      <c r="H4199" t="s">
        <v>248</v>
      </c>
      <c r="I4199">
        <v>0</v>
      </c>
      <c r="J4199">
        <v>0</v>
      </c>
      <c r="K4199">
        <v>0</v>
      </c>
      <c r="L4199">
        <v>0</v>
      </c>
      <c r="M4199" t="s">
        <v>187</v>
      </c>
      <c r="N4199">
        <v>12850.181669518401</v>
      </c>
      <c r="O4199" t="s">
        <v>248</v>
      </c>
      <c r="P4199" t="b">
        <v>1</v>
      </c>
      <c r="Q4199">
        <v>6529.1603470487971</v>
      </c>
      <c r="R4199">
        <v>33912.57454336185</v>
      </c>
      <c r="S4199">
        <v>4.3506141025987501</v>
      </c>
      <c r="T4199">
        <v>105.02314954547121</v>
      </c>
      <c r="U4199">
        <v>0</v>
      </c>
      <c r="V4199">
        <v>0</v>
      </c>
    </row>
    <row r="4200" spans="1:22" x14ac:dyDescent="0.2">
      <c r="A4200"/>
      <c r="B4200">
        <v>75487</v>
      </c>
      <c r="C4200" t="s">
        <v>858</v>
      </c>
      <c r="D4200" t="s">
        <v>920</v>
      </c>
      <c r="E4200" t="s">
        <v>1275</v>
      </c>
      <c r="F4200" t="s">
        <v>92</v>
      </c>
      <c r="G4200">
        <v>4853.3085128521298</v>
      </c>
      <c r="H4200" t="s">
        <v>248</v>
      </c>
      <c r="I4200">
        <v>0</v>
      </c>
      <c r="J4200">
        <v>0</v>
      </c>
      <c r="K4200">
        <v>0</v>
      </c>
      <c r="L4200">
        <v>0</v>
      </c>
      <c r="M4200" t="s">
        <v>187</v>
      </c>
      <c r="N4200">
        <v>12869.7343242059</v>
      </c>
      <c r="O4200" t="s">
        <v>248</v>
      </c>
      <c r="P4200" t="b">
        <v>1</v>
      </c>
      <c r="Q4200">
        <v>6524.0921794917822</v>
      </c>
      <c r="R4200">
        <v>33931.458927891072</v>
      </c>
      <c r="S4200">
        <v>4.3525807884703438</v>
      </c>
      <c r="T4200">
        <v>105.0223465321983</v>
      </c>
      <c r="U4200">
        <v>0</v>
      </c>
      <c r="V4200">
        <v>0</v>
      </c>
    </row>
    <row r="4201" spans="1:22" x14ac:dyDescent="0.2">
      <c r="A4201"/>
      <c r="B4201">
        <v>75488</v>
      </c>
      <c r="C4201" t="s">
        <v>859</v>
      </c>
      <c r="D4201" t="s">
        <v>920</v>
      </c>
      <c r="E4201" t="s">
        <v>1275</v>
      </c>
      <c r="F4201" t="s">
        <v>92</v>
      </c>
      <c r="G4201">
        <v>4856.2531897629297</v>
      </c>
      <c r="H4201" t="s">
        <v>248</v>
      </c>
      <c r="I4201">
        <v>0</v>
      </c>
      <c r="J4201">
        <v>0</v>
      </c>
      <c r="K4201">
        <v>0</v>
      </c>
      <c r="L4201">
        <v>0</v>
      </c>
      <c r="M4201" t="s">
        <v>187</v>
      </c>
      <c r="N4201">
        <v>12872.6790011167</v>
      </c>
      <c r="O4201" t="s">
        <v>248</v>
      </c>
      <c r="P4201" t="b">
        <v>1</v>
      </c>
      <c r="Q4201">
        <v>6523.3289399878704</v>
      </c>
      <c r="R4201">
        <v>33934.302972107369</v>
      </c>
      <c r="S4201">
        <v>4.3528344793426852</v>
      </c>
      <c r="T4201">
        <v>105.02200437930517</v>
      </c>
      <c r="U4201">
        <v>0</v>
      </c>
      <c r="V4201">
        <v>0</v>
      </c>
    </row>
    <row r="4202" spans="1:22" x14ac:dyDescent="0.2">
      <c r="A4202"/>
      <c r="B4202">
        <v>75489</v>
      </c>
      <c r="C4202" t="s">
        <v>860</v>
      </c>
      <c r="D4202" t="s">
        <v>920</v>
      </c>
      <c r="E4202" t="s">
        <v>1275</v>
      </c>
      <c r="F4202" t="s">
        <v>92</v>
      </c>
      <c r="G4202">
        <v>4913.2032412173294</v>
      </c>
      <c r="H4202" t="s">
        <v>248</v>
      </c>
      <c r="I4202">
        <v>0</v>
      </c>
      <c r="J4202">
        <v>0</v>
      </c>
      <c r="K4202">
        <v>0</v>
      </c>
      <c r="L4202">
        <v>0</v>
      </c>
      <c r="M4202" t="s">
        <v>187</v>
      </c>
      <c r="N4202">
        <v>12929.629052571099</v>
      </c>
      <c r="O4202" t="s">
        <v>248</v>
      </c>
      <c r="P4202" t="b">
        <v>1</v>
      </c>
      <c r="Q4202">
        <v>6508.5749677303838</v>
      </c>
      <c r="R4202">
        <v>33989.308686602424</v>
      </c>
      <c r="S4202">
        <v>4.3555527420663323</v>
      </c>
      <c r="T4202">
        <v>105.00399690246394</v>
      </c>
      <c r="U4202">
        <v>0</v>
      </c>
      <c r="V4202">
        <v>0</v>
      </c>
    </row>
    <row r="4203" spans="1:22" x14ac:dyDescent="0.2">
      <c r="A4203"/>
      <c r="B4203">
        <v>75490</v>
      </c>
      <c r="C4203" t="s">
        <v>861</v>
      </c>
      <c r="D4203" t="s">
        <v>920</v>
      </c>
      <c r="E4203" t="s">
        <v>1275</v>
      </c>
      <c r="F4203" t="s">
        <v>92</v>
      </c>
      <c r="G4203">
        <v>4947.6559610734303</v>
      </c>
      <c r="H4203" t="s">
        <v>248</v>
      </c>
      <c r="I4203">
        <v>0</v>
      </c>
      <c r="J4203">
        <v>0</v>
      </c>
      <c r="K4203">
        <v>0</v>
      </c>
      <c r="L4203">
        <v>0</v>
      </c>
      <c r="M4203" t="s">
        <v>187</v>
      </c>
      <c r="N4203">
        <v>12964.0817724272</v>
      </c>
      <c r="O4203" t="s">
        <v>248</v>
      </c>
      <c r="P4203" t="b">
        <v>1</v>
      </c>
      <c r="Q4203">
        <v>6499.6614601443225</v>
      </c>
      <c r="R4203">
        <v>34022.5883992487</v>
      </c>
      <c r="S4203">
        <v>4.3551771024190868</v>
      </c>
      <c r="T4203">
        <v>104.98258745570745</v>
      </c>
      <c r="U4203">
        <v>0</v>
      </c>
      <c r="V4203">
        <v>0</v>
      </c>
    </row>
    <row r="4204" spans="1:22" x14ac:dyDescent="0.2">
      <c r="A4204"/>
      <c r="B4204">
        <v>75491</v>
      </c>
      <c r="C4204" t="s">
        <v>862</v>
      </c>
      <c r="D4204" t="s">
        <v>920</v>
      </c>
      <c r="E4204" t="s">
        <v>1275</v>
      </c>
      <c r="F4204" t="s">
        <v>92</v>
      </c>
      <c r="G4204">
        <v>4950.6006379841301</v>
      </c>
      <c r="H4204" t="s">
        <v>248</v>
      </c>
      <c r="I4204">
        <v>0</v>
      </c>
      <c r="J4204">
        <v>0</v>
      </c>
      <c r="K4204">
        <v>0</v>
      </c>
      <c r="L4204">
        <v>0</v>
      </c>
      <c r="M4204" t="s">
        <v>187</v>
      </c>
      <c r="N4204">
        <v>12967.0264493379</v>
      </c>
      <c r="O4204" t="s">
        <v>248</v>
      </c>
      <c r="P4204" t="b">
        <v>1</v>
      </c>
      <c r="Q4204">
        <v>6498.9002404390849</v>
      </c>
      <c r="R4204">
        <v>34025.432984747</v>
      </c>
      <c r="S4204">
        <v>4.3550743537903811</v>
      </c>
      <c r="T4204">
        <v>104.98038985836881</v>
      </c>
      <c r="U4204">
        <v>0</v>
      </c>
      <c r="V4204">
        <v>0</v>
      </c>
    </row>
    <row r="4205" spans="1:22" x14ac:dyDescent="0.2">
      <c r="A4205"/>
      <c r="B4205">
        <v>75492</v>
      </c>
      <c r="C4205" t="s">
        <v>863</v>
      </c>
      <c r="D4205" t="s">
        <v>920</v>
      </c>
      <c r="E4205" t="s">
        <v>1275</v>
      </c>
      <c r="F4205" t="s">
        <v>92</v>
      </c>
      <c r="G4205">
        <v>4970.1532926717309</v>
      </c>
      <c r="H4205" t="s">
        <v>248</v>
      </c>
      <c r="I4205">
        <v>0</v>
      </c>
      <c r="J4205">
        <v>0</v>
      </c>
      <c r="K4205">
        <v>0</v>
      </c>
      <c r="L4205">
        <v>0</v>
      </c>
      <c r="M4205" t="s">
        <v>187</v>
      </c>
      <c r="N4205">
        <v>12986.579104025501</v>
      </c>
      <c r="O4205" t="s">
        <v>248</v>
      </c>
      <c r="P4205" t="b">
        <v>1</v>
      </c>
      <c r="Q4205">
        <v>6493.8486826664812</v>
      </c>
      <c r="R4205">
        <v>34044.321819172343</v>
      </c>
      <c r="S4205">
        <v>4.3541099240952219</v>
      </c>
      <c r="T4205">
        <v>104.96432893010248</v>
      </c>
      <c r="U4205">
        <v>0</v>
      </c>
      <c r="V4205">
        <v>0</v>
      </c>
    </row>
    <row r="4206" spans="1:22" x14ac:dyDescent="0.2">
      <c r="A4206"/>
      <c r="B4206">
        <v>75493</v>
      </c>
      <c r="C4206" t="s">
        <v>864</v>
      </c>
      <c r="D4206" t="s">
        <v>920</v>
      </c>
      <c r="E4206" t="s">
        <v>1275</v>
      </c>
      <c r="F4206" t="s">
        <v>92</v>
      </c>
      <c r="G4206">
        <v>4973.0979695825308</v>
      </c>
      <c r="H4206" t="s">
        <v>248</v>
      </c>
      <c r="I4206">
        <v>0</v>
      </c>
      <c r="J4206">
        <v>0</v>
      </c>
      <c r="K4206">
        <v>0</v>
      </c>
      <c r="L4206">
        <v>0</v>
      </c>
      <c r="M4206" t="s">
        <v>187</v>
      </c>
      <c r="N4206">
        <v>12989.523780936301</v>
      </c>
      <c r="O4206" t="s">
        <v>248</v>
      </c>
      <c r="P4206" t="b">
        <v>1</v>
      </c>
      <c r="Q4206">
        <v>6493.0883804727628</v>
      </c>
      <c r="R4206">
        <v>34047.166650036634</v>
      </c>
      <c r="S4206">
        <v>4.3539221819206189</v>
      </c>
      <c r="T4206">
        <v>104.96168889844529</v>
      </c>
      <c r="U4206">
        <v>0</v>
      </c>
      <c r="V4206">
        <v>0</v>
      </c>
    </row>
    <row r="4207" spans="1:22" x14ac:dyDescent="0.2">
      <c r="A4207"/>
      <c r="B4207">
        <v>75494</v>
      </c>
      <c r="C4207" t="s">
        <v>865</v>
      </c>
      <c r="D4207" t="s">
        <v>920</v>
      </c>
      <c r="E4207" t="s">
        <v>1275</v>
      </c>
      <c r="F4207" t="s">
        <v>92</v>
      </c>
      <c r="G4207">
        <v>5024.5512908034298</v>
      </c>
      <c r="H4207" t="s">
        <v>248</v>
      </c>
      <c r="I4207">
        <v>0</v>
      </c>
      <c r="J4207">
        <v>0</v>
      </c>
      <c r="K4207">
        <v>0</v>
      </c>
      <c r="L4207">
        <v>0</v>
      </c>
      <c r="M4207" t="s">
        <v>187</v>
      </c>
      <c r="N4207">
        <v>13040.9771021572</v>
      </c>
      <c r="O4207" t="s">
        <v>248</v>
      </c>
      <c r="P4207" t="b">
        <v>1</v>
      </c>
      <c r="Q4207">
        <v>6479.8273052002387</v>
      </c>
      <c r="R4207">
        <v>34096.881717303688</v>
      </c>
      <c r="S4207">
        <v>4.3488462035725872</v>
      </c>
      <c r="T4207">
        <v>104.90621229972068</v>
      </c>
      <c r="U4207">
        <v>0</v>
      </c>
      <c r="V4207">
        <v>0</v>
      </c>
    </row>
    <row r="4208" spans="1:22" x14ac:dyDescent="0.2">
      <c r="A4208"/>
      <c r="B4208">
        <v>75495</v>
      </c>
      <c r="C4208" t="s">
        <v>866</v>
      </c>
      <c r="D4208" t="s">
        <v>920</v>
      </c>
      <c r="E4208" t="s">
        <v>1275</v>
      </c>
      <c r="F4208" t="s">
        <v>92</v>
      </c>
      <c r="G4208">
        <v>5104.1066453428293</v>
      </c>
      <c r="H4208" t="s">
        <v>248</v>
      </c>
      <c r="I4208">
        <v>0</v>
      </c>
      <c r="J4208">
        <v>0</v>
      </c>
      <c r="K4208">
        <v>0</v>
      </c>
      <c r="L4208">
        <v>0</v>
      </c>
      <c r="M4208" t="s">
        <v>187</v>
      </c>
      <c r="N4208">
        <v>13120.532456696599</v>
      </c>
      <c r="O4208" t="s">
        <v>248</v>
      </c>
      <c r="P4208" t="b">
        <v>1</v>
      </c>
      <c r="Q4208">
        <v>6459.4155402110337</v>
      </c>
      <c r="R4208">
        <v>34173.770622220778</v>
      </c>
      <c r="S4208">
        <v>4.9664662688232353</v>
      </c>
      <c r="T4208">
        <v>104.83455343885025</v>
      </c>
      <c r="U4208">
        <v>0</v>
      </c>
      <c r="V4208">
        <v>0</v>
      </c>
    </row>
    <row r="4209" spans="1:22" x14ac:dyDescent="0.2">
      <c r="A4209"/>
      <c r="B4209">
        <v>75496</v>
      </c>
      <c r="C4209" t="s">
        <v>867</v>
      </c>
      <c r="D4209" t="s">
        <v>920</v>
      </c>
      <c r="E4209" t="s">
        <v>1275</v>
      </c>
      <c r="F4209" t="s">
        <v>92</v>
      </c>
      <c r="G4209">
        <v>5124.7193837183304</v>
      </c>
      <c r="H4209" t="s">
        <v>248</v>
      </c>
      <c r="I4209">
        <v>0</v>
      </c>
      <c r="J4209">
        <v>0</v>
      </c>
      <c r="K4209">
        <v>0</v>
      </c>
      <c r="L4209">
        <v>0</v>
      </c>
      <c r="M4209" t="s">
        <v>187</v>
      </c>
      <c r="N4209">
        <v>13141.1451950721</v>
      </c>
      <c r="O4209" t="s">
        <v>248</v>
      </c>
      <c r="P4209" t="b">
        <v>1</v>
      </c>
      <c r="Q4209">
        <v>6454.1440853345575</v>
      </c>
      <c r="R4209">
        <v>34193.696004671074</v>
      </c>
      <c r="S4209">
        <v>5.241904023169293</v>
      </c>
      <c r="T4209">
        <v>104.79981512716191</v>
      </c>
      <c r="U4209">
        <v>0</v>
      </c>
      <c r="V4209">
        <v>0</v>
      </c>
    </row>
    <row r="4210" spans="1:22" x14ac:dyDescent="0.2">
      <c r="A4210"/>
      <c r="B4210">
        <v>75497</v>
      </c>
      <c r="C4210" t="s">
        <v>868</v>
      </c>
      <c r="D4210" t="s">
        <v>920</v>
      </c>
      <c r="E4210" t="s">
        <v>1275</v>
      </c>
      <c r="F4210" t="s">
        <v>92</v>
      </c>
      <c r="G4210">
        <v>5242.5064601492295</v>
      </c>
      <c r="H4210" t="s">
        <v>248</v>
      </c>
      <c r="I4210">
        <v>0</v>
      </c>
      <c r="J4210">
        <v>0</v>
      </c>
      <c r="K4210">
        <v>0</v>
      </c>
      <c r="L4210">
        <v>0</v>
      </c>
      <c r="M4210" t="s">
        <v>187</v>
      </c>
      <c r="N4210">
        <v>13258.932271502999</v>
      </c>
      <c r="O4210" t="s">
        <v>248</v>
      </c>
      <c r="P4210" t="b">
        <v>1</v>
      </c>
      <c r="Q4210">
        <v>6431.8802746219089</v>
      </c>
      <c r="R4210">
        <v>34309.151711277678</v>
      </c>
      <c r="S4210">
        <v>6.101098213783084</v>
      </c>
      <c r="T4210">
        <v>94.661651439072145</v>
      </c>
      <c r="U4210">
        <v>0</v>
      </c>
      <c r="V4210">
        <v>0</v>
      </c>
    </row>
    <row r="4211" spans="1:22" x14ac:dyDescent="0.2">
      <c r="A4211"/>
      <c r="B4211">
        <v>75498</v>
      </c>
      <c r="C4211" t="s">
        <v>869</v>
      </c>
      <c r="D4211" t="s">
        <v>920</v>
      </c>
      <c r="E4211" t="s">
        <v>1275</v>
      </c>
      <c r="F4211" t="s">
        <v>92</v>
      </c>
      <c r="G4211">
        <v>5393.6665415690304</v>
      </c>
      <c r="H4211" t="s">
        <v>248</v>
      </c>
      <c r="I4211">
        <v>0</v>
      </c>
      <c r="J4211">
        <v>0</v>
      </c>
      <c r="K4211">
        <v>0</v>
      </c>
      <c r="L4211">
        <v>0</v>
      </c>
      <c r="M4211" t="s">
        <v>187</v>
      </c>
      <c r="N4211">
        <v>13410.0923529228</v>
      </c>
      <c r="O4211" t="s">
        <v>248</v>
      </c>
      <c r="P4211" t="b">
        <v>1</v>
      </c>
      <c r="Q4211">
        <v>6434.2620681211029</v>
      </c>
      <c r="R4211">
        <v>34460.158042022726</v>
      </c>
      <c r="S4211">
        <v>3.1363611535713343</v>
      </c>
      <c r="T4211">
        <v>87.37684545754999</v>
      </c>
      <c r="U4211">
        <v>0</v>
      </c>
      <c r="V4211">
        <v>0</v>
      </c>
    </row>
    <row r="4212" spans="1:22" x14ac:dyDescent="0.2">
      <c r="A4212"/>
      <c r="B4212">
        <v>75499</v>
      </c>
      <c r="C4212" t="s">
        <v>870</v>
      </c>
      <c r="D4212" t="s">
        <v>920</v>
      </c>
      <c r="E4212" t="s">
        <v>1275</v>
      </c>
      <c r="F4212" t="s">
        <v>92</v>
      </c>
      <c r="G4212">
        <v>5570.347156215531</v>
      </c>
      <c r="H4212" t="s">
        <v>248</v>
      </c>
      <c r="I4212">
        <v>0</v>
      </c>
      <c r="J4212">
        <v>0</v>
      </c>
      <c r="K4212">
        <v>0</v>
      </c>
      <c r="L4212">
        <v>0</v>
      </c>
      <c r="M4212" t="s">
        <v>187</v>
      </c>
      <c r="N4212">
        <v>13586.772967569301</v>
      </c>
      <c r="O4212" t="s">
        <v>248</v>
      </c>
      <c r="P4212" t="b">
        <v>1</v>
      </c>
      <c r="Q4212">
        <v>6442.652689166398</v>
      </c>
      <c r="R4212">
        <v>34636.599871978171</v>
      </c>
      <c r="S4212">
        <v>-0.592966828720626</v>
      </c>
      <c r="T4212">
        <v>87.32278476707296</v>
      </c>
      <c r="U4212">
        <v>0</v>
      </c>
      <c r="V4212">
        <v>0</v>
      </c>
    </row>
    <row r="4213" spans="1:22" x14ac:dyDescent="0.2">
      <c r="A4213"/>
      <c r="B4213">
        <v>75500</v>
      </c>
      <c r="C4213" t="s">
        <v>871</v>
      </c>
      <c r="D4213" t="s">
        <v>920</v>
      </c>
      <c r="E4213" t="s">
        <v>1275</v>
      </c>
      <c r="F4213" t="s">
        <v>92</v>
      </c>
      <c r="G4213">
        <v>5724.4519145460299</v>
      </c>
      <c r="H4213" t="s">
        <v>248</v>
      </c>
      <c r="I4213">
        <v>0</v>
      </c>
      <c r="J4213">
        <v>0</v>
      </c>
      <c r="K4213">
        <v>0</v>
      </c>
      <c r="L4213">
        <v>0</v>
      </c>
      <c r="M4213" t="s">
        <v>187</v>
      </c>
      <c r="N4213">
        <v>13740.8777258998</v>
      </c>
      <c r="O4213" t="s">
        <v>248</v>
      </c>
      <c r="P4213" t="b">
        <v>1</v>
      </c>
      <c r="Q4213">
        <v>6449.3256903611964</v>
      </c>
      <c r="R4213">
        <v>34790.548677291903</v>
      </c>
      <c r="S4213">
        <v>-2.0559461152440739</v>
      </c>
      <c r="T4213">
        <v>87.680193822576015</v>
      </c>
      <c r="U4213">
        <v>0</v>
      </c>
      <c r="V4213">
        <v>0</v>
      </c>
    </row>
    <row r="4214" spans="1:22" x14ac:dyDescent="0.2">
      <c r="A4214"/>
      <c r="B4214">
        <v>75501</v>
      </c>
      <c r="C4214" t="s">
        <v>872</v>
      </c>
      <c r="D4214" t="s">
        <v>920</v>
      </c>
      <c r="E4214" t="s">
        <v>1275</v>
      </c>
      <c r="F4214" t="s">
        <v>92</v>
      </c>
      <c r="G4214">
        <v>5842.2389909770309</v>
      </c>
      <c r="H4214" t="s">
        <v>248</v>
      </c>
      <c r="I4214">
        <v>0</v>
      </c>
      <c r="J4214">
        <v>0</v>
      </c>
      <c r="K4214">
        <v>0</v>
      </c>
      <c r="L4214">
        <v>0</v>
      </c>
      <c r="M4214" t="s">
        <v>187</v>
      </c>
      <c r="N4214">
        <v>13858.664802330801</v>
      </c>
      <c r="O4214" t="s">
        <v>248</v>
      </c>
      <c r="P4214" t="b">
        <v>1</v>
      </c>
      <c r="Q4214">
        <v>6453.8407201972996</v>
      </c>
      <c r="R4214">
        <v>34908.249103553964</v>
      </c>
      <c r="S4214">
        <v>-2.0431189463021884</v>
      </c>
      <c r="T4214">
        <v>87.911272414084451</v>
      </c>
      <c r="U4214">
        <v>0</v>
      </c>
      <c r="V4214">
        <v>0</v>
      </c>
    </row>
    <row r="4215" spans="1:22" x14ac:dyDescent="0.2">
      <c r="A4215"/>
      <c r="B4215">
        <v>75502</v>
      </c>
      <c r="C4215" t="s">
        <v>873</v>
      </c>
      <c r="D4215" t="s">
        <v>920</v>
      </c>
      <c r="E4215" t="s">
        <v>1275</v>
      </c>
      <c r="F4215" t="s">
        <v>92</v>
      </c>
      <c r="G4215">
        <v>5862.8517293525301</v>
      </c>
      <c r="H4215" t="s">
        <v>248</v>
      </c>
      <c r="I4215">
        <v>0</v>
      </c>
      <c r="J4215">
        <v>0</v>
      </c>
      <c r="K4215">
        <v>0</v>
      </c>
      <c r="L4215">
        <v>0</v>
      </c>
      <c r="M4215" t="s">
        <v>187</v>
      </c>
      <c r="N4215">
        <v>13879.2775407063</v>
      </c>
      <c r="O4215" t="s">
        <v>248</v>
      </c>
      <c r="P4215" t="b">
        <v>1</v>
      </c>
      <c r="Q4215">
        <v>6454.5862400483866</v>
      </c>
      <c r="R4215">
        <v>34928.848354963244</v>
      </c>
      <c r="S4215">
        <v>-2.0468629260328317</v>
      </c>
      <c r="T4215">
        <v>87.94292927811793</v>
      </c>
      <c r="U4215">
        <v>0</v>
      </c>
      <c r="V4215">
        <v>0</v>
      </c>
    </row>
    <row r="4216" spans="1:22" x14ac:dyDescent="0.2">
      <c r="A4216"/>
      <c r="B4216">
        <v>75503</v>
      </c>
      <c r="C4216" t="s">
        <v>874</v>
      </c>
      <c r="D4216" t="s">
        <v>920</v>
      </c>
      <c r="E4216" t="s">
        <v>1275</v>
      </c>
      <c r="F4216" t="s">
        <v>92</v>
      </c>
      <c r="G4216">
        <v>5957.0813904973302</v>
      </c>
      <c r="H4216" t="s">
        <v>248</v>
      </c>
      <c r="I4216">
        <v>0</v>
      </c>
      <c r="J4216">
        <v>0</v>
      </c>
      <c r="K4216">
        <v>0</v>
      </c>
      <c r="L4216">
        <v>0</v>
      </c>
      <c r="M4216" t="s">
        <v>187</v>
      </c>
      <c r="N4216">
        <v>13973.5072018511</v>
      </c>
      <c r="O4216" t="s">
        <v>248</v>
      </c>
      <c r="P4216" t="b">
        <v>1</v>
      </c>
      <c r="Q4216">
        <v>6457.8659129708913</v>
      </c>
      <c r="R4216">
        <v>35023.020907100581</v>
      </c>
      <c r="S4216">
        <v>-2.0552997414967695</v>
      </c>
      <c r="T4216">
        <v>88.06045707888795</v>
      </c>
      <c r="U4216">
        <v>0</v>
      </c>
      <c r="V4216">
        <v>0</v>
      </c>
    </row>
    <row r="4217" spans="1:22" x14ac:dyDescent="0.2">
      <c r="A4217"/>
      <c r="B4217">
        <v>75504</v>
      </c>
      <c r="C4217" t="s">
        <v>875</v>
      </c>
      <c r="D4217" t="s">
        <v>920</v>
      </c>
      <c r="E4217" t="s">
        <v>1275</v>
      </c>
      <c r="F4217" t="s">
        <v>92</v>
      </c>
      <c r="G4217">
        <v>5971.6673567953303</v>
      </c>
      <c r="H4217" t="s">
        <v>248</v>
      </c>
      <c r="I4217">
        <v>0</v>
      </c>
      <c r="J4217">
        <v>0</v>
      </c>
      <c r="K4217">
        <v>0</v>
      </c>
      <c r="L4217">
        <v>0</v>
      </c>
      <c r="M4217" t="s">
        <v>187</v>
      </c>
      <c r="N4217">
        <v>13988.0931681491</v>
      </c>
      <c r="O4217" t="s">
        <v>248</v>
      </c>
      <c r="P4217" t="b">
        <v>1</v>
      </c>
      <c r="Q4217">
        <v>6458.3577445205337</v>
      </c>
      <c r="R4217">
        <v>35037.598578844474</v>
      </c>
      <c r="S4217">
        <v>-2.0553328254506642</v>
      </c>
      <c r="T4217">
        <v>88.074661592783173</v>
      </c>
      <c r="U4217">
        <v>0</v>
      </c>
      <c r="V4217">
        <v>0</v>
      </c>
    </row>
    <row r="4218" spans="1:22" x14ac:dyDescent="0.2">
      <c r="A4218"/>
      <c r="B4218">
        <v>75505</v>
      </c>
      <c r="C4218" t="s">
        <v>876</v>
      </c>
      <c r="D4218" t="s">
        <v>920</v>
      </c>
      <c r="E4218" t="s">
        <v>1275</v>
      </c>
      <c r="F4218" t="s">
        <v>92</v>
      </c>
      <c r="G4218">
        <v>5974.6120337061302</v>
      </c>
      <c r="H4218" t="s">
        <v>248</v>
      </c>
      <c r="I4218">
        <v>0</v>
      </c>
      <c r="J4218">
        <v>0</v>
      </c>
      <c r="K4218">
        <v>0</v>
      </c>
      <c r="L4218">
        <v>0</v>
      </c>
      <c r="M4218" t="s">
        <v>187</v>
      </c>
      <c r="N4218">
        <v>13991.0378450599</v>
      </c>
      <c r="O4218" t="s">
        <v>248</v>
      </c>
      <c r="P4218" t="b">
        <v>1</v>
      </c>
      <c r="Q4218">
        <v>6458.4566068283702</v>
      </c>
      <c r="R4218">
        <v>35040.541595723495</v>
      </c>
      <c r="S4218">
        <v>-2.0552981055122519</v>
      </c>
      <c r="T4218">
        <v>88.077399559404412</v>
      </c>
      <c r="U4218">
        <v>0</v>
      </c>
      <c r="V4218">
        <v>0</v>
      </c>
    </row>
    <row r="4219" spans="1:22" x14ac:dyDescent="0.2">
      <c r="A4219"/>
      <c r="B4219">
        <v>75506</v>
      </c>
      <c r="C4219" t="s">
        <v>877</v>
      </c>
      <c r="D4219" t="s">
        <v>920</v>
      </c>
      <c r="E4219" t="s">
        <v>1275</v>
      </c>
      <c r="F4219" t="s">
        <v>92</v>
      </c>
      <c r="G4219">
        <v>5994.164688393631</v>
      </c>
      <c r="H4219" t="s">
        <v>248</v>
      </c>
      <c r="I4219">
        <v>0</v>
      </c>
      <c r="J4219">
        <v>0</v>
      </c>
      <c r="K4219">
        <v>0</v>
      </c>
      <c r="L4219">
        <v>0</v>
      </c>
      <c r="M4219" t="s">
        <v>187</v>
      </c>
      <c r="N4219">
        <v>14010.590499747401</v>
      </c>
      <c r="O4219" t="s">
        <v>248</v>
      </c>
      <c r="P4219" t="b">
        <v>1</v>
      </c>
      <c r="Q4219">
        <v>6459.1096204325122</v>
      </c>
      <c r="R4219">
        <v>35060.083342711929</v>
      </c>
      <c r="S4219">
        <v>-2.054714793852968</v>
      </c>
      <c r="T4219">
        <v>88.09447444790932</v>
      </c>
      <c r="U4219">
        <v>0</v>
      </c>
      <c r="V4219">
        <v>0</v>
      </c>
    </row>
    <row r="4220" spans="1:22" x14ac:dyDescent="0.2">
      <c r="A4220"/>
      <c r="B4220">
        <v>75507</v>
      </c>
      <c r="C4220" t="s">
        <v>878</v>
      </c>
      <c r="D4220" t="s">
        <v>920</v>
      </c>
      <c r="E4220" t="s">
        <v>1275</v>
      </c>
      <c r="F4220" t="s">
        <v>92</v>
      </c>
      <c r="G4220">
        <v>5997.1093653044309</v>
      </c>
      <c r="H4220" t="s">
        <v>248</v>
      </c>
      <c r="I4220">
        <v>0</v>
      </c>
      <c r="J4220">
        <v>0</v>
      </c>
      <c r="K4220">
        <v>0</v>
      </c>
      <c r="L4220">
        <v>0</v>
      </c>
      <c r="M4220" t="s">
        <v>187</v>
      </c>
      <c r="N4220">
        <v>14013.535176658201</v>
      </c>
      <c r="O4220" t="s">
        <v>248</v>
      </c>
      <c r="P4220" t="b">
        <v>1</v>
      </c>
      <c r="Q4220">
        <v>6459.2074735901424</v>
      </c>
      <c r="R4220">
        <v>35063.026393314176</v>
      </c>
      <c r="S4220">
        <v>-2.0545738175757879</v>
      </c>
      <c r="T4220">
        <v>88.096879519994431</v>
      </c>
      <c r="U4220">
        <v>0</v>
      </c>
      <c r="V4220">
        <v>0</v>
      </c>
    </row>
    <row r="4221" spans="1:22" x14ac:dyDescent="0.2">
      <c r="A4221"/>
      <c r="B4221">
        <v>75508</v>
      </c>
      <c r="C4221" t="s">
        <v>879</v>
      </c>
      <c r="D4221" t="s">
        <v>920</v>
      </c>
      <c r="E4221" t="s">
        <v>1275</v>
      </c>
      <c r="F4221" t="s">
        <v>92</v>
      </c>
      <c r="G4221">
        <v>6054.0594167588306</v>
      </c>
      <c r="H4221" t="s">
        <v>248</v>
      </c>
      <c r="I4221">
        <v>0</v>
      </c>
      <c r="J4221">
        <v>0</v>
      </c>
      <c r="K4221">
        <v>0</v>
      </c>
      <c r="L4221">
        <v>0</v>
      </c>
      <c r="M4221" t="s">
        <v>187</v>
      </c>
      <c r="N4221">
        <v>14070.4852281126</v>
      </c>
      <c r="O4221" t="s">
        <v>248</v>
      </c>
      <c r="P4221" t="b">
        <v>1</v>
      </c>
      <c r="Q4221">
        <v>6461.1375073401132</v>
      </c>
      <c r="R4221">
        <v>35119.943706093247</v>
      </c>
      <c r="S4221">
        <v>-2.0524515625889275</v>
      </c>
      <c r="T4221">
        <v>87.946596872373945</v>
      </c>
      <c r="U4221">
        <v>0</v>
      </c>
      <c r="V4221">
        <v>0</v>
      </c>
    </row>
    <row r="4222" spans="1:22" x14ac:dyDescent="0.2">
      <c r="A4222"/>
      <c r="B4222">
        <v>75509</v>
      </c>
      <c r="C4222" t="s">
        <v>880</v>
      </c>
      <c r="D4222" t="s">
        <v>920</v>
      </c>
      <c r="E4222" t="s">
        <v>1275</v>
      </c>
      <c r="F4222" t="s">
        <v>92</v>
      </c>
      <c r="G4222">
        <v>6088.5121366148296</v>
      </c>
      <c r="H4222" t="s">
        <v>248</v>
      </c>
      <c r="I4222">
        <v>0</v>
      </c>
      <c r="J4222">
        <v>0</v>
      </c>
      <c r="K4222">
        <v>0</v>
      </c>
      <c r="L4222">
        <v>0</v>
      </c>
      <c r="M4222" t="s">
        <v>187</v>
      </c>
      <c r="N4222">
        <v>14104.937947968599</v>
      </c>
      <c r="O4222" t="s">
        <v>248</v>
      </c>
      <c r="P4222" t="b">
        <v>1</v>
      </c>
      <c r="Q4222">
        <v>6462.3816691254715</v>
      </c>
      <c r="R4222">
        <v>35154.373953385286</v>
      </c>
      <c r="S4222">
        <v>-2.0489042878819435</v>
      </c>
      <c r="T4222">
        <v>87.947703244547725</v>
      </c>
      <c r="U4222">
        <v>0</v>
      </c>
      <c r="V4222">
        <v>0</v>
      </c>
    </row>
    <row r="4223" spans="1:22" x14ac:dyDescent="0.2">
      <c r="A4223"/>
      <c r="B4223">
        <v>75510</v>
      </c>
      <c r="C4223" t="s">
        <v>881</v>
      </c>
      <c r="D4223" t="s">
        <v>920</v>
      </c>
      <c r="E4223" t="s">
        <v>1275</v>
      </c>
      <c r="F4223" t="s">
        <v>92</v>
      </c>
      <c r="G4223">
        <v>6091.4568135256295</v>
      </c>
      <c r="H4223" t="s">
        <v>248</v>
      </c>
      <c r="I4223">
        <v>0</v>
      </c>
      <c r="J4223">
        <v>0</v>
      </c>
      <c r="K4223">
        <v>0</v>
      </c>
      <c r="L4223">
        <v>0</v>
      </c>
      <c r="M4223" t="s">
        <v>187</v>
      </c>
      <c r="N4223">
        <v>14107.882624879399</v>
      </c>
      <c r="O4223" t="s">
        <v>248</v>
      </c>
      <c r="P4223" t="b">
        <v>1</v>
      </c>
      <c r="Q4223">
        <v>6462.4870284537883</v>
      </c>
      <c r="R4223">
        <v>35157.31674481769</v>
      </c>
      <c r="S4223">
        <v>-2.0485824386326401</v>
      </c>
      <c r="T4223">
        <v>87.951124347978578</v>
      </c>
      <c r="U4223">
        <v>0</v>
      </c>
      <c r="V4223">
        <v>0</v>
      </c>
    </row>
    <row r="4224" spans="1:22" x14ac:dyDescent="0.2">
      <c r="A4224"/>
      <c r="B4224">
        <v>75511</v>
      </c>
      <c r="C4224" t="s">
        <v>882</v>
      </c>
      <c r="D4224" t="s">
        <v>920</v>
      </c>
      <c r="E4224" t="s">
        <v>1275</v>
      </c>
      <c r="F4224" t="s">
        <v>92</v>
      </c>
      <c r="G4224">
        <v>6111.0094682132303</v>
      </c>
      <c r="H4224" t="s">
        <v>248</v>
      </c>
      <c r="I4224">
        <v>0</v>
      </c>
      <c r="J4224">
        <v>0</v>
      </c>
      <c r="K4224">
        <v>0</v>
      </c>
      <c r="L4224">
        <v>0</v>
      </c>
      <c r="M4224" t="s">
        <v>187</v>
      </c>
      <c r="N4224">
        <v>14127.435279567</v>
      </c>
      <c r="O4224" t="s">
        <v>248</v>
      </c>
      <c r="P4224" t="b">
        <v>1</v>
      </c>
      <c r="Q4224">
        <v>6463.186961778405</v>
      </c>
      <c r="R4224">
        <v>35176.856867482325</v>
      </c>
      <c r="S4224">
        <v>-2.0474709928587815</v>
      </c>
      <c r="T4224">
        <v>87.934538312942777</v>
      </c>
      <c r="U4224">
        <v>0</v>
      </c>
      <c r="V4224">
        <v>0</v>
      </c>
    </row>
    <row r="4225" spans="1:22" x14ac:dyDescent="0.2">
      <c r="A4225"/>
      <c r="B4225">
        <v>75512</v>
      </c>
      <c r="C4225" t="s">
        <v>883</v>
      </c>
      <c r="D4225" t="s">
        <v>920</v>
      </c>
      <c r="E4225" t="s">
        <v>1275</v>
      </c>
      <c r="F4225" t="s">
        <v>92</v>
      </c>
      <c r="G4225">
        <v>6113.9541451239302</v>
      </c>
      <c r="H4225" t="s">
        <v>248</v>
      </c>
      <c r="I4225">
        <v>0</v>
      </c>
      <c r="J4225">
        <v>0</v>
      </c>
      <c r="K4225">
        <v>0</v>
      </c>
      <c r="L4225">
        <v>0</v>
      </c>
      <c r="M4225" t="s">
        <v>187</v>
      </c>
      <c r="N4225">
        <v>14130.3799564777</v>
      </c>
      <c r="O4225" t="s">
        <v>248</v>
      </c>
      <c r="P4225" t="b">
        <v>1</v>
      </c>
      <c r="Q4225">
        <v>6463.2933012788635</v>
      </c>
      <c r="R4225">
        <v>35179.799623673913</v>
      </c>
      <c r="S4225">
        <v>-2.0474580692737634</v>
      </c>
      <c r="T4225">
        <v>87.926121415826742</v>
      </c>
      <c r="U4225">
        <v>0</v>
      </c>
      <c r="V4225">
        <v>0</v>
      </c>
    </row>
    <row r="4226" spans="1:22" x14ac:dyDescent="0.2">
      <c r="A4226"/>
      <c r="B4226">
        <v>75513</v>
      </c>
      <c r="C4226" t="s">
        <v>884</v>
      </c>
      <c r="D4226" t="s">
        <v>920</v>
      </c>
      <c r="E4226" t="s">
        <v>1275</v>
      </c>
      <c r="F4226" t="s">
        <v>92</v>
      </c>
      <c r="G4226">
        <v>6165.407466344931</v>
      </c>
      <c r="H4226" t="s">
        <v>248</v>
      </c>
      <c r="I4226">
        <v>0</v>
      </c>
      <c r="J4226">
        <v>0</v>
      </c>
      <c r="K4226">
        <v>0</v>
      </c>
      <c r="L4226">
        <v>0</v>
      </c>
      <c r="M4226" t="s">
        <v>187</v>
      </c>
      <c r="N4226">
        <v>14181.833277698701</v>
      </c>
      <c r="O4226" t="s">
        <v>248</v>
      </c>
      <c r="P4226" t="b">
        <v>1</v>
      </c>
      <c r="Q4226">
        <v>6465.3107463176066</v>
      </c>
      <c r="R4226">
        <v>35231.213208168512</v>
      </c>
      <c r="S4226">
        <v>-2.0554974722832351</v>
      </c>
      <c r="T4226">
        <v>87.258300014817792</v>
      </c>
      <c r="U4226">
        <v>0</v>
      </c>
      <c r="V4226">
        <v>0</v>
      </c>
    </row>
    <row r="4227" spans="1:22" x14ac:dyDescent="0.2">
      <c r="A4227"/>
      <c r="B4227">
        <v>75514</v>
      </c>
      <c r="C4227" t="s">
        <v>885</v>
      </c>
      <c r="D4227" t="s">
        <v>920</v>
      </c>
      <c r="E4227" t="s">
        <v>1275</v>
      </c>
      <c r="F4227" t="s">
        <v>92</v>
      </c>
      <c r="G4227">
        <v>6244.6781687829307</v>
      </c>
      <c r="H4227" t="s">
        <v>248</v>
      </c>
      <c r="I4227">
        <v>0</v>
      </c>
      <c r="J4227">
        <v>0</v>
      </c>
      <c r="K4227">
        <v>0</v>
      </c>
      <c r="L4227">
        <v>0</v>
      </c>
      <c r="M4227" t="s">
        <v>187</v>
      </c>
      <c r="N4227">
        <v>14261.103980136701</v>
      </c>
      <c r="O4227" t="s">
        <v>248</v>
      </c>
      <c r="P4227" t="b">
        <v>1</v>
      </c>
      <c r="Q4227">
        <v>6475.5560973393767</v>
      </c>
      <c r="R4227">
        <v>35309.727139299976</v>
      </c>
      <c r="S4227">
        <v>-2.9604327716410266</v>
      </c>
      <c r="T4227">
        <v>78.518438082588432</v>
      </c>
      <c r="U4227">
        <v>0</v>
      </c>
      <c r="V4227">
        <v>0</v>
      </c>
    </row>
    <row r="4228" spans="1:22" x14ac:dyDescent="0.2">
      <c r="A4228"/>
      <c r="B4228">
        <v>75515</v>
      </c>
      <c r="C4228" t="s">
        <v>886</v>
      </c>
      <c r="D4228" t="s">
        <v>920</v>
      </c>
      <c r="E4228" t="s">
        <v>1275</v>
      </c>
      <c r="F4228" t="s">
        <v>92</v>
      </c>
      <c r="G4228">
        <v>6265.2909071583299</v>
      </c>
      <c r="H4228" t="s">
        <v>248</v>
      </c>
      <c r="I4228">
        <v>0</v>
      </c>
      <c r="J4228">
        <v>0</v>
      </c>
      <c r="K4228">
        <v>0</v>
      </c>
      <c r="L4228">
        <v>0</v>
      </c>
      <c r="M4228" t="s">
        <v>187</v>
      </c>
      <c r="N4228">
        <v>14281.7167185121</v>
      </c>
      <c r="O4228" t="s">
        <v>248</v>
      </c>
      <c r="P4228" t="b">
        <v>1</v>
      </c>
      <c r="Q4228">
        <v>6479.8422277888894</v>
      </c>
      <c r="R4228">
        <v>35329.884917472365</v>
      </c>
      <c r="S4228">
        <v>-3.3702578226850659</v>
      </c>
      <c r="T4228">
        <v>77.548288860792951</v>
      </c>
      <c r="U4228">
        <v>0</v>
      </c>
      <c r="V4228">
        <v>0</v>
      </c>
    </row>
    <row r="4229" spans="1:22" x14ac:dyDescent="0.2">
      <c r="A4229"/>
      <c r="B4229">
        <v>75516</v>
      </c>
      <c r="C4229" t="s">
        <v>887</v>
      </c>
      <c r="D4229" t="s">
        <v>920</v>
      </c>
      <c r="E4229" t="s">
        <v>1275</v>
      </c>
      <c r="F4229" t="s">
        <v>92</v>
      </c>
      <c r="G4229">
        <v>6383.0779835893309</v>
      </c>
      <c r="H4229" t="s">
        <v>248</v>
      </c>
      <c r="I4229">
        <v>0</v>
      </c>
      <c r="J4229">
        <v>0</v>
      </c>
      <c r="K4229">
        <v>0</v>
      </c>
      <c r="L4229">
        <v>0</v>
      </c>
      <c r="M4229" t="s">
        <v>187</v>
      </c>
      <c r="N4229">
        <v>14399.503794943101</v>
      </c>
      <c r="O4229" t="s">
        <v>248</v>
      </c>
      <c r="P4229" t="b">
        <v>1</v>
      </c>
      <c r="Q4229">
        <v>6505.4181845467238</v>
      </c>
      <c r="R4229">
        <v>35444.832466308282</v>
      </c>
      <c r="S4229">
        <v>-5.7236368295658169</v>
      </c>
      <c r="T4229">
        <v>78.406254826276097</v>
      </c>
      <c r="U4229">
        <v>0</v>
      </c>
      <c r="V4229">
        <v>0</v>
      </c>
    </row>
    <row r="4230" spans="1:22" x14ac:dyDescent="0.2">
      <c r="A4230"/>
      <c r="B4230">
        <v>75517</v>
      </c>
      <c r="C4230" t="s">
        <v>888</v>
      </c>
      <c r="D4230" t="s">
        <v>920</v>
      </c>
      <c r="E4230" t="s">
        <v>1275</v>
      </c>
      <c r="F4230" t="s">
        <v>92</v>
      </c>
      <c r="G4230">
        <v>6519.5146804552296</v>
      </c>
      <c r="H4230" t="s">
        <v>248</v>
      </c>
      <c r="I4230">
        <v>0</v>
      </c>
      <c r="J4230">
        <v>0</v>
      </c>
      <c r="K4230">
        <v>0</v>
      </c>
      <c r="L4230">
        <v>0</v>
      </c>
      <c r="M4230" t="s">
        <v>187</v>
      </c>
      <c r="N4230">
        <v>14535.940491809</v>
      </c>
      <c r="O4230" t="s">
        <v>248</v>
      </c>
      <c r="P4230" t="b">
        <v>1</v>
      </c>
      <c r="Q4230">
        <v>6532.143659940305</v>
      </c>
      <c r="R4230">
        <v>35578.617229477117</v>
      </c>
      <c r="S4230">
        <v>-6.8652380512465649</v>
      </c>
      <c r="T4230">
        <v>78.828648668213987</v>
      </c>
      <c r="U4230">
        <v>0</v>
      </c>
      <c r="V4230">
        <v>0</v>
      </c>
    </row>
    <row r="4231" spans="1:22" x14ac:dyDescent="0.2">
      <c r="A4231"/>
      <c r="B4231">
        <v>75518</v>
      </c>
      <c r="C4231" t="s">
        <v>889</v>
      </c>
      <c r="D4231" t="s">
        <v>920</v>
      </c>
      <c r="E4231" t="s">
        <v>1275</v>
      </c>
      <c r="F4231" t="s">
        <v>92</v>
      </c>
      <c r="G4231">
        <v>6666.7485259940313</v>
      </c>
      <c r="H4231" t="s">
        <v>248</v>
      </c>
      <c r="I4231">
        <v>0</v>
      </c>
      <c r="J4231">
        <v>0</v>
      </c>
      <c r="K4231">
        <v>0</v>
      </c>
      <c r="L4231">
        <v>0</v>
      </c>
      <c r="M4231" t="s">
        <v>187</v>
      </c>
      <c r="N4231">
        <v>14683.1743373478</v>
      </c>
      <c r="O4231" t="s">
        <v>248</v>
      </c>
      <c r="P4231" t="b">
        <v>1</v>
      </c>
      <c r="Q4231">
        <v>6561.4010204754914</v>
      </c>
      <c r="R4231">
        <v>35722.907437064096</v>
      </c>
      <c r="S4231">
        <v>-5.5622567826325859</v>
      </c>
      <c r="T4231">
        <v>77.767201801016469</v>
      </c>
      <c r="U4231">
        <v>0</v>
      </c>
      <c r="V4231">
        <v>0</v>
      </c>
    </row>
    <row r="4232" spans="1:22" x14ac:dyDescent="0.2">
      <c r="A4232"/>
      <c r="B4232">
        <v>75519</v>
      </c>
      <c r="C4232" t="s">
        <v>890</v>
      </c>
      <c r="D4232" t="s">
        <v>920</v>
      </c>
      <c r="E4232" t="s">
        <v>1275</v>
      </c>
      <c r="F4232" t="s">
        <v>92</v>
      </c>
      <c r="G4232">
        <v>6784.5356024250304</v>
      </c>
      <c r="H4232" t="s">
        <v>248</v>
      </c>
      <c r="I4232">
        <v>0</v>
      </c>
      <c r="J4232">
        <v>0</v>
      </c>
      <c r="K4232">
        <v>0</v>
      </c>
      <c r="L4232">
        <v>0</v>
      </c>
      <c r="M4232" t="s">
        <v>187</v>
      </c>
      <c r="N4232">
        <v>14800.961413778799</v>
      </c>
      <c r="O4232" t="s">
        <v>248</v>
      </c>
      <c r="P4232" t="b">
        <v>1</v>
      </c>
      <c r="Q4232">
        <v>6584.1671812401155</v>
      </c>
      <c r="R4232">
        <v>35838.420857928133</v>
      </c>
      <c r="S4232">
        <v>-4.4942434725039835</v>
      </c>
      <c r="T4232">
        <v>82.111076124385065</v>
      </c>
      <c r="U4232">
        <v>0</v>
      </c>
      <c r="V4232">
        <v>0</v>
      </c>
    </row>
    <row r="4233" spans="1:22" x14ac:dyDescent="0.2">
      <c r="A4233"/>
      <c r="B4233">
        <v>75520</v>
      </c>
      <c r="C4233" t="s">
        <v>891</v>
      </c>
      <c r="D4233" t="s">
        <v>920</v>
      </c>
      <c r="E4233" t="s">
        <v>1275</v>
      </c>
      <c r="F4233" t="s">
        <v>92</v>
      </c>
      <c r="G4233">
        <v>6805.1483408004297</v>
      </c>
      <c r="H4233" t="s">
        <v>248</v>
      </c>
      <c r="I4233">
        <v>0</v>
      </c>
      <c r="J4233">
        <v>0</v>
      </c>
      <c r="K4233">
        <v>0</v>
      </c>
      <c r="L4233">
        <v>0</v>
      </c>
      <c r="M4233" t="s">
        <v>187</v>
      </c>
      <c r="N4233">
        <v>14821.5741521542</v>
      </c>
      <c r="O4233" t="s">
        <v>248</v>
      </c>
      <c r="P4233" t="b">
        <v>1</v>
      </c>
      <c r="Q4233">
        <v>6586.827398961319</v>
      </c>
      <c r="R4233">
        <v>35858.860290878423</v>
      </c>
      <c r="S4233">
        <v>-4.3198163596494643</v>
      </c>
      <c r="T4233">
        <v>82.867610086095269</v>
      </c>
      <c r="U4233">
        <v>0</v>
      </c>
      <c r="V4233">
        <v>0</v>
      </c>
    </row>
    <row r="4234" spans="1:22" x14ac:dyDescent="0.2">
      <c r="A4234"/>
      <c r="B4234">
        <v>75521</v>
      </c>
      <c r="C4234" t="s">
        <v>892</v>
      </c>
      <c r="D4234" t="s">
        <v>920</v>
      </c>
      <c r="E4234" t="s">
        <v>1275</v>
      </c>
      <c r="F4234" t="s">
        <v>92</v>
      </c>
      <c r="G4234">
        <v>6898.9853783571289</v>
      </c>
      <c r="H4234" t="s">
        <v>248</v>
      </c>
      <c r="I4234">
        <v>0</v>
      </c>
      <c r="J4234">
        <v>0</v>
      </c>
      <c r="K4234">
        <v>0</v>
      </c>
      <c r="L4234">
        <v>0</v>
      </c>
      <c r="M4234" t="s">
        <v>187</v>
      </c>
      <c r="N4234">
        <v>14915.4111897109</v>
      </c>
      <c r="O4234" t="s">
        <v>248</v>
      </c>
      <c r="P4234" t="b">
        <v>1</v>
      </c>
      <c r="Q4234">
        <v>6601.9720965632823</v>
      </c>
      <c r="R4234">
        <v>35951.434458227843</v>
      </c>
      <c r="S4234">
        <v>-3.9780702963196983</v>
      </c>
      <c r="T4234">
        <v>79.055036889548148</v>
      </c>
      <c r="U4234">
        <v>0</v>
      </c>
      <c r="V4234">
        <v>0</v>
      </c>
    </row>
    <row r="4235" spans="1:22" x14ac:dyDescent="0.2">
      <c r="A4235"/>
      <c r="B4235">
        <v>75522</v>
      </c>
      <c r="C4235" t="s">
        <v>893</v>
      </c>
      <c r="D4235" t="s">
        <v>920</v>
      </c>
      <c r="E4235" t="s">
        <v>1275</v>
      </c>
      <c r="F4235" t="s">
        <v>92</v>
      </c>
      <c r="G4235">
        <v>6913.571344655129</v>
      </c>
      <c r="H4235" t="s">
        <v>248</v>
      </c>
      <c r="I4235">
        <v>0</v>
      </c>
      <c r="J4235">
        <v>0</v>
      </c>
      <c r="K4235">
        <v>0</v>
      </c>
      <c r="L4235">
        <v>0</v>
      </c>
      <c r="M4235" t="s">
        <v>187</v>
      </c>
      <c r="N4235">
        <v>14929.9971560089</v>
      </c>
      <c r="O4235" t="s">
        <v>248</v>
      </c>
      <c r="P4235" t="b">
        <v>1</v>
      </c>
      <c r="Q4235">
        <v>6604.7452963339292</v>
      </c>
      <c r="R4235">
        <v>35965.754366343361</v>
      </c>
      <c r="S4235">
        <v>-3.9770730326612291</v>
      </c>
      <c r="T4235">
        <v>79.028039052279766</v>
      </c>
      <c r="U4235">
        <v>0</v>
      </c>
      <c r="V4235">
        <v>0</v>
      </c>
    </row>
    <row r="4236" spans="1:22" x14ac:dyDescent="0.2">
      <c r="A4236"/>
      <c r="B4236">
        <v>75523</v>
      </c>
      <c r="C4236" t="s">
        <v>894</v>
      </c>
      <c r="D4236" t="s">
        <v>920</v>
      </c>
      <c r="E4236" t="s">
        <v>1275</v>
      </c>
      <c r="F4236" t="s">
        <v>92</v>
      </c>
      <c r="G4236">
        <v>6916.5160215659289</v>
      </c>
      <c r="H4236" t="s">
        <v>248</v>
      </c>
      <c r="I4236">
        <v>0</v>
      </c>
      <c r="J4236">
        <v>0</v>
      </c>
      <c r="K4236">
        <v>0</v>
      </c>
      <c r="L4236">
        <v>0</v>
      </c>
      <c r="M4236" t="s">
        <v>187</v>
      </c>
      <c r="N4236">
        <v>14932.9418329197</v>
      </c>
      <c r="O4236" t="s">
        <v>248</v>
      </c>
      <c r="P4236" t="b">
        <v>1</v>
      </c>
      <c r="Q4236">
        <v>6605.3058510376959</v>
      </c>
      <c r="R4236">
        <v>35968.645196714111</v>
      </c>
      <c r="S4236">
        <v>-3.9765277460877595</v>
      </c>
      <c r="T4236">
        <v>79.024156516979787</v>
      </c>
      <c r="U4236">
        <v>0</v>
      </c>
      <c r="V4236">
        <v>0</v>
      </c>
    </row>
    <row r="4237" spans="1:22" x14ac:dyDescent="0.2">
      <c r="A4237"/>
      <c r="B4237">
        <v>75524</v>
      </c>
      <c r="C4237" t="s">
        <v>895</v>
      </c>
      <c r="D4237" t="s">
        <v>920</v>
      </c>
      <c r="E4237" t="s">
        <v>1275</v>
      </c>
      <c r="F4237" t="s">
        <v>92</v>
      </c>
      <c r="G4237">
        <v>6936.0686762534297</v>
      </c>
      <c r="H4237" t="s">
        <v>248</v>
      </c>
      <c r="I4237">
        <v>0</v>
      </c>
      <c r="J4237">
        <v>0</v>
      </c>
      <c r="K4237">
        <v>0</v>
      </c>
      <c r="L4237">
        <v>0</v>
      </c>
      <c r="M4237" t="s">
        <v>187</v>
      </c>
      <c r="N4237">
        <v>14952.4944876072</v>
      </c>
      <c r="O4237" t="s">
        <v>248</v>
      </c>
      <c r="P4237" t="b">
        <v>1</v>
      </c>
      <c r="Q4237">
        <v>6609.032494907794</v>
      </c>
      <c r="R4237">
        <v>35987.839425366677</v>
      </c>
      <c r="S4237">
        <v>-3.9730125433028487</v>
      </c>
      <c r="T4237">
        <v>79.00177404205678</v>
      </c>
      <c r="U4237">
        <v>0</v>
      </c>
      <c r="V4237">
        <v>0</v>
      </c>
    </row>
    <row r="4238" spans="1:22" x14ac:dyDescent="0.2">
      <c r="A4238"/>
      <c r="B4238">
        <v>75525</v>
      </c>
      <c r="C4238" t="s">
        <v>896</v>
      </c>
      <c r="D4238" t="s">
        <v>920</v>
      </c>
      <c r="E4238" t="s">
        <v>1275</v>
      </c>
      <c r="F4238" t="s">
        <v>92</v>
      </c>
      <c r="G4238">
        <v>6939.0133531642296</v>
      </c>
      <c r="H4238" t="s">
        <v>248</v>
      </c>
      <c r="I4238">
        <v>0</v>
      </c>
      <c r="J4238">
        <v>0</v>
      </c>
      <c r="K4238">
        <v>0</v>
      </c>
      <c r="L4238">
        <v>0</v>
      </c>
      <c r="M4238" t="s">
        <v>187</v>
      </c>
      <c r="N4238">
        <v>14955.439164518</v>
      </c>
      <c r="O4238" t="s">
        <v>248</v>
      </c>
      <c r="P4238" t="b">
        <v>1</v>
      </c>
      <c r="Q4238">
        <v>6609.594348927606</v>
      </c>
      <c r="R4238">
        <v>35990.730003492921</v>
      </c>
      <c r="S4238">
        <v>-3.9724990339212862</v>
      </c>
      <c r="T4238">
        <v>78.998914868042533</v>
      </c>
      <c r="U4238">
        <v>0</v>
      </c>
      <c r="V4238">
        <v>0</v>
      </c>
    </row>
    <row r="4239" spans="1:22" x14ac:dyDescent="0.2">
      <c r="A4239"/>
      <c r="B4239">
        <v>75526</v>
      </c>
      <c r="C4239" t="s">
        <v>897</v>
      </c>
      <c r="D4239" t="s">
        <v>920</v>
      </c>
      <c r="E4239" t="s">
        <v>1275</v>
      </c>
      <c r="F4239" t="s">
        <v>92</v>
      </c>
      <c r="G4239">
        <v>6995.9634046186311</v>
      </c>
      <c r="H4239" t="s">
        <v>248</v>
      </c>
      <c r="I4239">
        <v>0</v>
      </c>
      <c r="J4239">
        <v>0</v>
      </c>
      <c r="K4239">
        <v>0</v>
      </c>
      <c r="L4239">
        <v>0</v>
      </c>
      <c r="M4239" t="s">
        <v>187</v>
      </c>
      <c r="N4239">
        <v>15012.3892159724</v>
      </c>
      <c r="O4239" t="s">
        <v>248</v>
      </c>
      <c r="P4239" t="b">
        <v>1</v>
      </c>
      <c r="Q4239">
        <v>6620.4801861300066</v>
      </c>
      <c r="R4239">
        <v>36046.629974453215</v>
      </c>
      <c r="S4239">
        <v>-3.9633858490464089</v>
      </c>
      <c r="T4239">
        <v>78.969964343117582</v>
      </c>
      <c r="U4239">
        <v>0</v>
      </c>
      <c r="V4239">
        <v>0</v>
      </c>
    </row>
    <row r="4240" spans="1:22" x14ac:dyDescent="0.2">
      <c r="A4240"/>
      <c r="B4240">
        <v>75527</v>
      </c>
      <c r="C4240" t="s">
        <v>898</v>
      </c>
      <c r="D4240" t="s">
        <v>920</v>
      </c>
      <c r="E4240" t="s">
        <v>1275</v>
      </c>
      <c r="F4240" t="s">
        <v>92</v>
      </c>
      <c r="G4240">
        <v>7030.4161244747283</v>
      </c>
      <c r="H4240" t="s">
        <v>248</v>
      </c>
      <c r="I4240">
        <v>0</v>
      </c>
      <c r="J4240">
        <v>0</v>
      </c>
      <c r="K4240">
        <v>0</v>
      </c>
      <c r="L4240">
        <v>0</v>
      </c>
      <c r="M4240" t="s">
        <v>187</v>
      </c>
      <c r="N4240">
        <v>15046.841935828499</v>
      </c>
      <c r="O4240" t="s">
        <v>248</v>
      </c>
      <c r="P4240" t="b">
        <v>1</v>
      </c>
      <c r="Q4240">
        <v>6627.0706955894375</v>
      </c>
      <c r="R4240">
        <v>36080.446465494097</v>
      </c>
      <c r="S4240">
        <v>-3.9586279678818581</v>
      </c>
      <c r="T4240">
        <v>78.976773102928377</v>
      </c>
      <c r="U4240">
        <v>0</v>
      </c>
      <c r="V4240">
        <v>0</v>
      </c>
    </row>
    <row r="4241" spans="1:22" x14ac:dyDescent="0.2">
      <c r="A4241"/>
      <c r="B4241">
        <v>75528</v>
      </c>
      <c r="C4241" t="s">
        <v>899</v>
      </c>
      <c r="D4241" t="s">
        <v>920</v>
      </c>
      <c r="E4241" t="s">
        <v>1275</v>
      </c>
      <c r="F4241" t="s">
        <v>92</v>
      </c>
      <c r="G4241">
        <v>7033.36080138543</v>
      </c>
      <c r="H4241" t="s">
        <v>248</v>
      </c>
      <c r="I4241">
        <v>0</v>
      </c>
      <c r="J4241">
        <v>0</v>
      </c>
      <c r="K4241">
        <v>0</v>
      </c>
      <c r="L4241">
        <v>0</v>
      </c>
      <c r="M4241" t="s">
        <v>187</v>
      </c>
      <c r="N4241">
        <v>15049.786612739201</v>
      </c>
      <c r="O4241" t="s">
        <v>248</v>
      </c>
      <c r="P4241" t="b">
        <v>1</v>
      </c>
      <c r="Q4241">
        <v>6627.6337026103756</v>
      </c>
      <c r="R4241">
        <v>36083.336819288656</v>
      </c>
      <c r="S4241">
        <v>-3.9582477233101425</v>
      </c>
      <c r="T4241">
        <v>78.978205616819224</v>
      </c>
      <c r="U4241">
        <v>0</v>
      </c>
      <c r="V4241">
        <v>0</v>
      </c>
    </row>
    <row r="4242" spans="1:22" x14ac:dyDescent="0.2">
      <c r="A4242"/>
      <c r="B4242">
        <v>75529</v>
      </c>
      <c r="C4242" t="s">
        <v>900</v>
      </c>
      <c r="D4242" t="s">
        <v>920</v>
      </c>
      <c r="E4242" t="s">
        <v>1275</v>
      </c>
      <c r="F4242" t="s">
        <v>92</v>
      </c>
      <c r="G4242">
        <v>7052.913456073029</v>
      </c>
      <c r="H4242" t="s">
        <v>248</v>
      </c>
      <c r="I4242">
        <v>0</v>
      </c>
      <c r="J4242">
        <v>0</v>
      </c>
      <c r="K4242">
        <v>0</v>
      </c>
      <c r="L4242">
        <v>0</v>
      </c>
      <c r="M4242" t="s">
        <v>187</v>
      </c>
      <c r="N4242">
        <v>15069.3392674268</v>
      </c>
      <c r="O4242" t="s">
        <v>248</v>
      </c>
      <c r="P4242" t="b">
        <v>1</v>
      </c>
      <c r="Q4242">
        <v>6631.3698282972409</v>
      </c>
      <c r="R4242">
        <v>36102.529204828388</v>
      </c>
      <c r="S4242">
        <v>-3.9558283980198947</v>
      </c>
      <c r="T4242">
        <v>78.991115068523342</v>
      </c>
      <c r="U4242">
        <v>0</v>
      </c>
      <c r="V4242">
        <v>0</v>
      </c>
    </row>
    <row r="4243" spans="1:22" x14ac:dyDescent="0.2">
      <c r="A4243"/>
      <c r="B4243">
        <v>75530</v>
      </c>
      <c r="C4243" t="s">
        <v>901</v>
      </c>
      <c r="D4243" t="s">
        <v>920</v>
      </c>
      <c r="E4243" t="s">
        <v>1275</v>
      </c>
      <c r="F4243" t="s">
        <v>92</v>
      </c>
      <c r="G4243">
        <v>7055.8581329837307</v>
      </c>
      <c r="H4243" t="s">
        <v>248</v>
      </c>
      <c r="I4243">
        <v>0</v>
      </c>
      <c r="J4243">
        <v>0</v>
      </c>
      <c r="K4243">
        <v>0</v>
      </c>
      <c r="L4243">
        <v>0</v>
      </c>
      <c r="M4243" t="s">
        <v>187</v>
      </c>
      <c r="N4243">
        <v>15072.2839443375</v>
      </c>
      <c r="O4243" t="s">
        <v>248</v>
      </c>
      <c r="P4243" t="b">
        <v>1</v>
      </c>
      <c r="Q4243">
        <v>6631.9320859901263</v>
      </c>
      <c r="R4243">
        <v>36105.41970448631</v>
      </c>
      <c r="S4243">
        <v>-3.9554799304072557</v>
      </c>
      <c r="T4243">
        <v>78.993570943699893</v>
      </c>
      <c r="U4243">
        <v>0</v>
      </c>
      <c r="V4243">
        <v>0</v>
      </c>
    </row>
    <row r="4244" spans="1:22" x14ac:dyDescent="0.2">
      <c r="A4244"/>
      <c r="B4244">
        <v>75531</v>
      </c>
      <c r="C4244" t="s">
        <v>902</v>
      </c>
      <c r="D4244" t="s">
        <v>920</v>
      </c>
      <c r="E4244" t="s">
        <v>1275</v>
      </c>
      <c r="F4244" t="s">
        <v>92</v>
      </c>
      <c r="G4244">
        <v>7107.3114542047315</v>
      </c>
      <c r="H4244" t="s">
        <v>248</v>
      </c>
      <c r="I4244">
        <v>0</v>
      </c>
      <c r="J4244">
        <v>0</v>
      </c>
      <c r="K4244">
        <v>0</v>
      </c>
      <c r="L4244">
        <v>0</v>
      </c>
      <c r="M4244" t="s">
        <v>187</v>
      </c>
      <c r="N4244">
        <v>15123.7372655585</v>
      </c>
      <c r="O4244" t="s">
        <v>248</v>
      </c>
      <c r="P4244" t="b">
        <v>1</v>
      </c>
      <c r="Q4244">
        <v>6641.7173185872725</v>
      </c>
      <c r="R4244">
        <v>36155.933983938601</v>
      </c>
      <c r="S4244">
        <v>-3.9615015027682325</v>
      </c>
      <c r="T4244">
        <v>79.109024851511748</v>
      </c>
      <c r="U4244">
        <v>0</v>
      </c>
      <c r="V4244">
        <v>0</v>
      </c>
    </row>
    <row r="4245" spans="1:22" x14ac:dyDescent="0.2">
      <c r="A4245"/>
      <c r="B4245">
        <v>75532</v>
      </c>
      <c r="C4245" t="s">
        <v>903</v>
      </c>
      <c r="D4245" t="s">
        <v>920</v>
      </c>
      <c r="E4245" t="s">
        <v>1275</v>
      </c>
      <c r="F4245" t="s">
        <v>92</v>
      </c>
      <c r="G4245">
        <v>7156.3501403588289</v>
      </c>
      <c r="H4245" t="s">
        <v>248</v>
      </c>
      <c r="I4245">
        <v>0</v>
      </c>
      <c r="J4245">
        <v>0</v>
      </c>
      <c r="K4245">
        <v>0</v>
      </c>
      <c r="L4245">
        <v>0</v>
      </c>
      <c r="M4245" t="s">
        <v>187</v>
      </c>
      <c r="N4245">
        <v>15172.7759517126</v>
      </c>
      <c r="O4245" t="s">
        <v>248</v>
      </c>
      <c r="P4245" t="b">
        <v>1</v>
      </c>
      <c r="Q4245">
        <v>6650.9002863742371</v>
      </c>
      <c r="R4245">
        <v>36204.10517067746</v>
      </c>
      <c r="S4245">
        <v>-3.9698006778039407</v>
      </c>
      <c r="T4245">
        <v>79.307953193830016</v>
      </c>
      <c r="U4245">
        <v>0</v>
      </c>
      <c r="V4245">
        <v>0</v>
      </c>
    </row>
    <row r="4246" spans="1:22" x14ac:dyDescent="0.2">
      <c r="A4246"/>
      <c r="B4246">
        <v>75533</v>
      </c>
      <c r="C4246" t="s">
        <v>904</v>
      </c>
      <c r="D4246" t="s">
        <v>920</v>
      </c>
      <c r="E4246" t="s">
        <v>1275</v>
      </c>
      <c r="F4246" t="s">
        <v>92</v>
      </c>
      <c r="G4246">
        <v>7176.9628787342317</v>
      </c>
      <c r="H4246" t="s">
        <v>248</v>
      </c>
      <c r="I4246">
        <v>0</v>
      </c>
      <c r="J4246">
        <v>0</v>
      </c>
      <c r="K4246">
        <v>0</v>
      </c>
      <c r="L4246">
        <v>0</v>
      </c>
      <c r="M4246" t="s">
        <v>187</v>
      </c>
      <c r="N4246">
        <v>15193.388690088001</v>
      </c>
      <c r="O4246" t="s">
        <v>248</v>
      </c>
      <c r="P4246" t="b">
        <v>1</v>
      </c>
      <c r="Q4246">
        <v>6654.7130967328349</v>
      </c>
      <c r="R4246">
        <v>36224.36220451953</v>
      </c>
      <c r="S4246">
        <v>-3.9692481145452612</v>
      </c>
      <c r="T4246">
        <v>79.368369766380866</v>
      </c>
      <c r="U4246">
        <v>0</v>
      </c>
      <c r="V4246">
        <v>0</v>
      </c>
    </row>
    <row r="4247" spans="1:22" x14ac:dyDescent="0.2">
      <c r="A4247"/>
      <c r="B4247">
        <v>75534</v>
      </c>
      <c r="C4247" t="s">
        <v>905</v>
      </c>
      <c r="D4247" t="s">
        <v>920</v>
      </c>
      <c r="E4247" t="s">
        <v>1275</v>
      </c>
      <c r="F4247" t="s">
        <v>92</v>
      </c>
      <c r="G4247">
        <v>7197.5756171096309</v>
      </c>
      <c r="H4247" t="s">
        <v>248</v>
      </c>
      <c r="I4247">
        <v>0</v>
      </c>
      <c r="J4247">
        <v>0</v>
      </c>
      <c r="K4247">
        <v>0</v>
      </c>
      <c r="L4247">
        <v>0</v>
      </c>
      <c r="M4247" t="s">
        <v>187</v>
      </c>
      <c r="N4247">
        <v>15214.0014284634</v>
      </c>
      <c r="O4247" t="s">
        <v>248</v>
      </c>
      <c r="P4247" t="b">
        <v>1</v>
      </c>
      <c r="Q4247">
        <v>6658.5093197647193</v>
      </c>
      <c r="R4247">
        <v>36244.622353840641</v>
      </c>
      <c r="S4247">
        <v>-3.9659733515713733</v>
      </c>
      <c r="T4247">
        <v>79.401778877291235</v>
      </c>
      <c r="U4247">
        <v>0</v>
      </c>
      <c r="V4247">
        <v>0</v>
      </c>
    </row>
    <row r="4248" spans="1:22" x14ac:dyDescent="0.2">
      <c r="A4248"/>
      <c r="B4248">
        <v>75535</v>
      </c>
      <c r="C4248" t="s">
        <v>906</v>
      </c>
      <c r="D4248" t="s">
        <v>920</v>
      </c>
      <c r="E4248" t="s">
        <v>1275</v>
      </c>
      <c r="F4248" t="s">
        <v>118</v>
      </c>
      <c r="G4248">
        <v>29.056263050856217</v>
      </c>
      <c r="H4248" t="s">
        <v>248</v>
      </c>
      <c r="I4248">
        <v>0</v>
      </c>
      <c r="J4248">
        <v>0</v>
      </c>
      <c r="K4248">
        <v>0</v>
      </c>
      <c r="L4248">
        <v>0</v>
      </c>
      <c r="M4248" t="s">
        <v>187</v>
      </c>
      <c r="N4248">
        <v>15346.949171615001</v>
      </c>
      <c r="O4248" t="s">
        <v>248</v>
      </c>
      <c r="P4248" t="b">
        <v>1</v>
      </c>
      <c r="Q4248">
        <v>6682.9573930264123</v>
      </c>
      <c r="R4248">
        <v>36375.302844941943</v>
      </c>
      <c r="S4248">
        <v>-3.9643357963918437</v>
      </c>
      <c r="T4248">
        <v>79.455668126427767</v>
      </c>
      <c r="U4248">
        <v>0</v>
      </c>
      <c r="V4248">
        <v>0</v>
      </c>
    </row>
    <row r="4249" spans="1:22" x14ac:dyDescent="0.2">
      <c r="A4249"/>
      <c r="B4249">
        <v>75536</v>
      </c>
      <c r="C4249" t="s">
        <v>907</v>
      </c>
      <c r="D4249" t="s">
        <v>920</v>
      </c>
      <c r="E4249" t="s">
        <v>1275</v>
      </c>
      <c r="F4249" t="s">
        <v>118</v>
      </c>
      <c r="G4249">
        <v>68.609056233656304</v>
      </c>
      <c r="H4249" t="s">
        <v>248</v>
      </c>
      <c r="I4249">
        <v>0</v>
      </c>
      <c r="J4249">
        <v>0</v>
      </c>
      <c r="K4249">
        <v>0</v>
      </c>
      <c r="L4249">
        <v>0</v>
      </c>
      <c r="M4249" t="s">
        <v>187</v>
      </c>
      <c r="N4249">
        <v>15386.501964797801</v>
      </c>
      <c r="O4249" t="s">
        <v>248</v>
      </c>
      <c r="P4249" t="b">
        <v>1</v>
      </c>
      <c r="Q4249">
        <v>6690.3022939353332</v>
      </c>
      <c r="R4249">
        <v>36414.167586630116</v>
      </c>
      <c r="S4249">
        <v>-3.965967809488085</v>
      </c>
      <c r="T4249">
        <v>79.023928426352228</v>
      </c>
      <c r="U4249">
        <v>0</v>
      </c>
      <c r="V4249">
        <v>0</v>
      </c>
    </row>
    <row r="4250" spans="1:22" x14ac:dyDescent="0.2">
      <c r="A4250"/>
      <c r="B4250">
        <v>75537</v>
      </c>
      <c r="C4250" t="s">
        <v>908</v>
      </c>
      <c r="D4250" t="s">
        <v>920</v>
      </c>
      <c r="E4250" t="s">
        <v>1275</v>
      </c>
      <c r="F4250" t="s">
        <v>118</v>
      </c>
      <c r="G4250">
        <v>85.40889188525631</v>
      </c>
      <c r="H4250" t="s">
        <v>248</v>
      </c>
      <c r="I4250">
        <v>0</v>
      </c>
      <c r="J4250">
        <v>0</v>
      </c>
      <c r="K4250">
        <v>0</v>
      </c>
      <c r="L4250">
        <v>0</v>
      </c>
      <c r="M4250" t="s">
        <v>187</v>
      </c>
      <c r="N4250">
        <v>15403.301800449401</v>
      </c>
      <c r="O4250" t="s">
        <v>248</v>
      </c>
      <c r="P4250" t="b">
        <v>1</v>
      </c>
      <c r="Q4250">
        <v>6693.5432094266889</v>
      </c>
      <c r="R4250">
        <v>36430.651833462034</v>
      </c>
      <c r="S4250">
        <v>-3.9736878552001111</v>
      </c>
      <c r="T4250">
        <v>78.77303456061297</v>
      </c>
      <c r="U4250">
        <v>0</v>
      </c>
      <c r="V4250">
        <v>0</v>
      </c>
    </row>
    <row r="4251" spans="1:22" x14ac:dyDescent="0.2">
      <c r="A4251"/>
      <c r="B4251">
        <v>75538</v>
      </c>
      <c r="C4251" t="s">
        <v>916</v>
      </c>
      <c r="D4251" t="s">
        <v>920</v>
      </c>
      <c r="E4251" t="s">
        <v>1275</v>
      </c>
      <c r="F4251" t="s">
        <v>118</v>
      </c>
      <c r="G4251">
        <v>138.26866338735505</v>
      </c>
      <c r="H4251" t="s">
        <v>248</v>
      </c>
      <c r="I4251">
        <v>0</v>
      </c>
      <c r="J4251">
        <v>0</v>
      </c>
      <c r="K4251">
        <v>0</v>
      </c>
      <c r="L4251">
        <v>0</v>
      </c>
      <c r="M4251" t="s">
        <v>187</v>
      </c>
      <c r="N4251">
        <v>15456.161571951499</v>
      </c>
      <c r="O4251" t="s">
        <v>248</v>
      </c>
      <c r="P4251" t="b">
        <v>1</v>
      </c>
      <c r="Q4251">
        <v>6705.9507435677278</v>
      </c>
      <c r="R4251">
        <v>36482.012963128131</v>
      </c>
      <c r="S4251">
        <v>-4.5318279004824866</v>
      </c>
      <c r="T4251">
        <v>73.851181626442497</v>
      </c>
      <c r="U4251">
        <v>0</v>
      </c>
      <c r="V4251">
        <v>0</v>
      </c>
    </row>
    <row r="4252" spans="1:22" x14ac:dyDescent="0.2">
      <c r="A4252"/>
      <c r="B4252">
        <v>75539</v>
      </c>
      <c r="C4252" t="s">
        <v>909</v>
      </c>
      <c r="D4252" t="s">
        <v>920</v>
      </c>
      <c r="E4252" t="s">
        <v>1275</v>
      </c>
      <c r="F4252" t="s">
        <v>118</v>
      </c>
      <c r="G4252">
        <v>165.26871993695619</v>
      </c>
      <c r="H4252" t="s">
        <v>248</v>
      </c>
      <c r="I4252">
        <v>0</v>
      </c>
      <c r="J4252">
        <v>0</v>
      </c>
      <c r="K4252">
        <v>0</v>
      </c>
      <c r="L4252">
        <v>0</v>
      </c>
      <c r="M4252" t="s">
        <v>187</v>
      </c>
      <c r="N4252">
        <v>15483.1616285011</v>
      </c>
      <c r="O4252" t="s">
        <v>248</v>
      </c>
      <c r="P4252" t="b">
        <v>1</v>
      </c>
      <c r="Q4252">
        <v>6714.0535213751509</v>
      </c>
      <c r="R4252">
        <v>36507.75700645196</v>
      </c>
      <c r="S4252">
        <v>-5.2077563413715247</v>
      </c>
      <c r="T4252">
        <v>71.20407139592588</v>
      </c>
      <c r="U4252">
        <v>0</v>
      </c>
      <c r="V4252">
        <v>0</v>
      </c>
    </row>
    <row r="4253" spans="1:22" x14ac:dyDescent="0.2">
      <c r="A4253"/>
      <c r="B4253">
        <v>75540</v>
      </c>
      <c r="C4253" t="s">
        <v>910</v>
      </c>
      <c r="D4253" t="s">
        <v>920</v>
      </c>
      <c r="E4253" t="s">
        <v>1275</v>
      </c>
      <c r="F4253" t="s">
        <v>118</v>
      </c>
      <c r="G4253">
        <v>176.20522438565837</v>
      </c>
      <c r="H4253" t="s">
        <v>248</v>
      </c>
      <c r="I4253">
        <v>0</v>
      </c>
      <c r="J4253">
        <v>0</v>
      </c>
      <c r="K4253">
        <v>0</v>
      </c>
      <c r="L4253">
        <v>0</v>
      </c>
      <c r="M4253" t="s">
        <v>187</v>
      </c>
      <c r="N4253">
        <v>15494.098132949801</v>
      </c>
      <c r="O4253" t="s">
        <v>248</v>
      </c>
      <c r="P4253" t="b">
        <v>1</v>
      </c>
      <c r="Q4253">
        <v>6717.6725651655952</v>
      </c>
      <c r="R4253">
        <v>36518.071866342361</v>
      </c>
      <c r="S4253">
        <v>-5.5391228513134454</v>
      </c>
      <c r="T4253">
        <v>70.12813116642792</v>
      </c>
      <c r="U4253">
        <v>0</v>
      </c>
      <c r="V4253">
        <v>0</v>
      </c>
    </row>
    <row r="4254" spans="1:22" x14ac:dyDescent="0.2">
      <c r="A4254"/>
      <c r="B4254">
        <v>75541</v>
      </c>
      <c r="C4254" t="s">
        <v>911</v>
      </c>
      <c r="D4254" t="s">
        <v>920</v>
      </c>
      <c r="E4254" t="s">
        <v>1275</v>
      </c>
      <c r="F4254" t="s">
        <v>118</v>
      </c>
      <c r="G4254">
        <v>206.30305928885588</v>
      </c>
      <c r="H4254" t="s">
        <v>248</v>
      </c>
      <c r="I4254">
        <v>0</v>
      </c>
      <c r="J4254">
        <v>0</v>
      </c>
      <c r="K4254">
        <v>0</v>
      </c>
      <c r="L4254">
        <v>0</v>
      </c>
      <c r="M4254" t="s">
        <v>187</v>
      </c>
      <c r="N4254">
        <v>15524.195967853</v>
      </c>
      <c r="O4254" t="s">
        <v>248</v>
      </c>
      <c r="P4254" t="b">
        <v>1</v>
      </c>
      <c r="Q4254">
        <v>6728.625965565865</v>
      </c>
      <c r="R4254">
        <v>36546.086675570863</v>
      </c>
      <c r="S4254">
        <v>-6.4722830916752034</v>
      </c>
      <c r="T4254">
        <v>67.160673250741596</v>
      </c>
      <c r="U4254">
        <v>0</v>
      </c>
      <c r="V4254">
        <v>0</v>
      </c>
    </row>
    <row r="4255" spans="1:22" x14ac:dyDescent="0.2">
      <c r="A4255"/>
      <c r="B4255">
        <v>75542</v>
      </c>
      <c r="C4255" t="s">
        <v>912</v>
      </c>
      <c r="D4255" t="s">
        <v>920</v>
      </c>
      <c r="E4255" t="s">
        <v>1275</v>
      </c>
      <c r="F4255" t="s">
        <v>118</v>
      </c>
      <c r="G4255">
        <v>217.36527068535594</v>
      </c>
      <c r="H4255" t="s">
        <v>248</v>
      </c>
      <c r="I4255">
        <v>0</v>
      </c>
      <c r="J4255">
        <v>0</v>
      </c>
      <c r="K4255">
        <v>0</v>
      </c>
      <c r="L4255">
        <v>0</v>
      </c>
      <c r="M4255" t="s">
        <v>187</v>
      </c>
      <c r="N4255">
        <v>15535.2581792495</v>
      </c>
      <c r="O4255" t="s">
        <v>248</v>
      </c>
      <c r="P4255" t="b">
        <v>1</v>
      </c>
      <c r="Q4255">
        <v>6733.0144972653798</v>
      </c>
      <c r="R4255">
        <v>36556.234906021353</v>
      </c>
      <c r="S4255">
        <v>-6.8230256020932618</v>
      </c>
      <c r="T4255">
        <v>66.067646069768884</v>
      </c>
      <c r="U4255">
        <v>0</v>
      </c>
      <c r="V4255">
        <v>0</v>
      </c>
    </row>
    <row r="4256" spans="1:22" x14ac:dyDescent="0.2">
      <c r="A4256"/>
      <c r="B4256">
        <v>75543</v>
      </c>
      <c r="C4256" t="s">
        <v>913</v>
      </c>
      <c r="D4256" t="s">
        <v>920</v>
      </c>
      <c r="E4256" t="s">
        <v>1275</v>
      </c>
      <c r="F4256" t="s">
        <v>118</v>
      </c>
      <c r="G4256">
        <v>243.08132055485709</v>
      </c>
      <c r="H4256" t="s">
        <v>248</v>
      </c>
      <c r="I4256">
        <v>0</v>
      </c>
      <c r="J4256">
        <v>0</v>
      </c>
      <c r="K4256">
        <v>0</v>
      </c>
      <c r="L4256">
        <v>0</v>
      </c>
      <c r="M4256" t="s">
        <v>187</v>
      </c>
      <c r="N4256">
        <v>15560.974229119</v>
      </c>
      <c r="O4256" t="s">
        <v>248</v>
      </c>
      <c r="P4256" t="b">
        <v>1</v>
      </c>
      <c r="Q4256">
        <v>6743.9591562598489</v>
      </c>
      <c r="R4256">
        <v>36579.488542113861</v>
      </c>
      <c r="S4256">
        <v>-7.6532972521694456</v>
      </c>
      <c r="T4256">
        <v>63.521841912384012</v>
      </c>
      <c r="U4256">
        <v>0</v>
      </c>
      <c r="V4256">
        <v>0</v>
      </c>
    </row>
    <row r="4257" spans="1:22" x14ac:dyDescent="0.2">
      <c r="A4257"/>
      <c r="B4257">
        <v>75544</v>
      </c>
      <c r="C4257" t="s">
        <v>914</v>
      </c>
      <c r="D4257" t="s">
        <v>920</v>
      </c>
      <c r="E4257" t="s">
        <v>1275</v>
      </c>
      <c r="F4257" t="s">
        <v>118</v>
      </c>
      <c r="G4257">
        <v>292.60985794335517</v>
      </c>
      <c r="H4257" t="s">
        <v>248</v>
      </c>
      <c r="I4257">
        <v>0</v>
      </c>
      <c r="J4257">
        <v>0</v>
      </c>
      <c r="K4257">
        <v>0</v>
      </c>
      <c r="L4257">
        <v>0</v>
      </c>
      <c r="M4257" t="s">
        <v>187</v>
      </c>
      <c r="N4257">
        <v>15610.502766507499</v>
      </c>
      <c r="O4257" t="s">
        <v>248</v>
      </c>
      <c r="P4257" t="b">
        <v>1</v>
      </c>
      <c r="Q4257">
        <v>6767.9047441391076</v>
      </c>
      <c r="R4257">
        <v>36622.810048663108</v>
      </c>
      <c r="S4257">
        <v>-8.8281703682455905</v>
      </c>
      <c r="T4257">
        <v>58.621942089206875</v>
      </c>
      <c r="U4257">
        <v>0</v>
      </c>
      <c r="V4257">
        <v>0</v>
      </c>
    </row>
    <row r="4258" spans="1:22" x14ac:dyDescent="0.2">
      <c r="A4258"/>
      <c r="B4258">
        <v>75545</v>
      </c>
      <c r="C4258" t="s">
        <v>915</v>
      </c>
      <c r="D4258" t="s">
        <v>920</v>
      </c>
      <c r="E4258" t="s">
        <v>1275</v>
      </c>
      <c r="F4258" t="s">
        <v>118</v>
      </c>
      <c r="G4258">
        <v>315.09344344385551</v>
      </c>
      <c r="H4258" t="s">
        <v>248</v>
      </c>
      <c r="I4258">
        <v>0</v>
      </c>
      <c r="J4258">
        <v>0</v>
      </c>
      <c r="K4258">
        <v>0</v>
      </c>
      <c r="L4258">
        <v>0</v>
      </c>
      <c r="M4258" t="s">
        <v>187</v>
      </c>
      <c r="N4258">
        <v>15632.986352008</v>
      </c>
      <c r="O4258" t="s">
        <v>248</v>
      </c>
      <c r="P4258" t="b">
        <v>1</v>
      </c>
      <c r="Q4258">
        <v>6779.9772336657634</v>
      </c>
      <c r="R4258">
        <v>36641.774161762638</v>
      </c>
      <c r="S4258">
        <v>-9.081455709881137</v>
      </c>
      <c r="T4258">
        <v>56.419600960147278</v>
      </c>
      <c r="U4258">
        <v>0</v>
      </c>
      <c r="V4258">
        <v>0</v>
      </c>
    </row>
    <row r="4259" spans="1:22" x14ac:dyDescent="0.2">
      <c r="A4259"/>
      <c r="B4259">
        <v>75546</v>
      </c>
      <c r="C4259" t="s">
        <v>1039</v>
      </c>
      <c r="D4259" t="s">
        <v>920</v>
      </c>
      <c r="E4259" t="s">
        <v>1275</v>
      </c>
      <c r="F4259" t="s">
        <v>127</v>
      </c>
      <c r="G4259">
        <v>449.49580803023673</v>
      </c>
      <c r="H4259" t="s">
        <v>248</v>
      </c>
      <c r="I4259">
        <v>0</v>
      </c>
      <c r="J4259">
        <v>0</v>
      </c>
      <c r="K4259">
        <v>0</v>
      </c>
      <c r="L4259">
        <v>0</v>
      </c>
      <c r="M4259" t="s">
        <v>188</v>
      </c>
      <c r="N4259">
        <v>15674.244660341101</v>
      </c>
      <c r="O4259" t="s">
        <v>248</v>
      </c>
      <c r="P4259" t="b">
        <v>1</v>
      </c>
      <c r="Q4259">
        <v>6798.68335641867</v>
      </c>
      <c r="R4259">
        <v>36677.090975428124</v>
      </c>
      <c r="S4259">
        <v>-9.2712682999913625</v>
      </c>
      <c r="T4259">
        <v>53.591780191315571</v>
      </c>
      <c r="U4259">
        <v>0</v>
      </c>
      <c r="V4259">
        <v>0</v>
      </c>
    </row>
    <row r="4260" spans="1:22" x14ac:dyDescent="0.2">
      <c r="A4260"/>
      <c r="B4260">
        <v>75547</v>
      </c>
      <c r="C4260" t="s">
        <v>1038</v>
      </c>
      <c r="D4260" t="s">
        <v>920</v>
      </c>
      <c r="E4260" t="s">
        <v>1275</v>
      </c>
      <c r="F4260" t="s">
        <v>128</v>
      </c>
      <c r="G4260">
        <v>14.707358911080121</v>
      </c>
      <c r="H4260" t="s">
        <v>248</v>
      </c>
      <c r="I4260">
        <v>0</v>
      </c>
      <c r="J4260">
        <v>0</v>
      </c>
      <c r="K4260">
        <v>0</v>
      </c>
      <c r="L4260">
        <v>0</v>
      </c>
      <c r="M4260" t="s">
        <v>188</v>
      </c>
      <c r="N4260">
        <v>15697.6868918747</v>
      </c>
      <c r="O4260" t="s">
        <v>248</v>
      </c>
      <c r="P4260" t="b">
        <v>1</v>
      </c>
      <c r="Q4260">
        <v>6812.7191129282919</v>
      </c>
      <c r="R4260">
        <v>36695.866750330431</v>
      </c>
      <c r="S4260">
        <v>-9.2707670614212265</v>
      </c>
      <c r="T4260">
        <v>52.976175003328258</v>
      </c>
      <c r="U4260">
        <v>0</v>
      </c>
      <c r="V4260">
        <v>0</v>
      </c>
    </row>
    <row r="4261" spans="1:22" x14ac:dyDescent="0.2">
      <c r="A4261"/>
      <c r="B4261">
        <v>75548</v>
      </c>
      <c r="C4261" t="s">
        <v>1040</v>
      </c>
      <c r="D4261" t="s">
        <v>920</v>
      </c>
      <c r="E4261" t="s">
        <v>1275</v>
      </c>
      <c r="F4261" t="s">
        <v>128</v>
      </c>
      <c r="G4261">
        <v>43.930574664078051</v>
      </c>
      <c r="H4261" t="s">
        <v>248</v>
      </c>
      <c r="I4261">
        <v>0</v>
      </c>
      <c r="J4261">
        <v>0</v>
      </c>
      <c r="K4261">
        <v>0</v>
      </c>
      <c r="L4261">
        <v>0</v>
      </c>
      <c r="M4261" t="s">
        <v>188</v>
      </c>
      <c r="N4261">
        <v>15726.9101076277</v>
      </c>
      <c r="O4261" t="s">
        <v>248</v>
      </c>
      <c r="P4261" t="b">
        <v>1</v>
      </c>
      <c r="Q4261">
        <v>6830.2960099508291</v>
      </c>
      <c r="R4261">
        <v>36719.212722336801</v>
      </c>
      <c r="S4261">
        <v>-9.1624213254396683</v>
      </c>
      <c r="T4261">
        <v>53.214514093871074</v>
      </c>
      <c r="U4261">
        <v>0</v>
      </c>
      <c r="V4261">
        <v>0</v>
      </c>
    </row>
    <row r="4262" spans="1:22" x14ac:dyDescent="0.2">
      <c r="A4262"/>
      <c r="B4262">
        <v>76001</v>
      </c>
      <c r="C4262" t="s">
        <v>4280</v>
      </c>
      <c r="D4262" t="s">
        <v>1055</v>
      </c>
      <c r="E4262" t="s">
        <v>1057</v>
      </c>
      <c r="F4262" t="s">
        <v>92</v>
      </c>
      <c r="G4262">
        <v>6224.9</v>
      </c>
      <c r="H4262" t="s">
        <v>1270</v>
      </c>
      <c r="Q4262">
        <v>6473.9579173499997</v>
      </c>
      <c r="R4262">
        <v>35290.011951</v>
      </c>
      <c r="S4262">
        <v>1.1870067234999999</v>
      </c>
      <c r="T4262">
        <v>-99.819883734900003</v>
      </c>
      <c r="U4262">
        <v>0</v>
      </c>
      <c r="V4262">
        <v>0</v>
      </c>
    </row>
    <row r="4263" spans="1:22" x14ac:dyDescent="0.2">
      <c r="A4263"/>
      <c r="B4263">
        <v>76002</v>
      </c>
      <c r="C4263" t="s">
        <v>4281</v>
      </c>
      <c r="D4263" t="s">
        <v>1055</v>
      </c>
      <c r="E4263" t="s">
        <v>1057</v>
      </c>
      <c r="F4263" t="s">
        <v>126</v>
      </c>
      <c r="G4263">
        <v>6225.7</v>
      </c>
      <c r="H4263" t="s">
        <v>1270</v>
      </c>
      <c r="Q4263">
        <v>6464.7797163300002</v>
      </c>
      <c r="R4263">
        <v>35291.820018600003</v>
      </c>
      <c r="S4263">
        <v>1.1322806560100001</v>
      </c>
      <c r="T4263">
        <v>-99.967748237500004</v>
      </c>
      <c r="U4263">
        <v>0</v>
      </c>
      <c r="V4263">
        <v>0</v>
      </c>
    </row>
    <row r="4264" spans="1:22" x14ac:dyDescent="0.2">
      <c r="A4264"/>
      <c r="B4264">
        <v>76003</v>
      </c>
      <c r="C4264" t="s">
        <v>4282</v>
      </c>
      <c r="D4264" t="s">
        <v>1055</v>
      </c>
      <c r="E4264" t="s">
        <v>1058</v>
      </c>
      <c r="F4264" t="s">
        <v>92</v>
      </c>
      <c r="G4264">
        <v>5951.65</v>
      </c>
      <c r="H4264" t="s">
        <v>1270</v>
      </c>
      <c r="Q4264">
        <v>6459.78061841</v>
      </c>
      <c r="R4264">
        <v>35017.521443999998</v>
      </c>
      <c r="S4264">
        <v>1.69479976842</v>
      </c>
      <c r="T4264">
        <v>-91.945105435299993</v>
      </c>
      <c r="U4264">
        <v>0</v>
      </c>
      <c r="V4264">
        <v>0</v>
      </c>
    </row>
    <row r="4265" spans="1:22" x14ac:dyDescent="0.2">
      <c r="A4265"/>
      <c r="B4265">
        <v>76004</v>
      </c>
      <c r="C4265" t="s">
        <v>4283</v>
      </c>
      <c r="D4265" t="s">
        <v>1055</v>
      </c>
      <c r="E4265" t="s">
        <v>1058</v>
      </c>
      <c r="F4265" t="s">
        <v>126</v>
      </c>
      <c r="G4265">
        <v>5952.9</v>
      </c>
      <c r="H4265" t="s">
        <v>1270</v>
      </c>
      <c r="Q4265">
        <v>6450.3634363299998</v>
      </c>
      <c r="R4265">
        <v>35019.191941800003</v>
      </c>
      <c r="S4265">
        <v>1.6638027999</v>
      </c>
      <c r="T4265">
        <v>-91.879291759200001</v>
      </c>
      <c r="U4265">
        <v>0</v>
      </c>
      <c r="V4265">
        <v>0</v>
      </c>
    </row>
    <row r="4266" spans="1:22" x14ac:dyDescent="0.2">
      <c r="A4266"/>
      <c r="B4266">
        <v>76005</v>
      </c>
      <c r="C4266" t="s">
        <v>1909</v>
      </c>
      <c r="D4266" t="s">
        <v>1059</v>
      </c>
      <c r="E4266" t="s">
        <v>1060</v>
      </c>
      <c r="F4266" t="s">
        <v>91</v>
      </c>
      <c r="G4266">
        <v>3.45</v>
      </c>
      <c r="H4266" t="s">
        <v>1270</v>
      </c>
      <c r="I4266">
        <v>-2.15</v>
      </c>
      <c r="J4266">
        <v>3.75</v>
      </c>
      <c r="K4266">
        <v>0</v>
      </c>
      <c r="L4266">
        <v>0</v>
      </c>
      <c r="M4266" t="s">
        <v>91</v>
      </c>
      <c r="N4266">
        <v>3.45</v>
      </c>
      <c r="O4266" t="s">
        <v>12</v>
      </c>
      <c r="P4266" t="b">
        <v>0</v>
      </c>
      <c r="Q4266">
        <v>5682.1529118459785</v>
      </c>
      <c r="R4266">
        <v>28226.241496700663</v>
      </c>
      <c r="S4266">
        <v>8.9996847454137772</v>
      </c>
      <c r="T4266">
        <v>-99.257441631133432</v>
      </c>
      <c r="U4266">
        <v>0</v>
      </c>
      <c r="V4266">
        <v>0</v>
      </c>
    </row>
    <row r="4267" spans="1:22" x14ac:dyDescent="0.2">
      <c r="A4267"/>
      <c r="B4267">
        <v>78000</v>
      </c>
      <c r="C4267" t="s">
        <v>1067</v>
      </c>
      <c r="D4267" t="s">
        <v>1061</v>
      </c>
      <c r="E4267" t="s">
        <v>1200</v>
      </c>
      <c r="F4267" t="s">
        <v>123</v>
      </c>
      <c r="G4267">
        <v>55.026336185443029</v>
      </c>
      <c r="H4267" t="s">
        <v>248</v>
      </c>
      <c r="I4267">
        <v>2</v>
      </c>
      <c r="J4267">
        <v>0</v>
      </c>
      <c r="K4267">
        <v>0</v>
      </c>
      <c r="L4267">
        <v>0</v>
      </c>
      <c r="M4267" t="s">
        <v>188</v>
      </c>
      <c r="N4267">
        <v>755.80725530004895</v>
      </c>
      <c r="O4267" t="s">
        <v>248</v>
      </c>
      <c r="P4267" t="b">
        <v>1</v>
      </c>
      <c r="Q4267">
        <v>5020.1745114151681</v>
      </c>
      <c r="R4267">
        <v>22346.574216289384</v>
      </c>
      <c r="S4267">
        <v>-1.7228854648974106</v>
      </c>
      <c r="T4267">
        <v>79.849409901419477</v>
      </c>
      <c r="U4267">
        <v>0</v>
      </c>
      <c r="V4267">
        <v>0</v>
      </c>
    </row>
    <row r="4268" spans="1:22" x14ac:dyDescent="0.2">
      <c r="A4268"/>
      <c r="B4268">
        <v>78001</v>
      </c>
      <c r="C4268" t="s">
        <v>1068</v>
      </c>
      <c r="D4268" t="s">
        <v>1061</v>
      </c>
      <c r="E4268" t="s">
        <v>1200</v>
      </c>
      <c r="F4268" t="s">
        <v>121</v>
      </c>
      <c r="G4268">
        <v>58.93027995913647</v>
      </c>
      <c r="H4268" t="s">
        <v>248</v>
      </c>
      <c r="I4268">
        <v>2.4</v>
      </c>
      <c r="J4268">
        <v>0</v>
      </c>
      <c r="K4268">
        <v>0</v>
      </c>
      <c r="L4268">
        <v>0</v>
      </c>
      <c r="M4268" t="s">
        <v>188</v>
      </c>
      <c r="N4268">
        <v>305.592505195775</v>
      </c>
      <c r="O4268" t="s">
        <v>248</v>
      </c>
      <c r="P4268" t="b">
        <v>1</v>
      </c>
      <c r="Q4268">
        <v>4930.7474853415106</v>
      </c>
      <c r="R4268">
        <v>21905.404612636481</v>
      </c>
      <c r="S4268">
        <v>-6.181999368468272E-3</v>
      </c>
      <c r="T4268">
        <v>75.505117210088031</v>
      </c>
      <c r="U4268">
        <v>0</v>
      </c>
      <c r="V4268">
        <v>0</v>
      </c>
    </row>
    <row r="4269" spans="1:22" x14ac:dyDescent="0.2">
      <c r="A4269"/>
      <c r="B4269">
        <v>78002</v>
      </c>
      <c r="C4269" t="s">
        <v>1069</v>
      </c>
      <c r="D4269" t="s">
        <v>1061</v>
      </c>
      <c r="E4269" t="s">
        <v>1200</v>
      </c>
      <c r="F4269" t="s">
        <v>84</v>
      </c>
      <c r="G4269">
        <v>399.81084823587685</v>
      </c>
      <c r="H4269" t="s">
        <v>248</v>
      </c>
      <c r="I4269">
        <v>-2.2999999999999998</v>
      </c>
      <c r="J4269">
        <v>0</v>
      </c>
      <c r="K4269">
        <v>0</v>
      </c>
      <c r="L4269">
        <v>0</v>
      </c>
      <c r="M4269" t="s">
        <v>187</v>
      </c>
      <c r="N4269">
        <v>723.73965070643305</v>
      </c>
      <c r="O4269" t="s">
        <v>248</v>
      </c>
      <c r="P4269" t="b">
        <v>1</v>
      </c>
      <c r="Q4269">
        <v>5015.0737589402634</v>
      </c>
      <c r="R4269">
        <v>22314.351320604808</v>
      </c>
      <c r="S4269">
        <v>-1.7399698269929402</v>
      </c>
      <c r="T4269">
        <v>79.887048934744385</v>
      </c>
      <c r="U4269">
        <v>0</v>
      </c>
      <c r="V4269">
        <v>0</v>
      </c>
    </row>
    <row r="4270" spans="1:22" x14ac:dyDescent="0.2">
      <c r="A4270"/>
      <c r="B4270">
        <v>78004</v>
      </c>
      <c r="C4270" t="s">
        <v>1070</v>
      </c>
      <c r="D4270" t="s">
        <v>1061</v>
      </c>
      <c r="E4270" t="s">
        <v>1200</v>
      </c>
      <c r="F4270" t="s">
        <v>123</v>
      </c>
      <c r="G4270">
        <v>5658.6432166676741</v>
      </c>
      <c r="H4270" t="s">
        <v>248</v>
      </c>
      <c r="I4270">
        <v>1.8</v>
      </c>
      <c r="J4270">
        <v>0</v>
      </c>
      <c r="K4270">
        <v>0</v>
      </c>
      <c r="L4270">
        <v>0</v>
      </c>
      <c r="M4270" t="s">
        <v>188</v>
      </c>
      <c r="N4270">
        <v>6359.4241357822802</v>
      </c>
      <c r="O4270" t="s">
        <v>248</v>
      </c>
      <c r="P4270" t="b">
        <v>1</v>
      </c>
      <c r="Q4270">
        <v>5615.3442913923418</v>
      </c>
      <c r="R4270">
        <v>27850.210060103913</v>
      </c>
      <c r="S4270">
        <v>5.2406270090004528</v>
      </c>
      <c r="T4270">
        <v>80.93147181520203</v>
      </c>
      <c r="U4270">
        <v>0</v>
      </c>
      <c r="V4270">
        <v>0</v>
      </c>
    </row>
    <row r="4271" spans="1:22" x14ac:dyDescent="0.2">
      <c r="A4271"/>
      <c r="B4271">
        <v>78005</v>
      </c>
      <c r="C4271" t="s">
        <v>1071</v>
      </c>
      <c r="D4271" t="s">
        <v>1061</v>
      </c>
      <c r="E4271" t="s">
        <v>1200</v>
      </c>
      <c r="F4271" t="s">
        <v>125</v>
      </c>
      <c r="G4271">
        <v>55.899957997189716</v>
      </c>
      <c r="H4271" t="s">
        <v>248</v>
      </c>
      <c r="I4271">
        <v>2</v>
      </c>
      <c r="J4271">
        <v>0</v>
      </c>
      <c r="K4271">
        <v>0</v>
      </c>
      <c r="L4271">
        <v>0</v>
      </c>
      <c r="M4271" t="s">
        <v>188</v>
      </c>
      <c r="N4271">
        <v>6716.5674432489004</v>
      </c>
      <c r="O4271" t="s">
        <v>248</v>
      </c>
      <c r="P4271" t="b">
        <v>1</v>
      </c>
      <c r="Q4271">
        <v>5673.1837386679545</v>
      </c>
      <c r="R4271">
        <v>28202.633272469575</v>
      </c>
      <c r="S4271">
        <v>5.2331070911777813</v>
      </c>
      <c r="T4271">
        <v>80.759350496753527</v>
      </c>
      <c r="U4271">
        <v>0</v>
      </c>
      <c r="V4271">
        <v>0</v>
      </c>
    </row>
    <row r="4272" spans="1:22" x14ac:dyDescent="0.2">
      <c r="A4272"/>
      <c r="B4272">
        <v>78006</v>
      </c>
      <c r="C4272" t="s">
        <v>1072</v>
      </c>
      <c r="D4272" t="s">
        <v>1061</v>
      </c>
      <c r="E4272" t="s">
        <v>1200</v>
      </c>
      <c r="F4272" t="s">
        <v>89</v>
      </c>
      <c r="G4272">
        <v>54.00344055377991</v>
      </c>
      <c r="H4272" t="s">
        <v>248</v>
      </c>
      <c r="I4272">
        <v>-2</v>
      </c>
      <c r="J4272">
        <v>0</v>
      </c>
      <c r="K4272">
        <v>0</v>
      </c>
      <c r="L4272">
        <v>0</v>
      </c>
      <c r="M4272" t="s">
        <v>187</v>
      </c>
      <c r="N4272">
        <v>6391.2225249578296</v>
      </c>
      <c r="O4272" t="s">
        <v>248</v>
      </c>
      <c r="P4272" t="b">
        <v>1</v>
      </c>
      <c r="Q4272">
        <v>5621.3416737402349</v>
      </c>
      <c r="R4272">
        <v>27880.842388134988</v>
      </c>
      <c r="S4272">
        <v>5.2598424157774426</v>
      </c>
      <c r="T4272">
        <v>80.755961432424229</v>
      </c>
      <c r="U4272">
        <v>0</v>
      </c>
      <c r="V4272">
        <v>0</v>
      </c>
    </row>
    <row r="4273" spans="1:22" x14ac:dyDescent="0.2">
      <c r="A4273"/>
      <c r="B4273">
        <v>78007</v>
      </c>
      <c r="C4273" t="s">
        <v>1073</v>
      </c>
      <c r="D4273" t="s">
        <v>1061</v>
      </c>
      <c r="E4273" t="s">
        <v>1200</v>
      </c>
      <c r="F4273" t="s">
        <v>89</v>
      </c>
      <c r="G4273">
        <v>346.35945530412027</v>
      </c>
      <c r="H4273" t="s">
        <v>248</v>
      </c>
      <c r="I4273">
        <v>-2</v>
      </c>
      <c r="J4273">
        <v>0</v>
      </c>
      <c r="K4273">
        <v>0</v>
      </c>
      <c r="L4273">
        <v>0</v>
      </c>
      <c r="M4273" t="s">
        <v>187</v>
      </c>
      <c r="N4273">
        <v>6683.57853970817</v>
      </c>
      <c r="O4273" t="s">
        <v>248</v>
      </c>
      <c r="P4273" t="b">
        <v>1</v>
      </c>
      <c r="Q4273">
        <v>5668.6923042409953</v>
      </c>
      <c r="R4273">
        <v>28169.339396613155</v>
      </c>
      <c r="S4273">
        <v>5.2417892355420017</v>
      </c>
      <c r="T4273">
        <v>80.727089341649148</v>
      </c>
      <c r="U4273">
        <v>0</v>
      </c>
      <c r="V4273">
        <v>0</v>
      </c>
    </row>
    <row r="4274" spans="1:22" x14ac:dyDescent="0.2">
      <c r="A4274"/>
      <c r="B4274">
        <v>78008</v>
      </c>
      <c r="C4274" t="s">
        <v>1074</v>
      </c>
      <c r="D4274" t="s">
        <v>1061</v>
      </c>
      <c r="E4274" t="s">
        <v>1200</v>
      </c>
      <c r="F4274" t="s">
        <v>127</v>
      </c>
      <c r="G4274">
        <v>51.460193666835039</v>
      </c>
      <c r="H4274" t="s">
        <v>248</v>
      </c>
      <c r="I4274">
        <v>1.8</v>
      </c>
      <c r="J4274">
        <v>0</v>
      </c>
      <c r="K4274">
        <v>0</v>
      </c>
      <c r="L4274">
        <v>0</v>
      </c>
      <c r="M4274" t="s">
        <v>188</v>
      </c>
      <c r="N4274">
        <v>15276.209045977699</v>
      </c>
      <c r="O4274" t="s">
        <v>248</v>
      </c>
      <c r="P4274" t="b">
        <v>1</v>
      </c>
      <c r="Q4274">
        <v>6666.9690844044326</v>
      </c>
      <c r="R4274">
        <v>36306.856856902414</v>
      </c>
      <c r="S4274">
        <v>-4.0111816363179322</v>
      </c>
      <c r="T4274">
        <v>79.376712099831195</v>
      </c>
      <c r="U4274">
        <v>0</v>
      </c>
      <c r="V4274">
        <v>0</v>
      </c>
    </row>
    <row r="4275" spans="1:22" x14ac:dyDescent="0.2">
      <c r="A4275"/>
      <c r="B4275">
        <v>78009</v>
      </c>
      <c r="C4275" t="s">
        <v>1075</v>
      </c>
      <c r="D4275" t="s">
        <v>1061</v>
      </c>
      <c r="E4275" t="s">
        <v>1200</v>
      </c>
      <c r="F4275" t="s">
        <v>116</v>
      </c>
      <c r="G4275">
        <v>22.987537310510561</v>
      </c>
      <c r="H4275" t="s">
        <v>248</v>
      </c>
      <c r="I4275">
        <v>2.9</v>
      </c>
      <c r="J4275">
        <v>0</v>
      </c>
      <c r="K4275">
        <v>0</v>
      </c>
      <c r="L4275">
        <v>0</v>
      </c>
      <c r="M4275" t="s">
        <v>187</v>
      </c>
      <c r="N4275">
        <v>15248.4633901364</v>
      </c>
      <c r="O4275" t="s">
        <v>248</v>
      </c>
      <c r="P4275" t="b">
        <v>1</v>
      </c>
      <c r="Q4275">
        <v>6667.6941048109156</v>
      </c>
      <c r="R4275">
        <v>36277.964208053185</v>
      </c>
      <c r="S4275">
        <v>-3.9585944431468238</v>
      </c>
      <c r="T4275">
        <v>79.409489748870399</v>
      </c>
      <c r="U4275">
        <v>0</v>
      </c>
      <c r="V4275">
        <v>0</v>
      </c>
    </row>
    <row r="4276" spans="1:22" x14ac:dyDescent="0.2">
      <c r="A4276"/>
      <c r="B4276">
        <v>78010</v>
      </c>
      <c r="C4276" t="s">
        <v>1076</v>
      </c>
      <c r="D4276" t="s">
        <v>1061</v>
      </c>
      <c r="E4276" t="s">
        <v>1200</v>
      </c>
      <c r="F4276" t="s">
        <v>116</v>
      </c>
      <c r="G4276">
        <v>53.782893867811254</v>
      </c>
      <c r="H4276" t="s">
        <v>248</v>
      </c>
      <c r="I4276">
        <v>2</v>
      </c>
      <c r="J4276">
        <v>0</v>
      </c>
      <c r="K4276">
        <v>0</v>
      </c>
      <c r="L4276">
        <v>0</v>
      </c>
      <c r="M4276" t="s">
        <v>187</v>
      </c>
      <c r="N4276">
        <v>15279.2587466937</v>
      </c>
      <c r="O4276" t="s">
        <v>248</v>
      </c>
      <c r="P4276" t="b">
        <v>1</v>
      </c>
      <c r="Q4276">
        <v>6672.4728075143194</v>
      </c>
      <c r="R4276">
        <v>36308.399123102354</v>
      </c>
      <c r="S4276">
        <v>-3.959164549524345</v>
      </c>
      <c r="T4276">
        <v>79.392169362237595</v>
      </c>
      <c r="U4276">
        <v>0</v>
      </c>
      <c r="V4276">
        <v>0</v>
      </c>
    </row>
    <row r="4277" spans="1:22" x14ac:dyDescent="0.2">
      <c r="A4277"/>
      <c r="B4277">
        <v>78011</v>
      </c>
      <c r="C4277" t="s">
        <v>1077</v>
      </c>
      <c r="D4277" t="s">
        <v>1061</v>
      </c>
      <c r="E4277" t="s">
        <v>1200</v>
      </c>
      <c r="F4277" t="s">
        <v>1078</v>
      </c>
      <c r="G4277">
        <v>18</v>
      </c>
      <c r="H4277" t="s">
        <v>248</v>
      </c>
      <c r="I4277">
        <v>-7.3</v>
      </c>
      <c r="J4277">
        <v>0</v>
      </c>
      <c r="K4277">
        <v>0</v>
      </c>
      <c r="L4277">
        <v>0</v>
      </c>
      <c r="M4277" t="s">
        <v>1078</v>
      </c>
      <c r="N4277">
        <v>18</v>
      </c>
      <c r="O4277" t="s">
        <v>248</v>
      </c>
      <c r="P4277" t="b">
        <v>1</v>
      </c>
      <c r="Q4277">
        <v>6659.8683505026438</v>
      </c>
      <c r="R4277">
        <v>36264.759320166137</v>
      </c>
      <c r="S4277">
        <v>-3.9647241786468523</v>
      </c>
      <c r="T4277">
        <v>79.370418199520969</v>
      </c>
      <c r="U4277">
        <v>0</v>
      </c>
      <c r="V4277">
        <v>0</v>
      </c>
    </row>
    <row r="4278" spans="1:22" x14ac:dyDescent="0.2">
      <c r="A4278"/>
      <c r="B4278">
        <v>78012</v>
      </c>
      <c r="C4278" t="s">
        <v>1079</v>
      </c>
      <c r="D4278" t="s">
        <v>1061</v>
      </c>
      <c r="E4278" t="s">
        <v>1200</v>
      </c>
      <c r="F4278" t="s">
        <v>118</v>
      </c>
      <c r="G4278">
        <v>48.486965536156788</v>
      </c>
      <c r="H4278" t="s">
        <v>248</v>
      </c>
      <c r="I4278">
        <v>2</v>
      </c>
      <c r="J4278">
        <v>0</v>
      </c>
      <c r="K4278">
        <v>0</v>
      </c>
      <c r="L4278">
        <v>0</v>
      </c>
      <c r="M4278" t="s">
        <v>187</v>
      </c>
      <c r="N4278">
        <v>15366.379874100299</v>
      </c>
      <c r="O4278" t="s">
        <v>248</v>
      </c>
      <c r="P4278" t="b">
        <v>1</v>
      </c>
      <c r="Q4278">
        <v>6688.494653246632</v>
      </c>
      <c r="R4278">
        <v>36394.032157583315</v>
      </c>
      <c r="S4278">
        <v>-3.9643092976161474</v>
      </c>
      <c r="T4278">
        <v>79.331004097791592</v>
      </c>
      <c r="U4278">
        <v>0</v>
      </c>
      <c r="V4278">
        <v>0</v>
      </c>
    </row>
    <row r="4279" spans="1:22" x14ac:dyDescent="0.2">
      <c r="A4279"/>
      <c r="B4279">
        <v>78013</v>
      </c>
      <c r="C4279" t="s">
        <v>1218</v>
      </c>
      <c r="D4279" t="s">
        <v>1061</v>
      </c>
      <c r="E4279" t="s">
        <v>1200</v>
      </c>
      <c r="F4279" t="s">
        <v>83</v>
      </c>
      <c r="G4279">
        <v>11.351604819675202</v>
      </c>
      <c r="H4279" t="s">
        <v>248</v>
      </c>
      <c r="I4279">
        <v>-2.4500000000000002</v>
      </c>
      <c r="J4279">
        <v>0</v>
      </c>
      <c r="K4279">
        <v>0</v>
      </c>
      <c r="L4279">
        <v>0</v>
      </c>
      <c r="M4279" t="s">
        <v>187</v>
      </c>
      <c r="N4279">
        <v>258.00404188819198</v>
      </c>
      <c r="O4279" t="s">
        <v>248</v>
      </c>
      <c r="P4279" t="b">
        <v>1</v>
      </c>
      <c r="Q4279">
        <v>4918.9570404846409</v>
      </c>
      <c r="R4279">
        <v>21859.124498833986</v>
      </c>
      <c r="S4279">
        <v>-1.3670579086294326E-2</v>
      </c>
      <c r="T4279">
        <v>75.556202092530199</v>
      </c>
      <c r="U4279">
        <v>0</v>
      </c>
      <c r="V4279">
        <v>0</v>
      </c>
    </row>
    <row r="4280" spans="1:22" x14ac:dyDescent="0.2">
      <c r="A4280"/>
      <c r="B4280">
        <v>78015</v>
      </c>
      <c r="C4280" t="s">
        <v>4339</v>
      </c>
      <c r="D4280" t="s">
        <v>1061</v>
      </c>
      <c r="E4280" t="s">
        <v>1200</v>
      </c>
      <c r="F4280" t="s">
        <v>2497</v>
      </c>
      <c r="G4280">
        <v>1</v>
      </c>
      <c r="H4280" t="s">
        <v>248</v>
      </c>
      <c r="I4280">
        <v>-2</v>
      </c>
      <c r="J4280">
        <v>0</v>
      </c>
      <c r="K4280">
        <v>0</v>
      </c>
      <c r="L4280">
        <v>0</v>
      </c>
      <c r="M4280" t="s">
        <v>2497</v>
      </c>
      <c r="N4280">
        <v>1</v>
      </c>
      <c r="O4280" t="s">
        <v>248</v>
      </c>
      <c r="P4280" t="b">
        <v>1</v>
      </c>
      <c r="Q4280">
        <v>3256.0346921790288</v>
      </c>
      <c r="R4280">
        <v>31662.393589563504</v>
      </c>
      <c r="S4280">
        <v>-10.789805168272171</v>
      </c>
      <c r="T4280">
        <v>-94.202687879333524</v>
      </c>
      <c r="U4280">
        <v>0</v>
      </c>
      <c r="V4280">
        <v>0</v>
      </c>
    </row>
    <row r="4281" spans="1:22" x14ac:dyDescent="0.2">
      <c r="A4281"/>
      <c r="B4281">
        <v>80010</v>
      </c>
      <c r="C4281" t="s">
        <v>1202</v>
      </c>
      <c r="D4281" t="s">
        <v>1201</v>
      </c>
      <c r="E4281" t="s">
        <v>1274</v>
      </c>
      <c r="F4281" t="s">
        <v>82</v>
      </c>
      <c r="G4281">
        <v>40</v>
      </c>
      <c r="H4281" t="s">
        <v>1270</v>
      </c>
      <c r="I4281">
        <v>-1.6</v>
      </c>
      <c r="J4281">
        <v>0</v>
      </c>
      <c r="K4281">
        <v>0</v>
      </c>
      <c r="L4281">
        <v>0</v>
      </c>
      <c r="M4281" t="s">
        <v>82</v>
      </c>
      <c r="N4281">
        <v>40</v>
      </c>
      <c r="O4281" t="s">
        <v>12</v>
      </c>
      <c r="P4281" t="b">
        <v>0</v>
      </c>
      <c r="Q4281">
        <v>4868.4436241452631</v>
      </c>
      <c r="R4281">
        <v>21647.015432925018</v>
      </c>
      <c r="S4281">
        <v>3.6235971499126246E-4</v>
      </c>
      <c r="T4281">
        <v>-104.45910010710979</v>
      </c>
      <c r="U4281">
        <v>0</v>
      </c>
      <c r="V4281">
        <v>0</v>
      </c>
    </row>
    <row r="4282" spans="1:22" x14ac:dyDescent="0.2">
      <c r="A4282"/>
      <c r="B4282">
        <v>80012</v>
      </c>
      <c r="C4282" t="s">
        <v>1204</v>
      </c>
      <c r="D4282" t="s">
        <v>1201</v>
      </c>
      <c r="E4282" t="s">
        <v>1274</v>
      </c>
      <c r="F4282" t="s">
        <v>106</v>
      </c>
      <c r="G4282">
        <v>40</v>
      </c>
      <c r="H4282" t="s">
        <v>1270</v>
      </c>
      <c r="I4282">
        <v>-1.6</v>
      </c>
      <c r="J4282">
        <v>0</v>
      </c>
      <c r="K4282">
        <v>0</v>
      </c>
      <c r="L4282">
        <v>0</v>
      </c>
      <c r="M4282" t="s">
        <v>106</v>
      </c>
      <c r="N4282">
        <v>40</v>
      </c>
      <c r="O4282" t="s">
        <v>12</v>
      </c>
      <c r="P4282" t="b">
        <v>0</v>
      </c>
      <c r="Q4282">
        <v>4863.6428060963053</v>
      </c>
      <c r="R4282">
        <v>21648.429177479233</v>
      </c>
      <c r="S4282">
        <v>-2.300382331420674E-3</v>
      </c>
      <c r="T4282">
        <v>-104.47040745676722</v>
      </c>
      <c r="U4282">
        <v>0</v>
      </c>
      <c r="V4282">
        <v>0</v>
      </c>
    </row>
    <row r="4283" spans="1:22" x14ac:dyDescent="0.2">
      <c r="A4283"/>
      <c r="B4283">
        <v>80013</v>
      </c>
      <c r="C4283" t="s">
        <v>1205</v>
      </c>
      <c r="D4283" t="s">
        <v>1201</v>
      </c>
      <c r="E4283" t="s">
        <v>1198</v>
      </c>
      <c r="F4283" t="s">
        <v>106</v>
      </c>
      <c r="G4283">
        <v>20</v>
      </c>
      <c r="H4283" t="s">
        <v>1270</v>
      </c>
      <c r="I4283">
        <v>-1.6</v>
      </c>
      <c r="J4283">
        <v>0</v>
      </c>
      <c r="K4283">
        <v>0</v>
      </c>
      <c r="L4283">
        <v>0</v>
      </c>
      <c r="M4283" t="s">
        <v>106</v>
      </c>
      <c r="N4283">
        <v>20</v>
      </c>
      <c r="O4283" t="s">
        <v>12</v>
      </c>
      <c r="P4283" t="b">
        <v>0</v>
      </c>
      <c r="Q4283">
        <v>4858.6456081251981</v>
      </c>
      <c r="R4283">
        <v>21629.063607981574</v>
      </c>
      <c r="S4283">
        <v>-1.3207903555007719E-3</v>
      </c>
      <c r="T4283">
        <v>-104.46796393669193</v>
      </c>
      <c r="U4283">
        <v>0</v>
      </c>
      <c r="V4283">
        <v>0</v>
      </c>
    </row>
    <row r="4284" spans="1:22" x14ac:dyDescent="0.2">
      <c r="A4284"/>
      <c r="B4284">
        <v>80014</v>
      </c>
      <c r="C4284" t="s">
        <v>1206</v>
      </c>
      <c r="D4284" t="s">
        <v>1201</v>
      </c>
      <c r="E4284" t="s">
        <v>1274</v>
      </c>
      <c r="F4284" t="s">
        <v>87</v>
      </c>
      <c r="G4284">
        <v>5348.5</v>
      </c>
      <c r="H4284" t="s">
        <v>1270</v>
      </c>
      <c r="I4284">
        <v>-1.6</v>
      </c>
      <c r="J4284">
        <v>0</v>
      </c>
      <c r="K4284">
        <v>0</v>
      </c>
      <c r="L4284">
        <v>0</v>
      </c>
      <c r="M4284" t="s">
        <v>87</v>
      </c>
      <c r="N4284">
        <v>5348.5</v>
      </c>
      <c r="O4284" t="s">
        <v>12</v>
      </c>
      <c r="P4284" t="b">
        <v>0</v>
      </c>
      <c r="Q4284">
        <v>5580.6706256743364</v>
      </c>
      <c r="R4284">
        <v>27620.016021262047</v>
      </c>
      <c r="S4284">
        <v>5.2556740648181757</v>
      </c>
      <c r="T4284">
        <v>-99.871218152918161</v>
      </c>
      <c r="U4284">
        <v>0</v>
      </c>
      <c r="V4284">
        <v>0</v>
      </c>
    </row>
    <row r="4285" spans="1:22" x14ac:dyDescent="0.2">
      <c r="A4285"/>
      <c r="B4285">
        <v>80015</v>
      </c>
      <c r="C4285" t="s">
        <v>1207</v>
      </c>
      <c r="D4285" t="s">
        <v>1201</v>
      </c>
      <c r="E4285" t="s">
        <v>1198</v>
      </c>
      <c r="F4285" t="s">
        <v>87</v>
      </c>
      <c r="G4285">
        <v>5308.5</v>
      </c>
      <c r="H4285" t="s">
        <v>1270</v>
      </c>
      <c r="I4285">
        <v>-1.6</v>
      </c>
      <c r="J4285">
        <v>0</v>
      </c>
      <c r="K4285">
        <v>0</v>
      </c>
      <c r="L4285">
        <v>0</v>
      </c>
      <c r="M4285" t="s">
        <v>87</v>
      </c>
      <c r="N4285">
        <v>5308.5</v>
      </c>
      <c r="O4285" t="s">
        <v>12</v>
      </c>
      <c r="P4285" t="b">
        <v>0</v>
      </c>
      <c r="Q4285">
        <v>5573.8279377403169</v>
      </c>
      <c r="R4285">
        <v>27580.607209521626</v>
      </c>
      <c r="S4285">
        <v>5.1437196994688978</v>
      </c>
      <c r="T4285">
        <v>-99.829110054157312</v>
      </c>
      <c r="U4285">
        <v>0</v>
      </c>
      <c r="V4285">
        <v>0</v>
      </c>
    </row>
    <row r="4286" spans="1:22" x14ac:dyDescent="0.2">
      <c r="A4286"/>
      <c r="B4286">
        <v>80016</v>
      </c>
      <c r="C4286" t="s">
        <v>1208</v>
      </c>
      <c r="D4286" t="s">
        <v>1201</v>
      </c>
      <c r="E4286" t="s">
        <v>1274</v>
      </c>
      <c r="F4286" t="s">
        <v>91</v>
      </c>
      <c r="G4286">
        <v>210</v>
      </c>
      <c r="H4286" t="s">
        <v>12</v>
      </c>
      <c r="I4286">
        <v>-1.6</v>
      </c>
      <c r="J4286">
        <v>0</v>
      </c>
      <c r="K4286">
        <v>0</v>
      </c>
      <c r="L4286">
        <v>0</v>
      </c>
      <c r="M4286" t="s">
        <v>91</v>
      </c>
      <c r="N4286">
        <v>210</v>
      </c>
      <c r="O4286" t="s">
        <v>12</v>
      </c>
      <c r="P4286" t="b">
        <v>1</v>
      </c>
      <c r="Q4286">
        <v>5709.0407260141401</v>
      </c>
      <c r="R4286">
        <v>28431.077655375535</v>
      </c>
      <c r="S4286">
        <v>4.507942306732887</v>
      </c>
      <c r="T4286">
        <v>81.88742159494241</v>
      </c>
      <c r="U4286">
        <v>0</v>
      </c>
      <c r="V4286">
        <v>0</v>
      </c>
    </row>
    <row r="4287" spans="1:22" x14ac:dyDescent="0.2">
      <c r="A4287"/>
      <c r="B4287">
        <v>80017</v>
      </c>
      <c r="C4287" t="s">
        <v>1209</v>
      </c>
      <c r="D4287" t="s">
        <v>1201</v>
      </c>
      <c r="E4287" t="s">
        <v>1198</v>
      </c>
      <c r="F4287" t="s">
        <v>91</v>
      </c>
      <c r="G4287">
        <v>250</v>
      </c>
      <c r="H4287" t="s">
        <v>12</v>
      </c>
      <c r="I4287">
        <v>-1.6</v>
      </c>
      <c r="J4287">
        <v>0</v>
      </c>
      <c r="K4287">
        <v>0</v>
      </c>
      <c r="L4287">
        <v>0</v>
      </c>
      <c r="M4287" t="s">
        <v>91</v>
      </c>
      <c r="N4287">
        <v>250</v>
      </c>
      <c r="O4287" t="s">
        <v>12</v>
      </c>
      <c r="P4287" t="b">
        <v>1</v>
      </c>
      <c r="Q4287">
        <v>5714.6395662036812</v>
      </c>
      <c r="R4287">
        <v>28470.677268569827</v>
      </c>
      <c r="S4287">
        <v>4.9616908646773235</v>
      </c>
      <c r="T4287">
        <v>82.01839156984326</v>
      </c>
      <c r="U4287">
        <v>0</v>
      </c>
      <c r="V4287">
        <v>0</v>
      </c>
    </row>
    <row r="4288" spans="1:22" x14ac:dyDescent="0.2">
      <c r="A4288"/>
      <c r="B4288">
        <v>80018</v>
      </c>
      <c r="C4288" t="s">
        <v>1210</v>
      </c>
      <c r="D4288" t="s">
        <v>1201</v>
      </c>
      <c r="E4288" t="s">
        <v>1274</v>
      </c>
      <c r="F4288" t="s">
        <v>87</v>
      </c>
      <c r="G4288">
        <v>210</v>
      </c>
      <c r="H4288" t="s">
        <v>12</v>
      </c>
      <c r="I4288">
        <v>-1.6</v>
      </c>
      <c r="J4288">
        <v>0</v>
      </c>
      <c r="K4288">
        <v>0</v>
      </c>
      <c r="L4288">
        <v>0</v>
      </c>
      <c r="M4288" t="s">
        <v>87</v>
      </c>
      <c r="N4288">
        <v>210</v>
      </c>
      <c r="O4288" t="s">
        <v>12</v>
      </c>
      <c r="P4288" t="b">
        <v>1</v>
      </c>
      <c r="Q4288">
        <v>5070.0490394670078</v>
      </c>
      <c r="R4288">
        <v>22573.627896637703</v>
      </c>
      <c r="S4288">
        <v>-1.1628718876454955</v>
      </c>
      <c r="T4288">
        <v>76.649720275818865</v>
      </c>
      <c r="U4288">
        <v>0</v>
      </c>
      <c r="V4288">
        <v>0</v>
      </c>
    </row>
    <row r="4289" spans="1:22" x14ac:dyDescent="0.2">
      <c r="A4289"/>
      <c r="B4289">
        <v>80019</v>
      </c>
      <c r="C4289" t="s">
        <v>1211</v>
      </c>
      <c r="D4289" t="s">
        <v>1201</v>
      </c>
      <c r="E4289" t="s">
        <v>1198</v>
      </c>
      <c r="F4289" t="s">
        <v>87</v>
      </c>
      <c r="G4289">
        <v>250</v>
      </c>
      <c r="H4289" t="s">
        <v>12</v>
      </c>
      <c r="I4289">
        <v>-1.6</v>
      </c>
      <c r="J4289">
        <v>0</v>
      </c>
      <c r="K4289">
        <v>0</v>
      </c>
      <c r="L4289">
        <v>0</v>
      </c>
      <c r="M4289" t="s">
        <v>87</v>
      </c>
      <c r="N4289">
        <v>250</v>
      </c>
      <c r="O4289" t="s">
        <v>12</v>
      </c>
      <c r="P4289" t="b">
        <v>1</v>
      </c>
      <c r="Q4289">
        <v>5078.6787113091723</v>
      </c>
      <c r="R4289">
        <v>22612.629228858004</v>
      </c>
      <c r="S4289">
        <v>-0.97518335644511245</v>
      </c>
      <c r="T4289">
        <v>78.55216534838496</v>
      </c>
      <c r="U4289">
        <v>0</v>
      </c>
      <c r="V4289">
        <v>0</v>
      </c>
    </row>
    <row r="4290" spans="1:22" x14ac:dyDescent="0.2">
      <c r="A4290"/>
      <c r="B4290">
        <v>80020</v>
      </c>
      <c r="C4290" t="s">
        <v>1203</v>
      </c>
      <c r="D4290" t="s">
        <v>1201</v>
      </c>
      <c r="E4290" t="s">
        <v>1198</v>
      </c>
      <c r="F4290" t="s">
        <v>82</v>
      </c>
      <c r="G4290">
        <v>20</v>
      </c>
      <c r="H4290" t="s">
        <v>1270</v>
      </c>
      <c r="I4290">
        <v>-1.6</v>
      </c>
      <c r="J4290">
        <v>0</v>
      </c>
      <c r="K4290">
        <v>0</v>
      </c>
      <c r="L4290">
        <v>0</v>
      </c>
      <c r="M4290" t="s">
        <v>82</v>
      </c>
      <c r="N4290">
        <v>20</v>
      </c>
      <c r="O4290" t="s">
        <v>12</v>
      </c>
      <c r="P4290" t="b">
        <v>0</v>
      </c>
      <c r="Q4290">
        <v>4863.4498881806103</v>
      </c>
      <c r="R4290">
        <v>21627.648905856775</v>
      </c>
      <c r="S4290">
        <v>4.0913504205535939E-4</v>
      </c>
      <c r="T4290">
        <v>-104.45889383384424</v>
      </c>
      <c r="U4290">
        <v>0</v>
      </c>
      <c r="V4290">
        <v>0</v>
      </c>
    </row>
    <row r="4291" spans="1:22" x14ac:dyDescent="0.2">
      <c r="A4291"/>
      <c r="B4291">
        <v>81008</v>
      </c>
      <c r="C4291" t="s">
        <v>4222</v>
      </c>
      <c r="D4291" t="s">
        <v>1201</v>
      </c>
      <c r="E4291" t="s">
        <v>1274</v>
      </c>
      <c r="F4291" t="s">
        <v>2310</v>
      </c>
      <c r="G4291">
        <v>210</v>
      </c>
      <c r="H4291" t="s">
        <v>12</v>
      </c>
      <c r="Q4291">
        <v>7184.9116848000003</v>
      </c>
      <c r="R4291">
        <v>37216.1014564</v>
      </c>
      <c r="S4291">
        <v>-11.7318109089</v>
      </c>
      <c r="T4291">
        <v>77.128108845599996</v>
      </c>
      <c r="U4291">
        <v>0</v>
      </c>
      <c r="V4291">
        <v>0</v>
      </c>
    </row>
    <row r="4292" spans="1:22" x14ac:dyDescent="0.2">
      <c r="A4292"/>
      <c r="B4292">
        <v>81009</v>
      </c>
      <c r="C4292" t="s">
        <v>4223</v>
      </c>
      <c r="D4292" t="s">
        <v>1201</v>
      </c>
      <c r="E4292" t="s">
        <v>1198</v>
      </c>
      <c r="F4292" t="s">
        <v>2310</v>
      </c>
      <c r="G4292">
        <v>250</v>
      </c>
      <c r="H4292" t="s">
        <v>12</v>
      </c>
      <c r="Q4292">
        <v>7189.7838834000004</v>
      </c>
      <c r="R4292">
        <v>37255.404042000002</v>
      </c>
      <c r="S4292">
        <v>-12.2839414297</v>
      </c>
      <c r="T4292">
        <v>88.756071732699994</v>
      </c>
      <c r="U4292">
        <v>0</v>
      </c>
      <c r="V4292">
        <v>0</v>
      </c>
    </row>
    <row r="4293" spans="1:22" x14ac:dyDescent="0.2">
      <c r="A4293"/>
      <c r="B4293">
        <v>81010</v>
      </c>
      <c r="C4293" t="s">
        <v>4224</v>
      </c>
      <c r="D4293" t="s">
        <v>1201</v>
      </c>
      <c r="E4293" t="s">
        <v>1198</v>
      </c>
      <c r="F4293" t="s">
        <v>2322</v>
      </c>
      <c r="G4293">
        <v>110</v>
      </c>
      <c r="H4293" t="s">
        <v>1270</v>
      </c>
      <c r="Q4293">
        <v>3465.5467592599998</v>
      </c>
      <c r="R4293">
        <v>32633.881691499999</v>
      </c>
      <c r="S4293">
        <v>-11.157214185599999</v>
      </c>
      <c r="T4293">
        <v>65.418765542299994</v>
      </c>
      <c r="U4293">
        <v>0</v>
      </c>
      <c r="V4293">
        <v>0</v>
      </c>
    </row>
    <row r="4294" spans="1:22" x14ac:dyDescent="0.2">
      <c r="A4294"/>
      <c r="B4294">
        <v>81011</v>
      </c>
      <c r="C4294" t="s">
        <v>4225</v>
      </c>
      <c r="D4294" t="s">
        <v>1201</v>
      </c>
      <c r="E4294" t="s">
        <v>1274</v>
      </c>
      <c r="F4294" t="s">
        <v>2322</v>
      </c>
      <c r="G4294">
        <v>150</v>
      </c>
      <c r="H4294" t="s">
        <v>1270</v>
      </c>
      <c r="Q4294">
        <v>3450.0197704399998</v>
      </c>
      <c r="R4294">
        <v>32596.901565200002</v>
      </c>
      <c r="S4294">
        <v>-10.9608200414</v>
      </c>
      <c r="T4294">
        <v>69.673372724999993</v>
      </c>
      <c r="U4294">
        <v>0</v>
      </c>
      <c r="V4294">
        <v>0</v>
      </c>
    </row>
    <row r="4295" spans="1:22" x14ac:dyDescent="0.2">
      <c r="A4295"/>
      <c r="B4295">
        <v>81012</v>
      </c>
      <c r="C4295" t="s">
        <v>4226</v>
      </c>
      <c r="D4295" t="s">
        <v>1201</v>
      </c>
      <c r="E4295" t="s">
        <v>1274</v>
      </c>
      <c r="F4295" t="s">
        <v>2313</v>
      </c>
      <c r="G4295">
        <v>71.5</v>
      </c>
      <c r="H4295" t="s">
        <v>1270</v>
      </c>
      <c r="Q4295">
        <v>3486.1709002299999</v>
      </c>
      <c r="R4295">
        <v>32666.617675199999</v>
      </c>
      <c r="S4295">
        <v>-11.2666573842</v>
      </c>
      <c r="T4295">
        <v>65.089291821499998</v>
      </c>
      <c r="U4295">
        <v>0</v>
      </c>
      <c r="V4295">
        <v>0</v>
      </c>
    </row>
    <row r="4296" spans="1:22" x14ac:dyDescent="0.2">
      <c r="A4296"/>
      <c r="B4296">
        <v>81013</v>
      </c>
      <c r="C4296" t="s">
        <v>4227</v>
      </c>
      <c r="D4296" t="s">
        <v>1201</v>
      </c>
      <c r="E4296" t="s">
        <v>1198</v>
      </c>
      <c r="F4296" t="s">
        <v>2313</v>
      </c>
      <c r="G4296">
        <v>31.5</v>
      </c>
      <c r="H4296" t="s">
        <v>1270</v>
      </c>
      <c r="Q4296">
        <v>3503.0249985599999</v>
      </c>
      <c r="R4296">
        <v>32702.893184699999</v>
      </c>
      <c r="S4296">
        <v>-11.2863307177</v>
      </c>
      <c r="T4296">
        <v>65.101036162400007</v>
      </c>
      <c r="U4296">
        <v>0</v>
      </c>
      <c r="V4296">
        <v>0</v>
      </c>
    </row>
    <row r="4297" spans="1:22" x14ac:dyDescent="0.2">
      <c r="A4297"/>
      <c r="B4297">
        <v>81014</v>
      </c>
      <c r="C4297" t="s">
        <v>4228</v>
      </c>
      <c r="D4297" t="s">
        <v>1201</v>
      </c>
      <c r="E4297" t="s">
        <v>1198</v>
      </c>
      <c r="F4297" t="s">
        <v>2330</v>
      </c>
      <c r="G4297">
        <v>85</v>
      </c>
      <c r="H4297" t="s">
        <v>1270</v>
      </c>
      <c r="Q4297">
        <v>3286.8854927900002</v>
      </c>
      <c r="R4297">
        <v>31854.604490900001</v>
      </c>
      <c r="S4297">
        <v>-10.795844712899999</v>
      </c>
      <c r="T4297">
        <v>75.506285678500006</v>
      </c>
      <c r="U4297">
        <v>0</v>
      </c>
      <c r="V4297">
        <v>0</v>
      </c>
    </row>
    <row r="4298" spans="1:22" x14ac:dyDescent="0.2">
      <c r="A4298"/>
      <c r="B4298">
        <v>81015</v>
      </c>
      <c r="C4298" t="s">
        <v>4229</v>
      </c>
      <c r="D4298" t="s">
        <v>1201</v>
      </c>
      <c r="E4298" t="s">
        <v>1274</v>
      </c>
      <c r="F4298" t="s">
        <v>2330</v>
      </c>
      <c r="G4298">
        <v>110</v>
      </c>
      <c r="H4298" t="s">
        <v>1270</v>
      </c>
      <c r="Q4298">
        <v>3280.71107385</v>
      </c>
      <c r="R4298">
        <v>31830.3568385</v>
      </c>
      <c r="S4298">
        <v>-10.795549573100001</v>
      </c>
      <c r="T4298">
        <v>76.2811325614</v>
      </c>
      <c r="U4298">
        <v>0</v>
      </c>
      <c r="V4298">
        <v>0</v>
      </c>
    </row>
    <row r="4299" spans="1:22" x14ac:dyDescent="0.2">
      <c r="A4299"/>
      <c r="B4299">
        <v>81016</v>
      </c>
      <c r="C4299" t="s">
        <v>4230</v>
      </c>
      <c r="D4299" t="s">
        <v>1201</v>
      </c>
      <c r="E4299" t="s">
        <v>1274</v>
      </c>
      <c r="F4299" t="s">
        <v>2330</v>
      </c>
      <c r="G4299">
        <v>200</v>
      </c>
      <c r="H4299" t="s">
        <v>12</v>
      </c>
      <c r="Q4299">
        <v>3267.47195977</v>
      </c>
      <c r="R4299">
        <v>31741.324138100001</v>
      </c>
      <c r="S4299">
        <v>-10.794594763199999</v>
      </c>
      <c r="T4299">
        <v>-97.2689993738</v>
      </c>
      <c r="U4299">
        <v>0</v>
      </c>
      <c r="V4299">
        <v>0</v>
      </c>
    </row>
    <row r="4300" spans="1:22" x14ac:dyDescent="0.2">
      <c r="A4300"/>
      <c r="B4300">
        <v>81017</v>
      </c>
      <c r="C4300" t="s">
        <v>4231</v>
      </c>
      <c r="D4300" t="s">
        <v>1201</v>
      </c>
      <c r="E4300" t="s">
        <v>1198</v>
      </c>
      <c r="F4300" t="s">
        <v>2330</v>
      </c>
      <c r="G4300">
        <v>240</v>
      </c>
      <c r="H4300" t="s">
        <v>12</v>
      </c>
      <c r="Q4300">
        <v>3263.45201395</v>
      </c>
      <c r="R4300">
        <v>31701.606396300002</v>
      </c>
      <c r="S4300">
        <v>-10.800165740500001</v>
      </c>
      <c r="T4300">
        <v>-94.567575933300006</v>
      </c>
      <c r="U4300">
        <v>0</v>
      </c>
      <c r="V4300">
        <v>0</v>
      </c>
    </row>
    <row r="4301" spans="1:22" x14ac:dyDescent="0.2">
      <c r="A4301"/>
      <c r="B4301">
        <v>81018</v>
      </c>
      <c r="C4301" t="s">
        <v>4232</v>
      </c>
      <c r="D4301" t="s">
        <v>1201</v>
      </c>
      <c r="E4301" t="s">
        <v>1274</v>
      </c>
      <c r="F4301" t="s">
        <v>2350</v>
      </c>
      <c r="G4301">
        <v>210</v>
      </c>
      <c r="H4301" t="s">
        <v>12</v>
      </c>
      <c r="Q4301">
        <v>2493.19427855</v>
      </c>
      <c r="R4301">
        <v>23279.248286599999</v>
      </c>
      <c r="S4301">
        <v>-13.435839535</v>
      </c>
      <c r="T4301">
        <v>-110.359647272</v>
      </c>
      <c r="U4301">
        <v>0</v>
      </c>
      <c r="V4301">
        <v>0</v>
      </c>
    </row>
    <row r="4302" spans="1:22" x14ac:dyDescent="0.2">
      <c r="A4302"/>
      <c r="B4302">
        <v>81019</v>
      </c>
      <c r="C4302" t="s">
        <v>4233</v>
      </c>
      <c r="D4302" t="s">
        <v>1201</v>
      </c>
      <c r="E4302" t="s">
        <v>1198</v>
      </c>
      <c r="F4302" t="s">
        <v>2350</v>
      </c>
      <c r="G4302">
        <v>250</v>
      </c>
      <c r="H4302" t="s">
        <v>12</v>
      </c>
      <c r="Q4302">
        <v>2480.6597223700001</v>
      </c>
      <c r="R4302">
        <v>23241.394567700001</v>
      </c>
      <c r="S4302">
        <v>-14.1706496926</v>
      </c>
      <c r="T4302">
        <v>-106.409698668</v>
      </c>
      <c r="U4302">
        <v>0</v>
      </c>
      <c r="V4302">
        <v>0</v>
      </c>
    </row>
    <row r="4303" spans="1:22" x14ac:dyDescent="0.2">
      <c r="A4303"/>
      <c r="B4303">
        <v>81020</v>
      </c>
      <c r="C4303" t="s">
        <v>4234</v>
      </c>
      <c r="D4303" t="s">
        <v>1201</v>
      </c>
      <c r="E4303" t="s">
        <v>1274</v>
      </c>
      <c r="F4303" t="s">
        <v>2345</v>
      </c>
      <c r="G4303">
        <v>210</v>
      </c>
      <c r="H4303" t="s">
        <v>12</v>
      </c>
      <c r="Q4303">
        <v>2620.0626940000002</v>
      </c>
      <c r="R4303">
        <v>23960.812560300001</v>
      </c>
      <c r="S4303">
        <v>-7.0840584770100001</v>
      </c>
      <c r="T4303">
        <v>-82.262300749199994</v>
      </c>
      <c r="U4303">
        <v>0</v>
      </c>
      <c r="V4303">
        <v>0</v>
      </c>
    </row>
    <row r="4304" spans="1:22" x14ac:dyDescent="0.2">
      <c r="A4304"/>
      <c r="B4304">
        <v>81021</v>
      </c>
      <c r="C4304" t="s">
        <v>4235</v>
      </c>
      <c r="D4304" t="s">
        <v>1201</v>
      </c>
      <c r="E4304" t="s">
        <v>1198</v>
      </c>
      <c r="F4304" t="s">
        <v>2345</v>
      </c>
      <c r="G4304">
        <v>250</v>
      </c>
      <c r="H4304" t="s">
        <v>12</v>
      </c>
      <c r="Q4304">
        <v>2621.4912896999999</v>
      </c>
      <c r="R4304">
        <v>23920.580100300002</v>
      </c>
      <c r="S4304">
        <v>-6.6413689970599998</v>
      </c>
      <c r="T4304">
        <v>-94.195499849300006</v>
      </c>
      <c r="U4304">
        <v>0</v>
      </c>
      <c r="V4304">
        <v>0</v>
      </c>
    </row>
    <row r="4305" spans="1:22" x14ac:dyDescent="0.2">
      <c r="A4305"/>
      <c r="B4305">
        <v>81022</v>
      </c>
      <c r="C4305" t="s">
        <v>4236</v>
      </c>
      <c r="D4305" t="s">
        <v>1201</v>
      </c>
      <c r="E4305" t="s">
        <v>1274</v>
      </c>
      <c r="F4305" t="s">
        <v>2337</v>
      </c>
      <c r="G4305">
        <v>1008</v>
      </c>
      <c r="H4305" t="s">
        <v>1270</v>
      </c>
      <c r="Q4305">
        <v>2702.9213175700002</v>
      </c>
      <c r="R4305">
        <v>24446.9872531</v>
      </c>
      <c r="S4305">
        <v>-16.785605243199999</v>
      </c>
      <c r="T4305">
        <v>84.228567665400007</v>
      </c>
      <c r="U4305">
        <v>0</v>
      </c>
      <c r="V4305">
        <v>0</v>
      </c>
    </row>
    <row r="4306" spans="1:22" x14ac:dyDescent="0.2">
      <c r="A4306"/>
      <c r="B4306">
        <v>81023</v>
      </c>
      <c r="C4306" t="s">
        <v>4237</v>
      </c>
      <c r="D4306" t="s">
        <v>1201</v>
      </c>
      <c r="E4306" t="s">
        <v>1198</v>
      </c>
      <c r="F4306" t="s">
        <v>2337</v>
      </c>
      <c r="G4306">
        <v>968</v>
      </c>
      <c r="H4306" t="s">
        <v>1270</v>
      </c>
      <c r="Q4306">
        <v>2705.0768532900001</v>
      </c>
      <c r="R4306">
        <v>24486.7593409</v>
      </c>
      <c r="S4306">
        <v>-17.570055114100001</v>
      </c>
      <c r="T4306">
        <v>89.5174011111</v>
      </c>
      <c r="U4306">
        <v>0</v>
      </c>
      <c r="V4306">
        <v>0</v>
      </c>
    </row>
    <row r="4307" spans="1:22" x14ac:dyDescent="0.2">
      <c r="A4307"/>
      <c r="B4307">
        <v>90001</v>
      </c>
      <c r="C4307" t="s">
        <v>1216</v>
      </c>
      <c r="D4307" t="s">
        <v>1212</v>
      </c>
      <c r="E4307" t="s">
        <v>52</v>
      </c>
      <c r="F4307" t="s">
        <v>125</v>
      </c>
      <c r="G4307">
        <v>131</v>
      </c>
      <c r="H4307" t="s">
        <v>248</v>
      </c>
      <c r="I4307">
        <v>0</v>
      </c>
      <c r="J4307">
        <v>0</v>
      </c>
      <c r="K4307">
        <v>0</v>
      </c>
      <c r="L4307">
        <v>0</v>
      </c>
      <c r="M4307" t="s">
        <v>125</v>
      </c>
      <c r="N4307">
        <v>131</v>
      </c>
      <c r="O4307" t="s">
        <v>248</v>
      </c>
      <c r="P4307" t="b">
        <v>1</v>
      </c>
      <c r="Q4307">
        <v>5682.9733279780703</v>
      </c>
      <c r="R4307">
        <v>28277.12717973291</v>
      </c>
      <c r="S4307">
        <v>5.1661811032389933</v>
      </c>
      <c r="T4307">
        <v>81.208667210252301</v>
      </c>
      <c r="U4307">
        <v>0</v>
      </c>
      <c r="V4307">
        <v>0</v>
      </c>
    </row>
    <row r="4308" spans="1:22" x14ac:dyDescent="0.2">
      <c r="A4308"/>
      <c r="B4308">
        <v>90001</v>
      </c>
      <c r="C4308" t="s">
        <v>1216</v>
      </c>
      <c r="D4308" t="s">
        <v>1212</v>
      </c>
      <c r="E4308" t="s">
        <v>52</v>
      </c>
      <c r="F4308" t="s">
        <v>91</v>
      </c>
      <c r="G4308">
        <v>251</v>
      </c>
      <c r="H4308" t="s">
        <v>248</v>
      </c>
      <c r="M4308" t="s">
        <v>125</v>
      </c>
      <c r="N4308">
        <v>131</v>
      </c>
      <c r="O4308" t="s">
        <v>248</v>
      </c>
      <c r="P4308" t="b">
        <v>1</v>
      </c>
      <c r="Q4308">
        <v>5682.9733279780703</v>
      </c>
      <c r="R4308">
        <v>28277.12717973291</v>
      </c>
      <c r="S4308">
        <v>5.1661811032389933</v>
      </c>
      <c r="T4308">
        <v>81.208667210252301</v>
      </c>
      <c r="U4308">
        <v>0</v>
      </c>
      <c r="V4308">
        <v>0</v>
      </c>
    </row>
    <row r="4309" spans="1:22" x14ac:dyDescent="0.2">
      <c r="A4309"/>
      <c r="B4309">
        <v>90002</v>
      </c>
      <c r="C4309" t="s">
        <v>1217</v>
      </c>
      <c r="D4309" t="s">
        <v>1212</v>
      </c>
      <c r="E4309" t="s">
        <v>52</v>
      </c>
      <c r="F4309" t="s">
        <v>126</v>
      </c>
      <c r="G4309">
        <v>6384</v>
      </c>
      <c r="H4309" t="s">
        <v>248</v>
      </c>
      <c r="I4309">
        <v>0</v>
      </c>
      <c r="J4309">
        <v>0</v>
      </c>
      <c r="K4309">
        <v>0</v>
      </c>
      <c r="L4309">
        <v>0</v>
      </c>
      <c r="M4309" t="s">
        <v>126</v>
      </c>
      <c r="N4309">
        <v>6384</v>
      </c>
      <c r="O4309" t="s">
        <v>248</v>
      </c>
      <c r="P4309" t="b">
        <v>1</v>
      </c>
      <c r="Q4309">
        <v>6500.5612253806739</v>
      </c>
      <c r="R4309">
        <v>35446.014726066467</v>
      </c>
      <c r="S4309">
        <v>-5.7739175618975684</v>
      </c>
      <c r="T4309">
        <v>78.455004058063068</v>
      </c>
      <c r="U4309">
        <v>0</v>
      </c>
      <c r="V4309">
        <v>0</v>
      </c>
    </row>
    <row r="4310" spans="1:22" x14ac:dyDescent="0.2">
      <c r="A4310"/>
      <c r="B4310">
        <v>90002</v>
      </c>
      <c r="C4310" t="s">
        <v>1217</v>
      </c>
      <c r="D4310" t="s">
        <v>1212</v>
      </c>
      <c r="E4310" t="s">
        <v>52</v>
      </c>
      <c r="F4310" t="s">
        <v>92</v>
      </c>
      <c r="G4310">
        <v>6631</v>
      </c>
      <c r="H4310" t="s">
        <v>248</v>
      </c>
      <c r="M4310" t="s">
        <v>126</v>
      </c>
      <c r="N4310">
        <v>6384</v>
      </c>
      <c r="O4310" t="s">
        <v>248</v>
      </c>
      <c r="P4310" t="b">
        <v>1</v>
      </c>
      <c r="Q4310">
        <v>6500.5612253806739</v>
      </c>
      <c r="R4310">
        <v>35446.014726066467</v>
      </c>
      <c r="S4310">
        <v>-5.7739175618975684</v>
      </c>
      <c r="T4310">
        <v>78.455004058063068</v>
      </c>
      <c r="U4310">
        <v>0</v>
      </c>
      <c r="V4310">
        <v>0</v>
      </c>
    </row>
    <row r="4311" spans="1:22" x14ac:dyDescent="0.2">
      <c r="A4311"/>
      <c r="B4311">
        <v>100000</v>
      </c>
      <c r="C4311" t="s">
        <v>4238</v>
      </c>
      <c r="D4311" t="s">
        <v>1212</v>
      </c>
      <c r="E4311" t="s">
        <v>52</v>
      </c>
      <c r="F4311" t="s">
        <v>1915</v>
      </c>
      <c r="G4311">
        <v>6803</v>
      </c>
      <c r="H4311" t="s">
        <v>248</v>
      </c>
      <c r="Q4311">
        <v>4058.2156283999998</v>
      </c>
      <c r="R4311">
        <v>33565.320976900002</v>
      </c>
      <c r="S4311">
        <v>-15.885385683999999</v>
      </c>
      <c r="T4311">
        <v>-103.509921272</v>
      </c>
      <c r="U4311">
        <v>0</v>
      </c>
      <c r="V4311">
        <v>0</v>
      </c>
    </row>
    <row r="4312" spans="1:22" x14ac:dyDescent="0.2">
      <c r="A4312"/>
      <c r="B4312">
        <v>100000</v>
      </c>
      <c r="C4312" t="s">
        <v>4238</v>
      </c>
      <c r="D4312" t="s">
        <v>1212</v>
      </c>
      <c r="E4312" t="s">
        <v>52</v>
      </c>
      <c r="F4312" t="s">
        <v>2310</v>
      </c>
      <c r="G4312">
        <v>6892</v>
      </c>
      <c r="H4312" t="s">
        <v>248</v>
      </c>
      <c r="Q4312">
        <v>4058.2156283999998</v>
      </c>
      <c r="R4312">
        <v>33565.320976900002</v>
      </c>
      <c r="S4312">
        <v>-15.885385683999999</v>
      </c>
      <c r="T4312">
        <v>-103.509921272</v>
      </c>
      <c r="U4312">
        <v>0</v>
      </c>
      <c r="V4312">
        <v>0</v>
      </c>
    </row>
    <row r="4313" spans="1:22" x14ac:dyDescent="0.2">
      <c r="A4313"/>
      <c r="B4313">
        <v>100001</v>
      </c>
      <c r="C4313" t="s">
        <v>4239</v>
      </c>
      <c r="D4313" t="s">
        <v>4240</v>
      </c>
      <c r="E4313" t="s">
        <v>1914</v>
      </c>
      <c r="F4313" t="s">
        <v>2343</v>
      </c>
      <c r="G4313">
        <v>97</v>
      </c>
      <c r="H4313" t="s">
        <v>248</v>
      </c>
      <c r="Q4313">
        <v>2671.8893674300002</v>
      </c>
      <c r="R4313">
        <v>25356.934222799999</v>
      </c>
      <c r="S4313">
        <v>-16.0649246465</v>
      </c>
      <c r="T4313">
        <v>-87.963387210299999</v>
      </c>
      <c r="U4313">
        <v>0</v>
      </c>
      <c r="V4313">
        <v>0</v>
      </c>
    </row>
    <row r="4314" spans="1:22" x14ac:dyDescent="0.2">
      <c r="A4314"/>
      <c r="B4314">
        <v>100002</v>
      </c>
      <c r="C4314" t="s">
        <v>4241</v>
      </c>
      <c r="D4314" t="s">
        <v>4240</v>
      </c>
      <c r="E4314" t="s">
        <v>1914</v>
      </c>
      <c r="F4314" t="s">
        <v>2313</v>
      </c>
      <c r="G4314">
        <v>29</v>
      </c>
      <c r="H4314" t="s">
        <v>248</v>
      </c>
      <c r="Q4314">
        <v>3505.5287229300002</v>
      </c>
      <c r="R4314">
        <v>32704.487232200001</v>
      </c>
      <c r="S4314">
        <v>-11.2867496607</v>
      </c>
      <c r="T4314">
        <v>-114.89350440299999</v>
      </c>
      <c r="U4314">
        <v>0</v>
      </c>
      <c r="V4314">
        <v>0</v>
      </c>
    </row>
    <row r="4315" spans="1:22" x14ac:dyDescent="0.2">
      <c r="A4315"/>
      <c r="B4315">
        <v>100003</v>
      </c>
      <c r="C4315" t="s">
        <v>4242</v>
      </c>
      <c r="D4315" t="s">
        <v>4240</v>
      </c>
      <c r="E4315" t="s">
        <v>1914</v>
      </c>
      <c r="F4315" t="s">
        <v>92</v>
      </c>
      <c r="G4315">
        <v>5505</v>
      </c>
      <c r="H4315" t="s">
        <v>248</v>
      </c>
      <c r="Q4315">
        <v>6439.5516696499999</v>
      </c>
      <c r="R4315">
        <v>34571.341226899996</v>
      </c>
      <c r="S4315">
        <v>0.80101095898899999</v>
      </c>
      <c r="T4315">
        <v>87.252026696900003</v>
      </c>
      <c r="U4315">
        <v>0</v>
      </c>
      <c r="V4315">
        <v>0</v>
      </c>
    </row>
    <row r="4316" spans="1:22" x14ac:dyDescent="0.2">
      <c r="A4316"/>
      <c r="B4316">
        <v>100004</v>
      </c>
      <c r="C4316" t="s">
        <v>4243</v>
      </c>
      <c r="D4316" t="s">
        <v>4240</v>
      </c>
      <c r="E4316" t="s">
        <v>1914</v>
      </c>
      <c r="F4316" t="s">
        <v>123</v>
      </c>
      <c r="G4316">
        <v>4750</v>
      </c>
      <c r="H4316" t="s">
        <v>248</v>
      </c>
      <c r="Q4316">
        <v>5458.9215223000001</v>
      </c>
      <c r="R4316">
        <v>26955.286168300001</v>
      </c>
      <c r="S4316">
        <v>-7.4185476994400004</v>
      </c>
      <c r="T4316">
        <v>79.138348572200002</v>
      </c>
      <c r="U4316">
        <v>0</v>
      </c>
      <c r="V4316">
        <v>0</v>
      </c>
    </row>
    <row r="4317" spans="1:22" x14ac:dyDescent="0.2">
      <c r="A43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1"/>
  <sheetViews>
    <sheetView workbookViewId="0">
      <selection activeCell="I7" sqref="I7"/>
    </sheetView>
  </sheetViews>
  <sheetFormatPr defaultColWidth="9.140625" defaultRowHeight="12.75" x14ac:dyDescent="0.2"/>
  <cols>
    <col min="1" max="1" width="9.140625" style="218"/>
    <col min="2" max="2" width="13.5703125" bestFit="1" customWidth="1"/>
    <col min="3" max="3" width="30.140625" bestFit="1" customWidth="1"/>
  </cols>
  <sheetData>
    <row r="1" spans="2:3" s="95" customFormat="1" x14ac:dyDescent="0.2">
      <c r="B1" s="95" t="s">
        <v>27</v>
      </c>
      <c r="C1" s="95" t="s">
        <v>11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DBAB7-3755-4B9F-BF08-27E1119D666A}">
  <dimension ref="A1:M34"/>
  <sheetViews>
    <sheetView workbookViewId="0">
      <selection activeCell="H40" sqref="H40"/>
    </sheetView>
  </sheetViews>
  <sheetFormatPr defaultRowHeight="12.75" x14ac:dyDescent="0.2"/>
  <cols>
    <col min="1" max="1" width="14.42578125" style="218" bestFit="1" customWidth="1"/>
    <col min="2" max="3" width="24.5703125" bestFit="1" customWidth="1"/>
    <col min="4" max="4" width="12" bestFit="1" customWidth="1"/>
    <col min="5" max="5" width="13.140625" bestFit="1" customWidth="1"/>
    <col min="6" max="6" width="23.42578125" bestFit="1" customWidth="1"/>
    <col min="7" max="7" width="8.28515625" bestFit="1" customWidth="1"/>
    <col min="8" max="8" width="31.85546875" bestFit="1" customWidth="1"/>
    <col min="9" max="9" width="18" bestFit="1" customWidth="1"/>
    <col min="10" max="10" width="10.140625" bestFit="1" customWidth="1"/>
    <col min="11" max="11" width="11.7109375" bestFit="1" customWidth="1"/>
  </cols>
  <sheetData>
    <row r="1" spans="1:13" ht="15" x14ac:dyDescent="0.25">
      <c r="A1" s="220" t="s">
        <v>1</v>
      </c>
      <c r="B1" s="97" t="s">
        <v>2</v>
      </c>
      <c r="C1" s="98" t="s">
        <v>6</v>
      </c>
      <c r="D1" s="97" t="s">
        <v>7</v>
      </c>
      <c r="E1" s="97" t="s">
        <v>12</v>
      </c>
      <c r="F1" s="99" t="s">
        <v>75</v>
      </c>
      <c r="G1" s="100" t="s">
        <v>20</v>
      </c>
      <c r="H1" s="100" t="s">
        <v>8</v>
      </c>
      <c r="I1" s="101" t="s">
        <v>28</v>
      </c>
      <c r="K1" s="102"/>
    </row>
    <row r="2" spans="1:13" ht="15" x14ac:dyDescent="0.25">
      <c r="A2" s="222" t="s">
        <v>76</v>
      </c>
      <c r="B2" s="93" t="s">
        <v>185</v>
      </c>
      <c r="C2" s="93" t="s">
        <v>82</v>
      </c>
      <c r="D2" s="104">
        <v>0</v>
      </c>
      <c r="E2" s="94">
        <v>1</v>
      </c>
      <c r="F2" s="104" t="s">
        <v>74</v>
      </c>
      <c r="G2" s="91">
        <v>0</v>
      </c>
      <c r="H2" s="94"/>
      <c r="I2" s="94"/>
      <c r="J2" s="94"/>
      <c r="K2" s="94"/>
      <c r="L2" s="94"/>
      <c r="M2" s="94"/>
    </row>
    <row r="3" spans="1:13" ht="15" x14ac:dyDescent="0.25">
      <c r="A3" s="222" t="s">
        <v>76</v>
      </c>
      <c r="B3" s="93" t="s">
        <v>185</v>
      </c>
      <c r="C3" s="93"/>
      <c r="D3" s="104"/>
      <c r="E3" s="94"/>
      <c r="F3" s="104"/>
      <c r="G3" s="91"/>
      <c r="H3" s="94"/>
      <c r="I3" s="94" t="s">
        <v>104</v>
      </c>
      <c r="J3" s="94"/>
      <c r="K3" s="94"/>
      <c r="L3" s="94"/>
      <c r="M3" s="94"/>
    </row>
    <row r="4" spans="1:13" ht="15" x14ac:dyDescent="0.25">
      <c r="A4" s="222"/>
      <c r="B4" s="93"/>
      <c r="C4" s="93"/>
      <c r="D4" s="104"/>
      <c r="E4" s="94"/>
      <c r="F4" s="104"/>
      <c r="G4" s="91"/>
      <c r="H4" s="94"/>
      <c r="I4" s="94"/>
      <c r="J4" s="94"/>
      <c r="K4" s="94"/>
      <c r="L4" s="94"/>
      <c r="M4" s="94"/>
    </row>
    <row r="5" spans="1:13" ht="15" x14ac:dyDescent="0.25">
      <c r="A5" s="222" t="s">
        <v>76</v>
      </c>
      <c r="B5" s="93" t="s">
        <v>186</v>
      </c>
      <c r="C5" s="93" t="s">
        <v>106</v>
      </c>
      <c r="D5" s="104">
        <v>0</v>
      </c>
      <c r="E5" s="94">
        <v>1</v>
      </c>
      <c r="F5" s="104" t="s">
        <v>74</v>
      </c>
      <c r="G5" s="91">
        <v>0</v>
      </c>
      <c r="H5" s="94"/>
      <c r="I5" s="94"/>
      <c r="J5" s="94"/>
      <c r="K5" s="94"/>
      <c r="L5" s="94"/>
      <c r="M5" s="94"/>
    </row>
    <row r="6" spans="1:13" ht="15" x14ac:dyDescent="0.25">
      <c r="A6" s="222" t="s">
        <v>76</v>
      </c>
      <c r="B6" s="93" t="s">
        <v>186</v>
      </c>
      <c r="C6" s="93"/>
      <c r="D6" s="104"/>
      <c r="E6" s="94"/>
      <c r="F6" s="104"/>
      <c r="G6" s="91"/>
      <c r="H6" s="94"/>
      <c r="I6" s="94" t="s">
        <v>105</v>
      </c>
      <c r="J6" s="94"/>
      <c r="K6" s="94"/>
      <c r="L6" s="94"/>
      <c r="M6" s="94"/>
    </row>
    <row r="7" spans="1:13" ht="15" x14ac:dyDescent="0.25">
      <c r="A7" s="222"/>
      <c r="B7" s="92"/>
      <c r="C7" s="92"/>
      <c r="D7" s="106"/>
      <c r="E7" s="106"/>
      <c r="G7" s="105"/>
    </row>
    <row r="8" spans="1:13" ht="15" x14ac:dyDescent="0.25">
      <c r="A8" s="222"/>
      <c r="B8" s="92"/>
      <c r="C8" s="92"/>
      <c r="D8" s="106"/>
      <c r="E8" s="106"/>
      <c r="G8" s="105"/>
    </row>
    <row r="9" spans="1:13" ht="15" x14ac:dyDescent="0.25">
      <c r="A9" s="210" t="s">
        <v>1</v>
      </c>
      <c r="B9" s="95" t="s">
        <v>2</v>
      </c>
      <c r="C9" s="95" t="s">
        <v>9</v>
      </c>
      <c r="D9" s="107" t="s">
        <v>7</v>
      </c>
      <c r="E9" s="107" t="s">
        <v>10</v>
      </c>
      <c r="F9" s="108" t="s">
        <v>77</v>
      </c>
      <c r="G9" s="109" t="s">
        <v>11</v>
      </c>
      <c r="H9" s="95" t="s">
        <v>78</v>
      </c>
      <c r="I9" s="95" t="s">
        <v>79</v>
      </c>
      <c r="J9" s="95" t="s">
        <v>80</v>
      </c>
      <c r="K9" s="95" t="s">
        <v>81</v>
      </c>
      <c r="L9" s="95"/>
      <c r="M9" s="95"/>
    </row>
    <row r="10" spans="1:13" ht="15" x14ac:dyDescent="0.25">
      <c r="A10" s="218" t="s">
        <v>107</v>
      </c>
      <c r="B10" s="94" t="s">
        <v>187</v>
      </c>
      <c r="C10" s="93" t="s">
        <v>185</v>
      </c>
      <c r="D10">
        <v>0</v>
      </c>
      <c r="E10" s="4">
        <v>-525.9</v>
      </c>
      <c r="F10" t="s">
        <v>115</v>
      </c>
      <c r="G10" s="110">
        <f>100*((D11-D10)-(E11-E10))/(D11-D10)</f>
        <v>-1.4423384474793326</v>
      </c>
      <c r="H10" t="s">
        <v>82</v>
      </c>
      <c r="I10">
        <v>246.65243706851601</v>
      </c>
      <c r="J10" s="113">
        <f>E11-E10</f>
        <v>250.20999999999998</v>
      </c>
      <c r="K10" s="113">
        <f>I10-J10</f>
        <v>-3.5575629314839716</v>
      </c>
    </row>
    <row r="11" spans="1:13" ht="15" x14ac:dyDescent="0.25">
      <c r="A11" s="218" t="s">
        <v>107</v>
      </c>
      <c r="B11" s="94" t="s">
        <v>187</v>
      </c>
      <c r="C11" s="93" t="s">
        <v>185</v>
      </c>
      <c r="D11">
        <v>246.65243706851601</v>
      </c>
      <c r="E11" s="4">
        <v>-275.69</v>
      </c>
      <c r="F11" t="s">
        <v>85</v>
      </c>
      <c r="G11" s="110">
        <f t="shared" ref="G11:G20" si="0">100*((D12-D11)-(E12-E11))/(D12-D11)</f>
        <v>-2.9810338335337918</v>
      </c>
      <c r="H11" t="s">
        <v>83</v>
      </c>
      <c r="I11">
        <v>77.276365402039403</v>
      </c>
      <c r="J11" s="113">
        <f t="shared" ref="J11:J20" si="1">E12-E11</f>
        <v>79.579999999999984</v>
      </c>
      <c r="K11" s="113">
        <f t="shared" ref="K11:K20" si="2">I11-J11</f>
        <v>-2.3036345979605812</v>
      </c>
    </row>
    <row r="12" spans="1:13" ht="15" x14ac:dyDescent="0.25">
      <c r="A12" s="218" t="s">
        <v>107</v>
      </c>
      <c r="B12" s="94" t="s">
        <v>187</v>
      </c>
      <c r="C12" s="93" t="s">
        <v>185</v>
      </c>
      <c r="D12">
        <v>323.92880247055598</v>
      </c>
      <c r="E12" s="4">
        <v>-196.11</v>
      </c>
      <c r="F12" t="s">
        <v>93</v>
      </c>
      <c r="G12" s="110">
        <f t="shared" si="0"/>
        <v>-1.6055471712301228</v>
      </c>
      <c r="H12" t="s">
        <v>84</v>
      </c>
      <c r="I12">
        <v>454.82752946667199</v>
      </c>
      <c r="J12" s="113">
        <f t="shared" si="1"/>
        <v>462.13</v>
      </c>
      <c r="K12" s="113">
        <f t="shared" si="2"/>
        <v>-7.3024705333280053</v>
      </c>
    </row>
    <row r="13" spans="1:13" ht="15" x14ac:dyDescent="0.25">
      <c r="A13" s="218" t="s">
        <v>107</v>
      </c>
      <c r="B13" s="94" t="s">
        <v>187</v>
      </c>
      <c r="C13" s="93" t="s">
        <v>185</v>
      </c>
      <c r="D13">
        <v>778.75633193722797</v>
      </c>
      <c r="E13" s="4">
        <v>266.02</v>
      </c>
      <c r="F13" t="s">
        <v>86</v>
      </c>
      <c r="G13" s="110">
        <f t="shared" si="0"/>
        <v>-1.6210821506933595</v>
      </c>
      <c r="H13" t="s">
        <v>87</v>
      </c>
      <c r="I13">
        <v>5558.4627524668203</v>
      </c>
      <c r="J13" s="113">
        <f t="shared" si="1"/>
        <v>5648.57</v>
      </c>
      <c r="K13" s="113">
        <f t="shared" si="2"/>
        <v>-90.107247533179361</v>
      </c>
    </row>
    <row r="14" spans="1:13" ht="15" x14ac:dyDescent="0.25">
      <c r="A14" s="218" t="s">
        <v>107</v>
      </c>
      <c r="B14" s="94" t="s">
        <v>187</v>
      </c>
      <c r="C14" s="93" t="s">
        <v>185</v>
      </c>
      <c r="D14">
        <v>6337.2190844040497</v>
      </c>
      <c r="E14" s="4">
        <v>5914.59</v>
      </c>
      <c r="F14" t="s">
        <v>88</v>
      </c>
      <c r="G14" s="110">
        <f t="shared" si="0"/>
        <v>-1.9749842515106688</v>
      </c>
      <c r="H14" t="s">
        <v>89</v>
      </c>
      <c r="I14">
        <v>401.23565892479502</v>
      </c>
      <c r="J14" s="113">
        <f t="shared" si="1"/>
        <v>409.15999999999985</v>
      </c>
      <c r="K14" s="113">
        <f t="shared" si="2"/>
        <v>-7.9243410752048362</v>
      </c>
    </row>
    <row r="15" spans="1:13" ht="15" x14ac:dyDescent="0.25">
      <c r="A15" s="218" t="s">
        <v>107</v>
      </c>
      <c r="B15" s="94" t="s">
        <v>187</v>
      </c>
      <c r="C15" s="93" t="s">
        <v>185</v>
      </c>
      <c r="D15">
        <v>6738.4547433288399</v>
      </c>
      <c r="E15" s="4">
        <v>6323.75</v>
      </c>
      <c r="F15" t="s">
        <v>90</v>
      </c>
      <c r="G15" s="110">
        <f t="shared" si="0"/>
        <v>-0.25657325561740146</v>
      </c>
      <c r="H15" t="s">
        <v>91</v>
      </c>
      <c r="I15">
        <v>1277.97106802492</v>
      </c>
      <c r="J15" s="113">
        <f t="shared" si="1"/>
        <v>1281.25</v>
      </c>
      <c r="K15" s="113">
        <f t="shared" si="2"/>
        <v>-3.2789319750800132</v>
      </c>
    </row>
    <row r="16" spans="1:13" ht="15" x14ac:dyDescent="0.25">
      <c r="A16" s="218" t="s">
        <v>107</v>
      </c>
      <c r="B16" s="94" t="s">
        <v>187</v>
      </c>
      <c r="C16" s="93" t="s">
        <v>185</v>
      </c>
      <c r="D16">
        <v>8016.4258113537599</v>
      </c>
      <c r="E16" s="4">
        <v>7605</v>
      </c>
      <c r="G16" s="110">
        <f t="shared" si="0"/>
        <v>-1.8787490411191947</v>
      </c>
      <c r="H16" t="s">
        <v>92</v>
      </c>
      <c r="I16">
        <v>7209.05004147211</v>
      </c>
      <c r="J16" s="113">
        <f t="shared" si="1"/>
        <v>7344.49</v>
      </c>
      <c r="K16" s="113">
        <f t="shared" si="2"/>
        <v>-135.43995852788976</v>
      </c>
    </row>
    <row r="17" spans="1:11" ht="15" x14ac:dyDescent="0.25">
      <c r="A17" s="218" t="s">
        <v>107</v>
      </c>
      <c r="B17" s="94" t="s">
        <v>187</v>
      </c>
      <c r="C17" s="93" t="s">
        <v>185</v>
      </c>
      <c r="D17">
        <v>15225.475852825801</v>
      </c>
      <c r="E17" s="4">
        <v>14949.49</v>
      </c>
      <c r="F17" t="s">
        <v>101</v>
      </c>
      <c r="G17" s="110">
        <f t="shared" si="0"/>
        <v>-3.2298487624674528</v>
      </c>
      <c r="H17" t="s">
        <v>116</v>
      </c>
      <c r="I17">
        <v>77.090106160209302</v>
      </c>
      <c r="J17" s="113">
        <f t="shared" si="1"/>
        <v>79.579999999999927</v>
      </c>
      <c r="K17" s="113">
        <f t="shared" si="2"/>
        <v>-2.489893839790625</v>
      </c>
    </row>
    <row r="18" spans="1:11" ht="15" x14ac:dyDescent="0.25">
      <c r="A18" s="218" t="s">
        <v>107</v>
      </c>
      <c r="B18" s="94" t="s">
        <v>187</v>
      </c>
      <c r="C18" s="93" t="s">
        <v>185</v>
      </c>
      <c r="D18">
        <v>15302.565958986001</v>
      </c>
      <c r="E18" s="4">
        <v>15029.07</v>
      </c>
      <c r="F18" t="s">
        <v>100</v>
      </c>
      <c r="G18" s="110">
        <f t="shared" si="0"/>
        <v>17.987594752960657</v>
      </c>
      <c r="H18" t="s">
        <v>117</v>
      </c>
      <c r="I18">
        <v>15.326949578045999</v>
      </c>
      <c r="J18" s="113">
        <f t="shared" si="1"/>
        <v>12.569999999999709</v>
      </c>
      <c r="K18" s="113">
        <f t="shared" si="2"/>
        <v>2.7569495780462905</v>
      </c>
    </row>
    <row r="19" spans="1:11" ht="15" x14ac:dyDescent="0.25">
      <c r="A19" s="218" t="s">
        <v>107</v>
      </c>
      <c r="B19" s="94" t="s">
        <v>187</v>
      </c>
      <c r="C19" s="93" t="s">
        <v>185</v>
      </c>
      <c r="D19">
        <v>15317.892908564099</v>
      </c>
      <c r="E19" s="4">
        <v>15041.64</v>
      </c>
      <c r="F19" t="s">
        <v>99</v>
      </c>
      <c r="G19" s="110">
        <f t="shared" si="0"/>
        <v>-11.370137113744162</v>
      </c>
      <c r="H19" t="s">
        <v>118</v>
      </c>
      <c r="I19">
        <v>363.50857643871501</v>
      </c>
      <c r="J19" s="113">
        <f t="shared" si="1"/>
        <v>404.84000000000015</v>
      </c>
      <c r="K19" s="113">
        <f t="shared" si="2"/>
        <v>-41.331423561285135</v>
      </c>
    </row>
    <row r="20" spans="1:11" ht="15" x14ac:dyDescent="0.25">
      <c r="A20" s="218" t="s">
        <v>107</v>
      </c>
      <c r="B20" s="94" t="s">
        <v>187</v>
      </c>
      <c r="C20" s="93" t="s">
        <v>185</v>
      </c>
      <c r="D20">
        <v>15681.4014850028</v>
      </c>
      <c r="E20" s="4">
        <v>15446.48</v>
      </c>
      <c r="G20" s="110">
        <f t="shared" si="0"/>
        <v>75.539304584888569</v>
      </c>
      <c r="H20" t="s">
        <v>119</v>
      </c>
      <c r="I20">
        <v>40.881912105533999</v>
      </c>
      <c r="J20" s="113">
        <f t="shared" si="1"/>
        <v>10</v>
      </c>
      <c r="K20" s="113">
        <f t="shared" si="2"/>
        <v>30.881912105533999</v>
      </c>
    </row>
    <row r="21" spans="1:11" ht="15" x14ac:dyDescent="0.25">
      <c r="A21" s="218" t="s">
        <v>107</v>
      </c>
      <c r="B21" s="94" t="s">
        <v>187</v>
      </c>
      <c r="C21" s="93" t="s">
        <v>185</v>
      </c>
      <c r="D21">
        <v>15722.2833971083</v>
      </c>
      <c r="E21" s="4">
        <v>15456.48</v>
      </c>
      <c r="F21" t="s">
        <v>104</v>
      </c>
      <c r="G21" s="110" t="e">
        <f>100*((#REF!-D21)-(#REF!-E21))/(#REF!-D21)</f>
        <v>#REF!</v>
      </c>
      <c r="H21" t="s">
        <v>119</v>
      </c>
      <c r="J21" s="113"/>
      <c r="K21" s="113"/>
    </row>
    <row r="24" spans="1:11" ht="15" x14ac:dyDescent="0.25">
      <c r="A24" s="210" t="s">
        <v>1</v>
      </c>
      <c r="B24" s="95" t="s">
        <v>2</v>
      </c>
      <c r="C24" s="95" t="s">
        <v>9</v>
      </c>
      <c r="D24" s="107" t="s">
        <v>7</v>
      </c>
      <c r="E24" s="107" t="s">
        <v>10</v>
      </c>
      <c r="F24" s="108" t="s">
        <v>77</v>
      </c>
      <c r="G24" s="109" t="s">
        <v>11</v>
      </c>
      <c r="H24" s="95" t="s">
        <v>78</v>
      </c>
      <c r="I24" s="95" t="s">
        <v>79</v>
      </c>
      <c r="J24" s="95" t="s">
        <v>80</v>
      </c>
      <c r="K24" s="95" t="s">
        <v>81</v>
      </c>
    </row>
    <row r="25" spans="1:11" ht="15" x14ac:dyDescent="0.25">
      <c r="A25" s="218" t="s">
        <v>107</v>
      </c>
      <c r="B25" t="s">
        <v>188</v>
      </c>
      <c r="C25" s="93" t="s">
        <v>186</v>
      </c>
      <c r="D25">
        <v>0</v>
      </c>
      <c r="E25" s="96">
        <v>-525.9</v>
      </c>
      <c r="F25" t="s">
        <v>115</v>
      </c>
      <c r="G25" s="110">
        <f t="shared" ref="G25:G33" si="3">100*((D26-D25)-(E26-E25))/(D26-D25)</f>
        <v>-1.4383129641996826</v>
      </c>
      <c r="H25" t="s">
        <v>106</v>
      </c>
      <c r="I25">
        <v>246.66222523663799</v>
      </c>
      <c r="J25" s="113">
        <f>E26-E25</f>
        <v>250.20999999999998</v>
      </c>
      <c r="K25" s="113">
        <f t="shared" ref="K25" si="4">I25-J25</f>
        <v>-3.5477747633619856</v>
      </c>
    </row>
    <row r="26" spans="1:11" ht="15" x14ac:dyDescent="0.25">
      <c r="A26" s="218" t="s">
        <v>107</v>
      </c>
      <c r="B26" t="s">
        <v>188</v>
      </c>
      <c r="C26" s="93" t="s">
        <v>186</v>
      </c>
      <c r="D26">
        <v>246.66222523663799</v>
      </c>
      <c r="E26" s="4">
        <v>-275.69</v>
      </c>
      <c r="F26" t="s">
        <v>98</v>
      </c>
      <c r="G26" s="110">
        <f t="shared" si="3"/>
        <v>-2.9861050076166173</v>
      </c>
      <c r="H26" t="s">
        <v>121</v>
      </c>
      <c r="I26">
        <v>77.272560210054095</v>
      </c>
      <c r="J26" s="113">
        <f t="shared" ref="J26:J33" si="5">E27-E26</f>
        <v>79.579999999999984</v>
      </c>
      <c r="K26" s="113">
        <f t="shared" ref="K26:K33" si="6">I26-J26</f>
        <v>-2.3074397899458887</v>
      </c>
    </row>
    <row r="27" spans="1:11" ht="15" x14ac:dyDescent="0.25">
      <c r="A27" s="218" t="s">
        <v>107</v>
      </c>
      <c r="B27" t="s">
        <v>188</v>
      </c>
      <c r="C27" s="93" t="s">
        <v>186</v>
      </c>
      <c r="D27">
        <v>323.93478544669199</v>
      </c>
      <c r="E27" s="4">
        <v>-196.11</v>
      </c>
      <c r="F27" t="s">
        <v>97</v>
      </c>
      <c r="G27" s="110">
        <f t="shared" si="3"/>
        <v>-1.412742723474119</v>
      </c>
      <c r="H27" t="s">
        <v>122</v>
      </c>
      <c r="I27">
        <v>376.84613366791302</v>
      </c>
      <c r="J27" s="113">
        <f t="shared" si="5"/>
        <v>382.17</v>
      </c>
      <c r="K27" s="113">
        <f t="shared" si="6"/>
        <v>-5.3238663320869932</v>
      </c>
    </row>
    <row r="28" spans="1:11" ht="15" x14ac:dyDescent="0.25">
      <c r="A28" s="218" t="s">
        <v>107</v>
      </c>
      <c r="B28" t="s">
        <v>188</v>
      </c>
      <c r="C28" s="93" t="s">
        <v>186</v>
      </c>
      <c r="D28">
        <v>700.78091911460501</v>
      </c>
      <c r="E28" s="4">
        <v>186.06</v>
      </c>
      <c r="F28" t="s">
        <v>96</v>
      </c>
      <c r="G28" s="110">
        <f t="shared" si="3"/>
        <v>-1.660411864377163</v>
      </c>
      <c r="H28" t="s">
        <v>123</v>
      </c>
      <c r="I28">
        <v>5712.80392582697</v>
      </c>
      <c r="J28" s="113">
        <f t="shared" si="5"/>
        <v>5807.66</v>
      </c>
      <c r="K28" s="113">
        <f t="shared" si="6"/>
        <v>-94.85607417302981</v>
      </c>
    </row>
    <row r="29" spans="1:11" ht="15" x14ac:dyDescent="0.25">
      <c r="A29" s="218" t="s">
        <v>107</v>
      </c>
      <c r="B29" t="s">
        <v>188</v>
      </c>
      <c r="C29" s="93" t="s">
        <v>186</v>
      </c>
      <c r="D29">
        <v>6413.5848449415698</v>
      </c>
      <c r="E29" s="4">
        <v>5993.72</v>
      </c>
      <c r="F29" t="s">
        <v>95</v>
      </c>
      <c r="G29" s="110">
        <f t="shared" si="3"/>
        <v>-1.1807222418370054</v>
      </c>
      <c r="H29" t="s">
        <v>124</v>
      </c>
      <c r="I29">
        <v>247.08264031013201</v>
      </c>
      <c r="J29" s="113">
        <f t="shared" si="5"/>
        <v>250</v>
      </c>
      <c r="K29" s="113">
        <f t="shared" si="6"/>
        <v>-2.9173596898679932</v>
      </c>
    </row>
    <row r="30" spans="1:11" ht="15" x14ac:dyDescent="0.25">
      <c r="A30" s="218" t="s">
        <v>107</v>
      </c>
      <c r="B30" t="s">
        <v>188</v>
      </c>
      <c r="C30" s="93" t="s">
        <v>186</v>
      </c>
      <c r="D30">
        <v>6660.6674852517099</v>
      </c>
      <c r="E30" s="4">
        <v>6243.72</v>
      </c>
      <c r="F30" t="s">
        <v>94</v>
      </c>
      <c r="G30" s="110">
        <f t="shared" si="3"/>
        <v>-0.12529884692870347</v>
      </c>
      <c r="H30" t="s">
        <v>125</v>
      </c>
      <c r="I30">
        <v>1354.5827234668</v>
      </c>
      <c r="J30" s="113">
        <f t="shared" si="5"/>
        <v>1356.2799999999997</v>
      </c>
      <c r="K30" s="113">
        <f t="shared" si="6"/>
        <v>-1.6972765331997834</v>
      </c>
    </row>
    <row r="31" spans="1:11" ht="15" x14ac:dyDescent="0.25">
      <c r="A31" s="218" t="s">
        <v>107</v>
      </c>
      <c r="B31" t="s">
        <v>188</v>
      </c>
      <c r="C31" s="93" t="s">
        <v>186</v>
      </c>
      <c r="D31">
        <v>8015.2502087185103</v>
      </c>
      <c r="E31" s="4">
        <v>7600</v>
      </c>
      <c r="G31" s="110">
        <f t="shared" si="3"/>
        <v>-1.9371854176273262</v>
      </c>
      <c r="H31" t="s">
        <v>126</v>
      </c>
      <c r="I31">
        <v>7209.4986435923502</v>
      </c>
      <c r="J31" s="113">
        <f t="shared" si="5"/>
        <v>7349.16</v>
      </c>
      <c r="K31" s="113">
        <f t="shared" si="6"/>
        <v>-139.66135640764969</v>
      </c>
    </row>
    <row r="32" spans="1:11" ht="15" x14ac:dyDescent="0.25">
      <c r="A32" s="218" t="s">
        <v>107</v>
      </c>
      <c r="B32" t="s">
        <v>188</v>
      </c>
      <c r="C32" s="93" t="s">
        <v>186</v>
      </c>
      <c r="D32">
        <v>15224.7488523108</v>
      </c>
      <c r="E32" s="4">
        <v>14949.16</v>
      </c>
      <c r="F32" t="s">
        <v>102</v>
      </c>
      <c r="G32" s="110">
        <f t="shared" si="3"/>
        <v>-8.5304893359635425</v>
      </c>
      <c r="H32" t="s">
        <v>127</v>
      </c>
      <c r="I32">
        <v>458.230680652758</v>
      </c>
      <c r="J32" s="113">
        <f t="shared" si="5"/>
        <v>497.31999999999971</v>
      </c>
      <c r="K32" s="113">
        <f t="shared" si="6"/>
        <v>-39.089319347241712</v>
      </c>
    </row>
    <row r="33" spans="1:11" ht="15" x14ac:dyDescent="0.25">
      <c r="A33" s="218" t="s">
        <v>107</v>
      </c>
      <c r="B33" t="s">
        <v>188</v>
      </c>
      <c r="C33" s="93" t="s">
        <v>186</v>
      </c>
      <c r="D33">
        <v>15682.9795329636</v>
      </c>
      <c r="E33" s="4">
        <v>15446.48</v>
      </c>
      <c r="G33" s="110">
        <f t="shared" si="3"/>
        <v>21.67186461127768</v>
      </c>
      <c r="H33" t="s">
        <v>128</v>
      </c>
      <c r="I33">
        <v>118.910018140752</v>
      </c>
      <c r="J33" s="113">
        <f t="shared" si="5"/>
        <v>93.140000000001237</v>
      </c>
      <c r="K33" s="113">
        <f t="shared" si="6"/>
        <v>25.770018140750764</v>
      </c>
    </row>
    <row r="34" spans="1:11" ht="15" x14ac:dyDescent="0.25">
      <c r="A34" s="218" t="s">
        <v>107</v>
      </c>
      <c r="B34" t="s">
        <v>188</v>
      </c>
      <c r="C34" s="93" t="s">
        <v>186</v>
      </c>
      <c r="D34">
        <v>15801.889551104299</v>
      </c>
      <c r="E34" s="128">
        <v>15539.62</v>
      </c>
      <c r="F34" t="s">
        <v>105</v>
      </c>
      <c r="G34" s="110">
        <v>15539.62</v>
      </c>
      <c r="H34" t="s">
        <v>128</v>
      </c>
      <c r="J34" s="113"/>
      <c r="K34" s="113"/>
    </row>
  </sheetData>
  <conditionalFormatting sqref="I1">
    <cfRule type="cellIs" dxfId="375" priority="1" stopIfTrue="1" operator="lessThan">
      <formula>-10</formula>
    </cfRule>
    <cfRule type="cellIs" dxfId="374" priority="2" stopIfTrue="1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5863-0A9B-4688-81C4-F2D02C535FBF}">
  <dimension ref="B1:K170"/>
  <sheetViews>
    <sheetView workbookViewId="0"/>
  </sheetViews>
  <sheetFormatPr defaultRowHeight="12.75" x14ac:dyDescent="0.2"/>
  <cols>
    <col min="1" max="1" width="2.7109375" customWidth="1"/>
    <col min="2" max="2" width="36.5703125" bestFit="1" customWidth="1"/>
    <col min="3" max="3" width="11.5703125" bestFit="1" customWidth="1"/>
    <col min="4" max="4" width="15" bestFit="1" customWidth="1"/>
    <col min="5" max="5" width="12" bestFit="1" customWidth="1"/>
    <col min="6" max="6" width="13.140625" bestFit="1" customWidth="1"/>
    <col min="7" max="7" width="12" bestFit="1" customWidth="1"/>
    <col min="8" max="8" width="16.140625" bestFit="1" customWidth="1"/>
    <col min="9" max="9" width="8.5703125" bestFit="1" customWidth="1"/>
    <col min="10" max="10" width="11.85546875" bestFit="1" customWidth="1"/>
    <col min="11" max="11" width="11.5703125" bestFit="1" customWidth="1"/>
  </cols>
  <sheetData>
    <row r="1" spans="2:11" s="114" customFormat="1" ht="18" x14ac:dyDescent="0.25">
      <c r="B1" s="114" t="s">
        <v>185</v>
      </c>
    </row>
    <row r="2" spans="2:11" s="95" customFormat="1" x14ac:dyDescent="0.2">
      <c r="B2" s="95" t="s">
        <v>108</v>
      </c>
      <c r="C2" s="95" t="s">
        <v>12</v>
      </c>
      <c r="D2" s="95" t="s">
        <v>109</v>
      </c>
      <c r="E2" s="95" t="s">
        <v>7</v>
      </c>
      <c r="F2" s="95" t="s">
        <v>10</v>
      </c>
      <c r="G2" s="95" t="s">
        <v>110</v>
      </c>
      <c r="H2" s="95" t="s">
        <v>111</v>
      </c>
      <c r="I2" s="95" t="s">
        <v>112</v>
      </c>
      <c r="J2" s="95" t="s">
        <v>113</v>
      </c>
      <c r="K2" s="95" t="s">
        <v>114</v>
      </c>
    </row>
    <row r="3" spans="2:11" x14ac:dyDescent="0.2">
      <c r="B3" t="s">
        <v>82</v>
      </c>
      <c r="C3">
        <v>1</v>
      </c>
      <c r="D3">
        <v>0</v>
      </c>
      <c r="E3">
        <v>0</v>
      </c>
      <c r="H3">
        <v>246.65243706851601</v>
      </c>
      <c r="I3" t="s">
        <v>115</v>
      </c>
    </row>
    <row r="4" spans="2:11" x14ac:dyDescent="0.2">
      <c r="B4" t="s">
        <v>83</v>
      </c>
      <c r="C4">
        <v>1</v>
      </c>
      <c r="E4">
        <v>246.65243706851601</v>
      </c>
      <c r="H4">
        <v>77.276365402039403</v>
      </c>
      <c r="I4" t="s">
        <v>85</v>
      </c>
      <c r="J4" t="s">
        <v>74</v>
      </c>
    </row>
    <row r="5" spans="2:11" x14ac:dyDescent="0.2">
      <c r="B5" t="s">
        <v>84</v>
      </c>
      <c r="C5">
        <v>1</v>
      </c>
      <c r="E5">
        <v>323.92880247055598</v>
      </c>
      <c r="H5">
        <v>454.82752946667199</v>
      </c>
      <c r="I5" t="s">
        <v>93</v>
      </c>
      <c r="J5" t="s">
        <v>74</v>
      </c>
    </row>
    <row r="6" spans="2:11" x14ac:dyDescent="0.2">
      <c r="B6" t="s">
        <v>87</v>
      </c>
      <c r="C6">
        <v>1</v>
      </c>
      <c r="E6">
        <v>778.75633193722797</v>
      </c>
      <c r="H6">
        <v>5558.4627524668203</v>
      </c>
      <c r="I6" t="s">
        <v>86</v>
      </c>
      <c r="J6" t="s">
        <v>74</v>
      </c>
    </row>
    <row r="7" spans="2:11" x14ac:dyDescent="0.2">
      <c r="B7" t="s">
        <v>89</v>
      </c>
      <c r="C7">
        <v>1</v>
      </c>
      <c r="E7">
        <v>6337.2190844040497</v>
      </c>
      <c r="H7">
        <v>401.23565892479502</v>
      </c>
      <c r="I7" t="s">
        <v>88</v>
      </c>
      <c r="J7" t="s">
        <v>74</v>
      </c>
    </row>
    <row r="8" spans="2:11" x14ac:dyDescent="0.2">
      <c r="B8" t="s">
        <v>91</v>
      </c>
      <c r="C8">
        <v>1</v>
      </c>
      <c r="E8">
        <v>6738.4547433288399</v>
      </c>
      <c r="H8">
        <v>1277.97106802492</v>
      </c>
      <c r="I8" t="s">
        <v>90</v>
      </c>
      <c r="J8" t="s">
        <v>74</v>
      </c>
    </row>
    <row r="9" spans="2:11" x14ac:dyDescent="0.2">
      <c r="B9" t="s">
        <v>92</v>
      </c>
      <c r="C9">
        <v>1</v>
      </c>
      <c r="E9">
        <v>8016.4258113537599</v>
      </c>
      <c r="H9">
        <v>7209.05004147211</v>
      </c>
    </row>
    <row r="10" spans="2:11" x14ac:dyDescent="0.2">
      <c r="B10" t="s">
        <v>116</v>
      </c>
      <c r="C10">
        <v>1</v>
      </c>
      <c r="E10">
        <v>15225.475852825801</v>
      </c>
      <c r="H10">
        <v>77.090106160209302</v>
      </c>
      <c r="I10" t="s">
        <v>101</v>
      </c>
      <c r="J10" t="s">
        <v>74</v>
      </c>
    </row>
    <row r="11" spans="2:11" x14ac:dyDescent="0.2">
      <c r="B11" t="s">
        <v>117</v>
      </c>
      <c r="C11">
        <v>1</v>
      </c>
      <c r="E11">
        <v>15302.565958986001</v>
      </c>
      <c r="H11">
        <v>15.326949578045999</v>
      </c>
      <c r="I11" t="s">
        <v>100</v>
      </c>
      <c r="J11" t="s">
        <v>74</v>
      </c>
    </row>
    <row r="12" spans="2:11" x14ac:dyDescent="0.2">
      <c r="B12" t="s">
        <v>118</v>
      </c>
      <c r="C12">
        <v>1</v>
      </c>
      <c r="E12">
        <v>15317.892908564099</v>
      </c>
      <c r="H12">
        <v>363.50857643871501</v>
      </c>
      <c r="I12" t="s">
        <v>99</v>
      </c>
      <c r="J12" t="s">
        <v>74</v>
      </c>
    </row>
    <row r="13" spans="2:11" x14ac:dyDescent="0.2">
      <c r="B13" t="s">
        <v>119</v>
      </c>
      <c r="C13">
        <v>1</v>
      </c>
      <c r="E13">
        <v>15681.4014850028</v>
      </c>
      <c r="H13">
        <v>40.881912105533999</v>
      </c>
    </row>
    <row r="14" spans="2:11" x14ac:dyDescent="0.2">
      <c r="B14" t="s">
        <v>119</v>
      </c>
      <c r="C14">
        <v>1</v>
      </c>
      <c r="E14">
        <v>15722.2833971083</v>
      </c>
      <c r="I14" t="s">
        <v>104</v>
      </c>
    </row>
    <row r="16" spans="2:11" s="114" customFormat="1" ht="18" x14ac:dyDescent="0.25">
      <c r="B16" s="114" t="s">
        <v>186</v>
      </c>
    </row>
    <row r="17" spans="2:11" s="95" customFormat="1" x14ac:dyDescent="0.2">
      <c r="B17" s="95" t="s">
        <v>108</v>
      </c>
      <c r="C17" s="95" t="s">
        <v>12</v>
      </c>
      <c r="D17" s="95" t="s">
        <v>109</v>
      </c>
      <c r="E17" s="95" t="s">
        <v>7</v>
      </c>
      <c r="F17" s="95" t="s">
        <v>10</v>
      </c>
      <c r="G17" s="95" t="s">
        <v>110</v>
      </c>
      <c r="H17" s="95" t="s">
        <v>111</v>
      </c>
      <c r="I17" s="95" t="s">
        <v>112</v>
      </c>
      <c r="J17" s="95" t="s">
        <v>113</v>
      </c>
      <c r="K17" s="95" t="s">
        <v>114</v>
      </c>
    </row>
    <row r="18" spans="2:11" x14ac:dyDescent="0.2">
      <c r="B18" t="s">
        <v>106</v>
      </c>
      <c r="C18">
        <v>1</v>
      </c>
      <c r="D18">
        <v>0</v>
      </c>
      <c r="E18">
        <v>0</v>
      </c>
      <c r="H18">
        <v>246.66222523663799</v>
      </c>
      <c r="I18" t="s">
        <v>115</v>
      </c>
    </row>
    <row r="19" spans="2:11" x14ac:dyDescent="0.2">
      <c r="B19" t="s">
        <v>121</v>
      </c>
      <c r="C19">
        <v>1</v>
      </c>
      <c r="E19">
        <v>246.66222523663799</v>
      </c>
      <c r="H19">
        <v>77.272560210054095</v>
      </c>
      <c r="I19" t="s">
        <v>98</v>
      </c>
      <c r="J19" t="s">
        <v>74</v>
      </c>
    </row>
    <row r="20" spans="2:11" x14ac:dyDescent="0.2">
      <c r="B20" t="s">
        <v>122</v>
      </c>
      <c r="C20">
        <v>1</v>
      </c>
      <c r="E20">
        <v>323.93478544669199</v>
      </c>
      <c r="H20">
        <v>376.84613366791302</v>
      </c>
      <c r="I20" t="s">
        <v>97</v>
      </c>
      <c r="J20" t="s">
        <v>74</v>
      </c>
    </row>
    <row r="21" spans="2:11" x14ac:dyDescent="0.2">
      <c r="B21" t="s">
        <v>123</v>
      </c>
      <c r="C21">
        <v>1</v>
      </c>
      <c r="E21">
        <v>700.78091911460501</v>
      </c>
      <c r="H21">
        <v>5712.80392582697</v>
      </c>
      <c r="I21" t="s">
        <v>96</v>
      </c>
      <c r="J21" t="s">
        <v>74</v>
      </c>
    </row>
    <row r="22" spans="2:11" x14ac:dyDescent="0.2">
      <c r="B22" t="s">
        <v>124</v>
      </c>
      <c r="C22">
        <v>1</v>
      </c>
      <c r="E22">
        <v>6413.5848449415698</v>
      </c>
      <c r="H22">
        <v>247.08264031013201</v>
      </c>
      <c r="I22" t="s">
        <v>95</v>
      </c>
      <c r="J22" t="s">
        <v>74</v>
      </c>
    </row>
    <row r="23" spans="2:11" x14ac:dyDescent="0.2">
      <c r="B23" t="s">
        <v>125</v>
      </c>
      <c r="C23">
        <v>1</v>
      </c>
      <c r="E23">
        <v>6660.6674852517099</v>
      </c>
      <c r="H23">
        <v>1354.5827234668</v>
      </c>
      <c r="I23" t="s">
        <v>94</v>
      </c>
      <c r="J23" t="s">
        <v>74</v>
      </c>
    </row>
    <row r="24" spans="2:11" x14ac:dyDescent="0.2">
      <c r="B24" t="s">
        <v>126</v>
      </c>
      <c r="C24">
        <v>1</v>
      </c>
      <c r="E24">
        <v>8015.2502087185103</v>
      </c>
      <c r="H24">
        <v>7209.4986435923502</v>
      </c>
    </row>
    <row r="25" spans="2:11" x14ac:dyDescent="0.2">
      <c r="B25" t="s">
        <v>127</v>
      </c>
      <c r="C25">
        <v>1</v>
      </c>
      <c r="E25">
        <v>15224.7488523108</v>
      </c>
      <c r="H25">
        <v>458.230680652758</v>
      </c>
      <c r="I25" t="s">
        <v>102</v>
      </c>
      <c r="J25" t="s">
        <v>74</v>
      </c>
    </row>
    <row r="26" spans="2:11" x14ac:dyDescent="0.2">
      <c r="B26" t="s">
        <v>128</v>
      </c>
      <c r="C26">
        <v>1</v>
      </c>
      <c r="E26">
        <v>15682.9795329636</v>
      </c>
      <c r="H26">
        <v>118.910018140752</v>
      </c>
    </row>
    <row r="27" spans="2:11" x14ac:dyDescent="0.2">
      <c r="B27" t="s">
        <v>128</v>
      </c>
      <c r="C27">
        <v>1</v>
      </c>
      <c r="E27">
        <v>15801.889551104299</v>
      </c>
      <c r="I27" t="s">
        <v>105</v>
      </c>
      <c r="J27" t="s">
        <v>74</v>
      </c>
    </row>
    <row r="29" spans="2:11" s="114" customFormat="1" ht="18" x14ac:dyDescent="0.25">
      <c r="B29" s="114" t="s">
        <v>187</v>
      </c>
    </row>
    <row r="30" spans="2:11" s="95" customFormat="1" x14ac:dyDescent="0.2">
      <c r="B30" s="95" t="s">
        <v>108</v>
      </c>
      <c r="C30" s="95" t="s">
        <v>12</v>
      </c>
      <c r="D30" s="95" t="s">
        <v>109</v>
      </c>
      <c r="E30" s="95" t="s">
        <v>7</v>
      </c>
      <c r="F30" s="95" t="s">
        <v>10</v>
      </c>
      <c r="G30" s="95" t="s">
        <v>110</v>
      </c>
      <c r="H30" s="95" t="s">
        <v>111</v>
      </c>
      <c r="I30" s="95" t="s">
        <v>112</v>
      </c>
      <c r="J30" s="95" t="s">
        <v>113</v>
      </c>
      <c r="K30" s="95" t="s">
        <v>114</v>
      </c>
    </row>
    <row r="31" spans="2:11" x14ac:dyDescent="0.2">
      <c r="B31" t="s">
        <v>82</v>
      </c>
      <c r="C31">
        <v>1</v>
      </c>
      <c r="D31">
        <v>0</v>
      </c>
      <c r="E31">
        <v>0</v>
      </c>
      <c r="F31">
        <v>-525.89999999999895</v>
      </c>
      <c r="H31">
        <v>246.65243706851601</v>
      </c>
      <c r="I31" t="s">
        <v>115</v>
      </c>
    </row>
    <row r="32" spans="2:11" x14ac:dyDescent="0.2">
      <c r="B32" t="s">
        <v>83</v>
      </c>
      <c r="C32">
        <v>1</v>
      </c>
      <c r="E32">
        <v>246.65243706851601</v>
      </c>
      <c r="F32">
        <v>-275.68999999999897</v>
      </c>
      <c r="G32">
        <v>0.98578169165307505</v>
      </c>
      <c r="H32">
        <v>77.276365402039403</v>
      </c>
      <c r="I32" t="s">
        <v>85</v>
      </c>
      <c r="J32" t="s">
        <v>74</v>
      </c>
    </row>
    <row r="33" spans="2:11" x14ac:dyDescent="0.2">
      <c r="B33" t="s">
        <v>84</v>
      </c>
      <c r="C33">
        <v>1</v>
      </c>
      <c r="E33">
        <v>323.92880247055598</v>
      </c>
      <c r="F33">
        <v>-196.11</v>
      </c>
      <c r="G33">
        <v>0.97105259364212004</v>
      </c>
      <c r="H33">
        <v>454.82752946667199</v>
      </c>
      <c r="I33" t="s">
        <v>93</v>
      </c>
      <c r="J33" t="s">
        <v>74</v>
      </c>
    </row>
    <row r="34" spans="2:11" x14ac:dyDescent="0.2">
      <c r="B34" t="s">
        <v>87</v>
      </c>
      <c r="C34">
        <v>1</v>
      </c>
      <c r="E34">
        <v>778.75633193722797</v>
      </c>
      <c r="F34">
        <v>266.01999999999902</v>
      </c>
      <c r="G34">
        <v>0.98419823310902099</v>
      </c>
      <c r="H34">
        <v>5558.4627524668203</v>
      </c>
      <c r="I34" t="s">
        <v>86</v>
      </c>
      <c r="J34" t="s">
        <v>74</v>
      </c>
    </row>
    <row r="35" spans="2:11" x14ac:dyDescent="0.2">
      <c r="B35" t="s">
        <v>89</v>
      </c>
      <c r="C35">
        <v>1</v>
      </c>
      <c r="E35">
        <v>6337.2190844040497</v>
      </c>
      <c r="F35">
        <v>5914.59</v>
      </c>
      <c r="G35">
        <v>0.98404777713063996</v>
      </c>
      <c r="H35">
        <v>401.23565892479502</v>
      </c>
      <c r="I35" t="s">
        <v>88</v>
      </c>
      <c r="J35" t="s">
        <v>74</v>
      </c>
    </row>
    <row r="36" spans="2:11" x14ac:dyDescent="0.2">
      <c r="B36" t="s">
        <v>91</v>
      </c>
      <c r="C36">
        <v>1</v>
      </c>
      <c r="E36">
        <v>6738.4547433288399</v>
      </c>
      <c r="F36">
        <v>6323.75</v>
      </c>
      <c r="G36">
        <v>0.98063265941145294</v>
      </c>
      <c r="H36">
        <v>1277.97106802492</v>
      </c>
      <c r="I36" t="s">
        <v>90</v>
      </c>
      <c r="J36" t="s">
        <v>74</v>
      </c>
    </row>
    <row r="37" spans="2:11" x14ac:dyDescent="0.2">
      <c r="B37" t="s">
        <v>92</v>
      </c>
      <c r="C37">
        <v>1</v>
      </c>
      <c r="E37">
        <v>8016.4258113537599</v>
      </c>
      <c r="F37">
        <v>7605</v>
      </c>
      <c r="G37">
        <v>0.99744083358042501</v>
      </c>
      <c r="H37">
        <v>7209.05004147211</v>
      </c>
    </row>
    <row r="38" spans="2:11" x14ac:dyDescent="0.2">
      <c r="B38" t="s">
        <v>116</v>
      </c>
      <c r="C38">
        <v>1</v>
      </c>
      <c r="E38">
        <v>15225.475852825801</v>
      </c>
      <c r="F38">
        <v>14949.4899999999</v>
      </c>
      <c r="G38">
        <v>0.98155897025825301</v>
      </c>
      <c r="H38">
        <v>77.090106160209302</v>
      </c>
      <c r="I38" t="s">
        <v>101</v>
      </c>
      <c r="J38" t="s">
        <v>74</v>
      </c>
    </row>
    <row r="39" spans="2:11" x14ac:dyDescent="0.2">
      <c r="B39" t="s">
        <v>117</v>
      </c>
      <c r="C39">
        <v>1</v>
      </c>
      <c r="E39">
        <v>15302.565958986001</v>
      </c>
      <c r="F39">
        <v>15029.0699999999</v>
      </c>
      <c r="G39">
        <v>0.96871206534556298</v>
      </c>
      <c r="H39">
        <v>15.326949578045999</v>
      </c>
      <c r="I39" t="s">
        <v>100</v>
      </c>
      <c r="J39" t="s">
        <v>74</v>
      </c>
    </row>
    <row r="40" spans="2:11" x14ac:dyDescent="0.2">
      <c r="B40" t="s">
        <v>118</v>
      </c>
      <c r="C40">
        <v>1</v>
      </c>
      <c r="E40">
        <v>15317.892908564099</v>
      </c>
      <c r="F40">
        <v>15041.639999999899</v>
      </c>
      <c r="G40">
        <v>1.21932773095458</v>
      </c>
      <c r="H40">
        <v>363.50857643871501</v>
      </c>
      <c r="I40" t="s">
        <v>99</v>
      </c>
      <c r="J40" t="s">
        <v>74</v>
      </c>
    </row>
    <row r="41" spans="2:11" x14ac:dyDescent="0.2">
      <c r="B41" t="s">
        <v>119</v>
      </c>
      <c r="C41">
        <v>1</v>
      </c>
      <c r="E41">
        <v>15681.4014850028</v>
      </c>
      <c r="F41">
        <v>15446.4799999999</v>
      </c>
      <c r="G41">
        <v>0.89790676918955703</v>
      </c>
      <c r="H41">
        <v>40.881912105533999</v>
      </c>
    </row>
    <row r="42" spans="2:11" x14ac:dyDescent="0.2">
      <c r="B42" t="s">
        <v>119</v>
      </c>
      <c r="C42">
        <v>1</v>
      </c>
      <c r="E42">
        <v>15722.2833971083</v>
      </c>
      <c r="F42">
        <v>15456.4799999999</v>
      </c>
      <c r="G42">
        <v>4.08819121055003</v>
      </c>
      <c r="I42" t="s">
        <v>104</v>
      </c>
    </row>
    <row r="44" spans="2:11" s="114" customFormat="1" ht="18" x14ac:dyDescent="0.25">
      <c r="B44" s="114" t="s">
        <v>188</v>
      </c>
    </row>
    <row r="45" spans="2:11" s="95" customFormat="1" x14ac:dyDescent="0.2">
      <c r="B45" s="95" t="s">
        <v>108</v>
      </c>
      <c r="C45" s="95" t="s">
        <v>12</v>
      </c>
      <c r="D45" s="95" t="s">
        <v>109</v>
      </c>
      <c r="E45" s="95" t="s">
        <v>7</v>
      </c>
      <c r="F45" s="95" t="s">
        <v>10</v>
      </c>
      <c r="G45" s="95" t="s">
        <v>110</v>
      </c>
      <c r="H45" s="95" t="s">
        <v>111</v>
      </c>
      <c r="I45" s="95" t="s">
        <v>112</v>
      </c>
      <c r="J45" s="95" t="s">
        <v>113</v>
      </c>
      <c r="K45" s="95" t="s">
        <v>114</v>
      </c>
    </row>
    <row r="46" spans="2:11" x14ac:dyDescent="0.2">
      <c r="B46" t="s">
        <v>106</v>
      </c>
      <c r="C46">
        <v>1</v>
      </c>
      <c r="D46">
        <v>0</v>
      </c>
      <c r="E46">
        <v>0</v>
      </c>
      <c r="F46">
        <v>-525.89999999999895</v>
      </c>
      <c r="H46">
        <v>246.66222523663799</v>
      </c>
      <c r="I46" t="s">
        <v>115</v>
      </c>
    </row>
    <row r="47" spans="2:11" x14ac:dyDescent="0.2">
      <c r="B47" t="s">
        <v>121</v>
      </c>
      <c r="C47">
        <v>1</v>
      </c>
      <c r="E47">
        <v>246.66222523663799</v>
      </c>
      <c r="F47">
        <v>-275.68999999999897</v>
      </c>
      <c r="G47">
        <v>0.98582081146492095</v>
      </c>
      <c r="H47">
        <v>77.272560210054095</v>
      </c>
      <c r="I47" t="s">
        <v>98</v>
      </c>
      <c r="J47" t="s">
        <v>74</v>
      </c>
    </row>
    <row r="48" spans="2:11" x14ac:dyDescent="0.2">
      <c r="B48" t="s">
        <v>122</v>
      </c>
      <c r="C48">
        <v>1</v>
      </c>
      <c r="E48">
        <v>323.93478544669199</v>
      </c>
      <c r="F48">
        <v>-196.11</v>
      </c>
      <c r="G48">
        <v>0.97100477770864502</v>
      </c>
      <c r="H48">
        <v>376.84613366791302</v>
      </c>
      <c r="I48" t="s">
        <v>97</v>
      </c>
      <c r="J48" t="s">
        <v>74</v>
      </c>
    </row>
    <row r="49" spans="2:11" x14ac:dyDescent="0.2">
      <c r="B49" t="s">
        <v>123</v>
      </c>
      <c r="C49">
        <v>1</v>
      </c>
      <c r="E49">
        <v>700.78091911460501</v>
      </c>
      <c r="F49">
        <v>186.06</v>
      </c>
      <c r="G49">
        <v>0.98606937663320704</v>
      </c>
      <c r="H49">
        <v>5712.80392582697</v>
      </c>
      <c r="I49" t="s">
        <v>96</v>
      </c>
      <c r="J49" t="s">
        <v>74</v>
      </c>
    </row>
    <row r="50" spans="2:11" x14ac:dyDescent="0.2">
      <c r="B50" t="s">
        <v>124</v>
      </c>
      <c r="C50">
        <v>1</v>
      </c>
      <c r="E50">
        <v>6413.5848449415698</v>
      </c>
      <c r="F50">
        <v>5993.72</v>
      </c>
      <c r="G50">
        <v>0.98366707517777596</v>
      </c>
      <c r="H50">
        <v>247.08264031013201</v>
      </c>
      <c r="I50" t="s">
        <v>95</v>
      </c>
      <c r="J50" t="s">
        <v>74</v>
      </c>
    </row>
    <row r="51" spans="2:11" x14ac:dyDescent="0.2">
      <c r="B51" t="s">
        <v>125</v>
      </c>
      <c r="C51">
        <v>1</v>
      </c>
      <c r="E51">
        <v>6660.6674852517099</v>
      </c>
      <c r="F51">
        <v>6243.72</v>
      </c>
      <c r="G51">
        <v>0.98833056124055996</v>
      </c>
      <c r="H51">
        <v>1354.5827234668</v>
      </c>
      <c r="I51" t="s">
        <v>94</v>
      </c>
      <c r="J51" t="s">
        <v>74</v>
      </c>
    </row>
    <row r="52" spans="2:11" x14ac:dyDescent="0.2">
      <c r="B52" t="s">
        <v>126</v>
      </c>
      <c r="C52">
        <v>1</v>
      </c>
      <c r="E52">
        <v>8015.2502087185103</v>
      </c>
      <c r="F52">
        <v>7600</v>
      </c>
      <c r="G52">
        <v>0.99874857954611096</v>
      </c>
      <c r="H52">
        <v>7209.4986435923502</v>
      </c>
    </row>
    <row r="53" spans="2:11" x14ac:dyDescent="0.2">
      <c r="B53" t="s">
        <v>127</v>
      </c>
      <c r="C53">
        <v>1</v>
      </c>
      <c r="E53">
        <v>15224.7488523108</v>
      </c>
      <c r="F53">
        <v>14949.1599999999</v>
      </c>
      <c r="G53">
        <v>0.98099628305715003</v>
      </c>
      <c r="H53">
        <v>458.230680652758</v>
      </c>
      <c r="I53" t="s">
        <v>102</v>
      </c>
      <c r="J53" t="s">
        <v>74</v>
      </c>
    </row>
    <row r="54" spans="2:11" x14ac:dyDescent="0.2">
      <c r="B54" t="s">
        <v>128</v>
      </c>
      <c r="C54">
        <v>1</v>
      </c>
      <c r="E54">
        <v>15682.9795329636</v>
      </c>
      <c r="F54">
        <v>15446.4799999999</v>
      </c>
      <c r="G54">
        <v>0.92140006565752297</v>
      </c>
      <c r="H54">
        <v>118.910018140752</v>
      </c>
    </row>
    <row r="55" spans="2:11" x14ac:dyDescent="0.2">
      <c r="B55" t="s">
        <v>128</v>
      </c>
      <c r="C55">
        <v>1</v>
      </c>
      <c r="E55">
        <v>15801.889551104299</v>
      </c>
      <c r="F55">
        <v>15539.62</v>
      </c>
      <c r="G55">
        <v>1.2766804610339</v>
      </c>
      <c r="I55" t="s">
        <v>105</v>
      </c>
      <c r="J55" t="s">
        <v>74</v>
      </c>
    </row>
    <row r="57" spans="2:11" s="114" customFormat="1" ht="18" x14ac:dyDescent="0.25">
      <c r="B57" s="114" t="s">
        <v>1078</v>
      </c>
    </row>
    <row r="58" spans="2:11" s="95" customFormat="1" x14ac:dyDescent="0.2">
      <c r="B58" s="95" t="s">
        <v>108</v>
      </c>
      <c r="C58" s="95" t="s">
        <v>12</v>
      </c>
      <c r="D58" s="95" t="s">
        <v>109</v>
      </c>
      <c r="E58" s="95" t="s">
        <v>7</v>
      </c>
      <c r="F58" s="95" t="s">
        <v>10</v>
      </c>
      <c r="G58" s="95" t="s">
        <v>110</v>
      </c>
      <c r="H58" s="95" t="s">
        <v>111</v>
      </c>
      <c r="I58" s="95" t="s">
        <v>112</v>
      </c>
      <c r="J58" s="95" t="s">
        <v>113</v>
      </c>
      <c r="K58" s="95" t="s">
        <v>114</v>
      </c>
    </row>
    <row r="59" spans="2:11" x14ac:dyDescent="0.2">
      <c r="B59" t="s">
        <v>1078</v>
      </c>
      <c r="C59">
        <v>1</v>
      </c>
      <c r="D59">
        <v>0</v>
      </c>
      <c r="E59">
        <v>0</v>
      </c>
      <c r="H59">
        <v>86.514684016864905</v>
      </c>
      <c r="I59" t="s">
        <v>115</v>
      </c>
    </row>
    <row r="60" spans="2:11" x14ac:dyDescent="0.2">
      <c r="B60" t="s">
        <v>1078</v>
      </c>
      <c r="C60">
        <v>1</v>
      </c>
      <c r="E60">
        <v>86.514684016864905</v>
      </c>
      <c r="I60" t="s">
        <v>103</v>
      </c>
      <c r="J60" t="s">
        <v>74</v>
      </c>
    </row>
    <row r="62" spans="2:11" s="114" customFormat="1" ht="18" x14ac:dyDescent="0.25">
      <c r="B62" s="114" t="s">
        <v>184</v>
      </c>
    </row>
    <row r="63" spans="2:11" s="95" customFormat="1" x14ac:dyDescent="0.2">
      <c r="B63" s="95" t="s">
        <v>108</v>
      </c>
      <c r="C63" s="95" t="s">
        <v>12</v>
      </c>
      <c r="D63" s="95" t="s">
        <v>109</v>
      </c>
      <c r="E63" s="95" t="s">
        <v>7</v>
      </c>
      <c r="F63" s="95" t="s">
        <v>10</v>
      </c>
      <c r="G63" s="95" t="s">
        <v>110</v>
      </c>
      <c r="H63" s="95" t="s">
        <v>111</v>
      </c>
      <c r="I63" s="95" t="s">
        <v>112</v>
      </c>
      <c r="J63" s="95" t="s">
        <v>113</v>
      </c>
      <c r="K63" s="95" t="s">
        <v>114</v>
      </c>
    </row>
    <row r="64" spans="2:11" x14ac:dyDescent="0.2">
      <c r="B64" t="s">
        <v>184</v>
      </c>
      <c r="C64">
        <v>1</v>
      </c>
      <c r="D64">
        <v>0</v>
      </c>
      <c r="E64">
        <v>0</v>
      </c>
      <c r="H64">
        <v>399.41489517620499</v>
      </c>
      <c r="I64" t="s">
        <v>103</v>
      </c>
    </row>
    <row r="65" spans="2:11" x14ac:dyDescent="0.2">
      <c r="B65" t="s">
        <v>184</v>
      </c>
      <c r="C65">
        <v>1</v>
      </c>
      <c r="E65">
        <v>399.41489517620499</v>
      </c>
      <c r="I65" t="s">
        <v>120</v>
      </c>
    </row>
    <row r="67" spans="2:11" s="114" customFormat="1" ht="18" x14ac:dyDescent="0.25">
      <c r="B67" s="114" t="s">
        <v>180</v>
      </c>
    </row>
    <row r="68" spans="2:11" s="95" customFormat="1" x14ac:dyDescent="0.2">
      <c r="B68" s="95" t="s">
        <v>108</v>
      </c>
      <c r="C68" s="95" t="s">
        <v>12</v>
      </c>
      <c r="D68" s="95" t="s">
        <v>109</v>
      </c>
      <c r="E68" s="95" t="s">
        <v>7</v>
      </c>
      <c r="F68" s="95" t="s">
        <v>10</v>
      </c>
      <c r="G68" s="95" t="s">
        <v>110</v>
      </c>
      <c r="H68" s="95" t="s">
        <v>111</v>
      </c>
      <c r="I68" s="95" t="s">
        <v>112</v>
      </c>
      <c r="J68" s="95" t="s">
        <v>113</v>
      </c>
      <c r="K68" s="95" t="s">
        <v>114</v>
      </c>
    </row>
    <row r="69" spans="2:11" x14ac:dyDescent="0.2">
      <c r="B69" t="s">
        <v>180</v>
      </c>
      <c r="C69">
        <v>1</v>
      </c>
      <c r="D69">
        <v>0</v>
      </c>
      <c r="E69">
        <v>0</v>
      </c>
      <c r="H69">
        <v>386.28748061919401</v>
      </c>
      <c r="I69" t="s">
        <v>99</v>
      </c>
      <c r="J69" t="s">
        <v>183</v>
      </c>
    </row>
    <row r="70" spans="2:11" x14ac:dyDescent="0.2">
      <c r="B70" t="s">
        <v>180</v>
      </c>
      <c r="C70">
        <v>1</v>
      </c>
      <c r="E70">
        <v>386.28748061919401</v>
      </c>
      <c r="I70" t="s">
        <v>120</v>
      </c>
    </row>
    <row r="72" spans="2:11" s="114" customFormat="1" ht="18" x14ac:dyDescent="0.25">
      <c r="B72" s="114" t="s">
        <v>196</v>
      </c>
    </row>
    <row r="73" spans="2:11" s="95" customFormat="1" x14ac:dyDescent="0.2">
      <c r="B73" s="95" t="s">
        <v>108</v>
      </c>
      <c r="C73" s="95" t="s">
        <v>12</v>
      </c>
      <c r="D73" s="95" t="s">
        <v>109</v>
      </c>
      <c r="E73" s="95" t="s">
        <v>7</v>
      </c>
      <c r="F73" s="95" t="s">
        <v>10</v>
      </c>
      <c r="G73" s="95" t="s">
        <v>110</v>
      </c>
      <c r="H73" s="95" t="s">
        <v>111</v>
      </c>
      <c r="I73" s="95" t="s">
        <v>112</v>
      </c>
      <c r="J73" s="95" t="s">
        <v>113</v>
      </c>
      <c r="K73" s="95" t="s">
        <v>114</v>
      </c>
    </row>
    <row r="74" spans="2:11" x14ac:dyDescent="0.2">
      <c r="B74" t="s">
        <v>196</v>
      </c>
      <c r="C74">
        <v>1</v>
      </c>
      <c r="D74">
        <v>0</v>
      </c>
      <c r="E74">
        <v>0</v>
      </c>
      <c r="H74">
        <v>77.310937218707593</v>
      </c>
      <c r="I74" t="s">
        <v>98</v>
      </c>
      <c r="J74" t="s">
        <v>183</v>
      </c>
    </row>
    <row r="75" spans="2:11" x14ac:dyDescent="0.2">
      <c r="B75" t="s">
        <v>196</v>
      </c>
      <c r="C75">
        <v>1</v>
      </c>
      <c r="E75">
        <v>77.310937218707593</v>
      </c>
      <c r="I75" t="s">
        <v>93</v>
      </c>
      <c r="J75" t="s">
        <v>183</v>
      </c>
    </row>
    <row r="77" spans="2:11" s="114" customFormat="1" ht="18" x14ac:dyDescent="0.25">
      <c r="B77" s="114" t="s">
        <v>197</v>
      </c>
    </row>
    <row r="78" spans="2:11" s="95" customFormat="1" x14ac:dyDescent="0.2">
      <c r="B78" s="95" t="s">
        <v>108</v>
      </c>
      <c r="C78" s="95" t="s">
        <v>12</v>
      </c>
      <c r="D78" s="95" t="s">
        <v>109</v>
      </c>
      <c r="E78" s="95" t="s">
        <v>7</v>
      </c>
      <c r="F78" s="95" t="s">
        <v>10</v>
      </c>
      <c r="G78" s="95" t="s">
        <v>110</v>
      </c>
      <c r="H78" s="95" t="s">
        <v>111</v>
      </c>
      <c r="I78" s="95" t="s">
        <v>112</v>
      </c>
      <c r="J78" s="95" t="s">
        <v>113</v>
      </c>
      <c r="K78" s="95" t="s">
        <v>114</v>
      </c>
    </row>
    <row r="79" spans="2:11" x14ac:dyDescent="0.2">
      <c r="B79" t="s">
        <v>197</v>
      </c>
      <c r="C79">
        <v>1</v>
      </c>
      <c r="D79">
        <v>0</v>
      </c>
      <c r="E79">
        <v>0</v>
      </c>
      <c r="H79">
        <v>77.667533081400904</v>
      </c>
      <c r="I79" t="s">
        <v>85</v>
      </c>
      <c r="J79" t="s">
        <v>183</v>
      </c>
    </row>
    <row r="80" spans="2:11" x14ac:dyDescent="0.2">
      <c r="B80" t="s">
        <v>197</v>
      </c>
      <c r="C80">
        <v>1</v>
      </c>
      <c r="E80">
        <v>77.667533081400904</v>
      </c>
      <c r="I80" t="s">
        <v>97</v>
      </c>
      <c r="J80" t="s">
        <v>183</v>
      </c>
    </row>
    <row r="82" spans="2:11" s="114" customFormat="1" ht="18" x14ac:dyDescent="0.25">
      <c r="B82" s="114" t="s">
        <v>202</v>
      </c>
    </row>
    <row r="83" spans="2:11" s="95" customFormat="1" x14ac:dyDescent="0.2">
      <c r="B83" s="95" t="s">
        <v>108</v>
      </c>
      <c r="C83" s="95" t="s">
        <v>12</v>
      </c>
      <c r="D83" s="95" t="s">
        <v>109</v>
      </c>
      <c r="E83" s="95" t="s">
        <v>7</v>
      </c>
      <c r="F83" s="95" t="s">
        <v>10</v>
      </c>
      <c r="G83" s="95" t="s">
        <v>110</v>
      </c>
      <c r="H83" s="95" t="s">
        <v>111</v>
      </c>
      <c r="I83" s="95" t="s">
        <v>112</v>
      </c>
      <c r="J83" s="95" t="s">
        <v>113</v>
      </c>
      <c r="K83" s="95" t="s">
        <v>114</v>
      </c>
    </row>
    <row r="84" spans="2:11" x14ac:dyDescent="0.2">
      <c r="B84" t="s">
        <v>202</v>
      </c>
      <c r="C84">
        <v>1</v>
      </c>
      <c r="D84">
        <v>0</v>
      </c>
      <c r="E84">
        <v>0</v>
      </c>
      <c r="H84">
        <v>77.638244249237005</v>
      </c>
      <c r="I84" t="s">
        <v>96</v>
      </c>
      <c r="J84" t="s">
        <v>183</v>
      </c>
    </row>
    <row r="85" spans="2:11" x14ac:dyDescent="0.2">
      <c r="B85" t="s">
        <v>202</v>
      </c>
      <c r="C85">
        <v>1</v>
      </c>
      <c r="E85">
        <v>77.638244249237005</v>
      </c>
      <c r="I85" t="s">
        <v>86</v>
      </c>
      <c r="J85" t="s">
        <v>183</v>
      </c>
    </row>
    <row r="87" spans="2:11" s="114" customFormat="1" ht="18" x14ac:dyDescent="0.25">
      <c r="B87" s="114" t="s">
        <v>218</v>
      </c>
    </row>
    <row r="88" spans="2:11" s="95" customFormat="1" x14ac:dyDescent="0.2">
      <c r="B88" s="95" t="s">
        <v>108</v>
      </c>
      <c r="C88" s="95" t="s">
        <v>12</v>
      </c>
      <c r="D88" s="95" t="s">
        <v>109</v>
      </c>
      <c r="E88" s="95" t="s">
        <v>7</v>
      </c>
      <c r="F88" s="95" t="s">
        <v>10</v>
      </c>
      <c r="G88" s="95" t="s">
        <v>110</v>
      </c>
      <c r="H88" s="95" t="s">
        <v>111</v>
      </c>
      <c r="I88" s="95" t="s">
        <v>112</v>
      </c>
      <c r="J88" s="95" t="s">
        <v>113</v>
      </c>
      <c r="K88" s="95" t="s">
        <v>114</v>
      </c>
    </row>
    <row r="89" spans="2:11" x14ac:dyDescent="0.2">
      <c r="B89" t="s">
        <v>218</v>
      </c>
      <c r="C89">
        <v>1</v>
      </c>
      <c r="D89">
        <v>0</v>
      </c>
      <c r="E89">
        <v>0</v>
      </c>
      <c r="H89">
        <v>77.165019077516305</v>
      </c>
      <c r="I89" t="s">
        <v>88</v>
      </c>
      <c r="J89" t="s">
        <v>183</v>
      </c>
    </row>
    <row r="90" spans="2:11" x14ac:dyDescent="0.2">
      <c r="B90" t="s">
        <v>218</v>
      </c>
      <c r="C90">
        <v>1</v>
      </c>
      <c r="E90">
        <v>77.165019077516305</v>
      </c>
      <c r="I90" t="s">
        <v>95</v>
      </c>
      <c r="J90" t="s">
        <v>183</v>
      </c>
    </row>
    <row r="92" spans="2:11" s="114" customFormat="1" ht="18" x14ac:dyDescent="0.25">
      <c r="B92" s="114" t="s">
        <v>221</v>
      </c>
    </row>
    <row r="93" spans="2:11" s="95" customFormat="1" x14ac:dyDescent="0.2">
      <c r="B93" s="95" t="s">
        <v>108</v>
      </c>
      <c r="C93" s="95" t="s">
        <v>12</v>
      </c>
      <c r="D93" s="95" t="s">
        <v>109</v>
      </c>
      <c r="E93" s="95" t="s">
        <v>7</v>
      </c>
      <c r="F93" s="95" t="s">
        <v>10</v>
      </c>
      <c r="G93" s="95" t="s">
        <v>110</v>
      </c>
      <c r="H93" s="95" t="s">
        <v>111</v>
      </c>
      <c r="I93" s="95" t="s">
        <v>112</v>
      </c>
      <c r="J93" s="95" t="s">
        <v>113</v>
      </c>
      <c r="K93" s="95" t="s">
        <v>114</v>
      </c>
    </row>
    <row r="94" spans="2:11" x14ac:dyDescent="0.2">
      <c r="B94" t="s">
        <v>221</v>
      </c>
      <c r="C94">
        <v>1</v>
      </c>
      <c r="D94">
        <v>0</v>
      </c>
      <c r="E94">
        <v>0</v>
      </c>
      <c r="H94">
        <v>77.406899976417293</v>
      </c>
      <c r="I94" t="s">
        <v>94</v>
      </c>
      <c r="J94" t="s">
        <v>183</v>
      </c>
    </row>
    <row r="95" spans="2:11" x14ac:dyDescent="0.2">
      <c r="B95" t="s">
        <v>221</v>
      </c>
      <c r="C95">
        <v>1</v>
      </c>
      <c r="E95">
        <v>77.406899976417293</v>
      </c>
      <c r="I95" t="s">
        <v>90</v>
      </c>
      <c r="J95" t="s">
        <v>183</v>
      </c>
    </row>
    <row r="97" spans="2:11" s="114" customFormat="1" ht="18" x14ac:dyDescent="0.25">
      <c r="B97" s="114" t="s">
        <v>244</v>
      </c>
    </row>
    <row r="98" spans="2:11" s="95" customFormat="1" x14ac:dyDescent="0.2">
      <c r="B98" s="95" t="s">
        <v>108</v>
      </c>
      <c r="C98" s="95" t="s">
        <v>12</v>
      </c>
      <c r="D98" s="95" t="s">
        <v>109</v>
      </c>
      <c r="E98" s="95" t="s">
        <v>7</v>
      </c>
      <c r="F98" s="95" t="s">
        <v>10</v>
      </c>
      <c r="G98" s="95" t="s">
        <v>110</v>
      </c>
      <c r="H98" s="95" t="s">
        <v>111</v>
      </c>
      <c r="I98" s="95" t="s">
        <v>112</v>
      </c>
      <c r="J98" s="95" t="s">
        <v>113</v>
      </c>
      <c r="K98" s="95" t="s">
        <v>114</v>
      </c>
    </row>
    <row r="99" spans="2:11" x14ac:dyDescent="0.2">
      <c r="B99" t="s">
        <v>244</v>
      </c>
      <c r="C99">
        <v>1</v>
      </c>
      <c r="D99">
        <v>0</v>
      </c>
      <c r="E99">
        <v>0</v>
      </c>
      <c r="H99">
        <v>77.504520700682903</v>
      </c>
      <c r="I99" t="s">
        <v>102</v>
      </c>
      <c r="J99" t="s">
        <v>183</v>
      </c>
    </row>
    <row r="100" spans="2:11" x14ac:dyDescent="0.2">
      <c r="B100" t="s">
        <v>244</v>
      </c>
      <c r="C100">
        <v>1</v>
      </c>
      <c r="E100">
        <v>77.504520700682903</v>
      </c>
      <c r="I100" t="s">
        <v>100</v>
      </c>
      <c r="J100" t="s">
        <v>183</v>
      </c>
    </row>
    <row r="102" spans="2:11" s="114" customFormat="1" ht="18" x14ac:dyDescent="0.25">
      <c r="B102" s="114" t="s">
        <v>283</v>
      </c>
    </row>
    <row r="103" spans="2:11" s="95" customFormat="1" x14ac:dyDescent="0.2">
      <c r="B103" s="95" t="s">
        <v>108</v>
      </c>
      <c r="C103" s="95" t="s">
        <v>12</v>
      </c>
      <c r="D103" s="95" t="s">
        <v>109</v>
      </c>
      <c r="E103" s="95" t="s">
        <v>7</v>
      </c>
      <c r="F103" s="95" t="s">
        <v>10</v>
      </c>
      <c r="G103" s="95" t="s">
        <v>110</v>
      </c>
      <c r="H103" s="95" t="s">
        <v>111</v>
      </c>
      <c r="I103" s="95" t="s">
        <v>112</v>
      </c>
      <c r="J103" s="95" t="s">
        <v>113</v>
      </c>
      <c r="K103" s="95" t="s">
        <v>114</v>
      </c>
    </row>
    <row r="104" spans="2:11" x14ac:dyDescent="0.2">
      <c r="B104" t="s">
        <v>283</v>
      </c>
      <c r="C104">
        <v>1</v>
      </c>
      <c r="D104">
        <v>0</v>
      </c>
      <c r="E104">
        <v>0</v>
      </c>
      <c r="H104">
        <v>77.292513904002107</v>
      </c>
      <c r="I104" t="s">
        <v>101</v>
      </c>
      <c r="J104" t="s">
        <v>183</v>
      </c>
    </row>
    <row r="105" spans="2:11" x14ac:dyDescent="0.2">
      <c r="B105" t="s">
        <v>283</v>
      </c>
      <c r="C105">
        <v>1</v>
      </c>
      <c r="E105">
        <v>77.292513904002107</v>
      </c>
      <c r="I105" t="s">
        <v>103</v>
      </c>
      <c r="J105" t="s">
        <v>183</v>
      </c>
    </row>
    <row r="107" spans="2:11" s="114" customFormat="1" ht="18" x14ac:dyDescent="0.25">
      <c r="B107" s="114" t="s">
        <v>122</v>
      </c>
    </row>
    <row r="108" spans="2:11" s="95" customFormat="1" x14ac:dyDescent="0.2">
      <c r="B108" s="95" t="s">
        <v>108</v>
      </c>
      <c r="C108" s="95" t="s">
        <v>12</v>
      </c>
      <c r="D108" s="95" t="s">
        <v>109</v>
      </c>
      <c r="E108" s="95" t="s">
        <v>7</v>
      </c>
      <c r="F108" s="95" t="s">
        <v>10</v>
      </c>
      <c r="G108" s="95" t="s">
        <v>110</v>
      </c>
      <c r="H108" s="95" t="s">
        <v>111</v>
      </c>
      <c r="I108" s="95" t="s">
        <v>112</v>
      </c>
      <c r="J108" s="95" t="s">
        <v>113</v>
      </c>
      <c r="K108" s="95" t="s">
        <v>114</v>
      </c>
    </row>
    <row r="109" spans="2:11" x14ac:dyDescent="0.2">
      <c r="B109" t="s">
        <v>122</v>
      </c>
      <c r="C109">
        <v>1</v>
      </c>
      <c r="D109">
        <v>0</v>
      </c>
      <c r="E109">
        <v>0</v>
      </c>
      <c r="H109">
        <v>376.84613366791302</v>
      </c>
      <c r="I109" t="s">
        <v>97</v>
      </c>
    </row>
    <row r="110" spans="2:11" x14ac:dyDescent="0.2">
      <c r="B110" t="s">
        <v>122</v>
      </c>
      <c r="C110">
        <v>1</v>
      </c>
      <c r="E110">
        <v>376.84613366791302</v>
      </c>
      <c r="I110" t="s">
        <v>96</v>
      </c>
    </row>
    <row r="112" spans="2:11" s="114" customFormat="1" ht="18" x14ac:dyDescent="0.25">
      <c r="B112" s="114" t="s">
        <v>84</v>
      </c>
    </row>
    <row r="113" spans="2:11" s="95" customFormat="1" x14ac:dyDescent="0.2">
      <c r="B113" s="95" t="s">
        <v>108</v>
      </c>
      <c r="C113" s="95" t="s">
        <v>12</v>
      </c>
      <c r="D113" s="95" t="s">
        <v>109</v>
      </c>
      <c r="E113" s="95" t="s">
        <v>7</v>
      </c>
      <c r="F113" s="95" t="s">
        <v>10</v>
      </c>
      <c r="G113" s="95" t="s">
        <v>110</v>
      </c>
      <c r="H113" s="95" t="s">
        <v>111</v>
      </c>
      <c r="I113" s="95" t="s">
        <v>112</v>
      </c>
      <c r="J113" s="95" t="s">
        <v>113</v>
      </c>
      <c r="K113" s="95" t="s">
        <v>114</v>
      </c>
    </row>
    <row r="114" spans="2:11" x14ac:dyDescent="0.2">
      <c r="B114" t="s">
        <v>84</v>
      </c>
      <c r="C114">
        <v>1</v>
      </c>
      <c r="D114">
        <v>0</v>
      </c>
      <c r="E114">
        <v>0</v>
      </c>
      <c r="H114">
        <v>454.82752946667199</v>
      </c>
      <c r="I114" t="s">
        <v>93</v>
      </c>
    </row>
    <row r="115" spans="2:11" x14ac:dyDescent="0.2">
      <c r="B115" t="s">
        <v>84</v>
      </c>
      <c r="C115">
        <v>1</v>
      </c>
      <c r="E115">
        <v>454.82752946667199</v>
      </c>
      <c r="I115" t="s">
        <v>86</v>
      </c>
      <c r="J115" t="s">
        <v>74</v>
      </c>
    </row>
    <row r="117" spans="2:11" s="114" customFormat="1" ht="18" x14ac:dyDescent="0.25">
      <c r="B117" s="114" t="s">
        <v>123</v>
      </c>
    </row>
    <row r="118" spans="2:11" s="95" customFormat="1" x14ac:dyDescent="0.2">
      <c r="B118" s="95" t="s">
        <v>108</v>
      </c>
      <c r="C118" s="95" t="s">
        <v>12</v>
      </c>
      <c r="D118" s="95" t="s">
        <v>109</v>
      </c>
      <c r="E118" s="95" t="s">
        <v>7</v>
      </c>
      <c r="F118" s="95" t="s">
        <v>10</v>
      </c>
      <c r="G118" s="95" t="s">
        <v>110</v>
      </c>
      <c r="H118" s="95" t="s">
        <v>111</v>
      </c>
      <c r="I118" s="95" t="s">
        <v>112</v>
      </c>
      <c r="J118" s="95" t="s">
        <v>113</v>
      </c>
      <c r="K118" s="95" t="s">
        <v>114</v>
      </c>
    </row>
    <row r="119" spans="2:11" x14ac:dyDescent="0.2">
      <c r="B119" t="s">
        <v>123</v>
      </c>
      <c r="C119">
        <v>1</v>
      </c>
      <c r="D119">
        <v>0</v>
      </c>
      <c r="E119">
        <v>0</v>
      </c>
      <c r="H119">
        <v>5712.80392582697</v>
      </c>
      <c r="I119" t="s">
        <v>96</v>
      </c>
      <c r="J119" t="s">
        <v>74</v>
      </c>
    </row>
    <row r="120" spans="2:11" x14ac:dyDescent="0.2">
      <c r="B120" t="s">
        <v>123</v>
      </c>
      <c r="C120">
        <v>1</v>
      </c>
      <c r="E120">
        <v>5712.80392582697</v>
      </c>
      <c r="I120" t="s">
        <v>95</v>
      </c>
      <c r="J120" t="s">
        <v>74</v>
      </c>
    </row>
    <row r="122" spans="2:11" s="114" customFormat="1" ht="18" x14ac:dyDescent="0.25">
      <c r="B122" s="114" t="s">
        <v>87</v>
      </c>
    </row>
    <row r="123" spans="2:11" s="95" customFormat="1" x14ac:dyDescent="0.2">
      <c r="B123" s="95" t="s">
        <v>108</v>
      </c>
      <c r="C123" s="95" t="s">
        <v>12</v>
      </c>
      <c r="D123" s="95" t="s">
        <v>109</v>
      </c>
      <c r="E123" s="95" t="s">
        <v>7</v>
      </c>
      <c r="F123" s="95" t="s">
        <v>10</v>
      </c>
      <c r="G123" s="95" t="s">
        <v>110</v>
      </c>
      <c r="H123" s="95" t="s">
        <v>111</v>
      </c>
      <c r="I123" s="95" t="s">
        <v>112</v>
      </c>
      <c r="J123" s="95" t="s">
        <v>113</v>
      </c>
      <c r="K123" s="95" t="s">
        <v>114</v>
      </c>
    </row>
    <row r="124" spans="2:11" x14ac:dyDescent="0.2">
      <c r="B124" t="s">
        <v>87</v>
      </c>
      <c r="C124">
        <v>1</v>
      </c>
      <c r="D124">
        <v>0</v>
      </c>
      <c r="E124">
        <v>0</v>
      </c>
      <c r="H124">
        <v>5558.4627524668203</v>
      </c>
      <c r="I124" t="s">
        <v>86</v>
      </c>
    </row>
    <row r="125" spans="2:11" x14ac:dyDescent="0.2">
      <c r="B125" t="s">
        <v>87</v>
      </c>
      <c r="C125">
        <v>1</v>
      </c>
      <c r="E125">
        <v>5558.4627524668203</v>
      </c>
      <c r="I125" t="s">
        <v>88</v>
      </c>
    </row>
    <row r="127" spans="2:11" s="114" customFormat="1" ht="18" x14ac:dyDescent="0.25">
      <c r="B127" s="114" t="s">
        <v>124</v>
      </c>
    </row>
    <row r="128" spans="2:11" s="95" customFormat="1" x14ac:dyDescent="0.2">
      <c r="B128" s="95" t="s">
        <v>108</v>
      </c>
      <c r="C128" s="95" t="s">
        <v>12</v>
      </c>
      <c r="D128" s="95" t="s">
        <v>109</v>
      </c>
      <c r="E128" s="95" t="s">
        <v>7</v>
      </c>
      <c r="F128" s="95" t="s">
        <v>10</v>
      </c>
      <c r="G128" s="95" t="s">
        <v>110</v>
      </c>
      <c r="H128" s="95" t="s">
        <v>111</v>
      </c>
      <c r="I128" s="95" t="s">
        <v>112</v>
      </c>
      <c r="J128" s="95" t="s">
        <v>113</v>
      </c>
      <c r="K128" s="95" t="s">
        <v>114</v>
      </c>
    </row>
    <row r="129" spans="2:11" x14ac:dyDescent="0.2">
      <c r="B129" t="s">
        <v>124</v>
      </c>
      <c r="C129">
        <v>1</v>
      </c>
      <c r="D129">
        <v>0</v>
      </c>
      <c r="E129">
        <v>0</v>
      </c>
      <c r="H129">
        <v>247.08264031013201</v>
      </c>
      <c r="I129" t="s">
        <v>95</v>
      </c>
    </row>
    <row r="130" spans="2:11" x14ac:dyDescent="0.2">
      <c r="B130" t="s">
        <v>124</v>
      </c>
      <c r="C130">
        <v>1</v>
      </c>
      <c r="E130">
        <v>247.08264031013201</v>
      </c>
      <c r="I130" t="s">
        <v>94</v>
      </c>
    </row>
    <row r="132" spans="2:11" s="114" customFormat="1" ht="18" x14ac:dyDescent="0.25">
      <c r="B132" s="114" t="s">
        <v>89</v>
      </c>
    </row>
    <row r="133" spans="2:11" s="95" customFormat="1" x14ac:dyDescent="0.2">
      <c r="B133" s="95" t="s">
        <v>108</v>
      </c>
      <c r="C133" s="95" t="s">
        <v>12</v>
      </c>
      <c r="D133" s="95" t="s">
        <v>109</v>
      </c>
      <c r="E133" s="95" t="s">
        <v>7</v>
      </c>
      <c r="F133" s="95" t="s">
        <v>10</v>
      </c>
      <c r="G133" s="95" t="s">
        <v>110</v>
      </c>
      <c r="H133" s="95" t="s">
        <v>111</v>
      </c>
      <c r="I133" s="95" t="s">
        <v>112</v>
      </c>
      <c r="J133" s="95" t="s">
        <v>113</v>
      </c>
      <c r="K133" s="95" t="s">
        <v>114</v>
      </c>
    </row>
    <row r="134" spans="2:11" x14ac:dyDescent="0.2">
      <c r="B134" t="s">
        <v>89</v>
      </c>
      <c r="C134">
        <v>1</v>
      </c>
      <c r="D134">
        <v>0</v>
      </c>
      <c r="E134">
        <v>0</v>
      </c>
      <c r="H134">
        <v>401.23565892479502</v>
      </c>
      <c r="I134" t="s">
        <v>88</v>
      </c>
      <c r="J134" t="s">
        <v>74</v>
      </c>
    </row>
    <row r="135" spans="2:11" x14ac:dyDescent="0.2">
      <c r="B135" t="s">
        <v>89</v>
      </c>
      <c r="C135">
        <v>1</v>
      </c>
      <c r="E135">
        <v>401.23565892479502</v>
      </c>
      <c r="I135" t="s">
        <v>90</v>
      </c>
      <c r="J135" t="s">
        <v>74</v>
      </c>
    </row>
    <row r="137" spans="2:11" s="114" customFormat="1" ht="18" x14ac:dyDescent="0.25">
      <c r="B137" s="114" t="s">
        <v>125</v>
      </c>
    </row>
    <row r="138" spans="2:11" s="95" customFormat="1" x14ac:dyDescent="0.2">
      <c r="B138" s="95" t="s">
        <v>108</v>
      </c>
      <c r="C138" s="95" t="s">
        <v>12</v>
      </c>
      <c r="D138" s="95" t="s">
        <v>109</v>
      </c>
      <c r="E138" s="95" t="s">
        <v>7</v>
      </c>
      <c r="F138" s="95" t="s">
        <v>10</v>
      </c>
      <c r="G138" s="95" t="s">
        <v>110</v>
      </c>
      <c r="H138" s="95" t="s">
        <v>111</v>
      </c>
      <c r="I138" s="95" t="s">
        <v>112</v>
      </c>
      <c r="J138" s="95" t="s">
        <v>113</v>
      </c>
      <c r="K138" s="95" t="s">
        <v>114</v>
      </c>
    </row>
    <row r="139" spans="2:11" x14ac:dyDescent="0.2">
      <c r="B139" t="s">
        <v>125</v>
      </c>
      <c r="C139">
        <v>1</v>
      </c>
      <c r="D139">
        <v>0</v>
      </c>
      <c r="E139">
        <v>0</v>
      </c>
      <c r="H139">
        <v>1354.5827234668</v>
      </c>
      <c r="I139" t="s">
        <v>94</v>
      </c>
      <c r="J139" t="s">
        <v>74</v>
      </c>
    </row>
    <row r="140" spans="2:11" x14ac:dyDescent="0.2">
      <c r="B140" t="s">
        <v>125</v>
      </c>
      <c r="C140">
        <v>1</v>
      </c>
      <c r="E140">
        <v>1354.5827234668</v>
      </c>
    </row>
    <row r="142" spans="2:11" s="114" customFormat="1" ht="18" x14ac:dyDescent="0.25">
      <c r="B142" s="114" t="s">
        <v>91</v>
      </c>
    </row>
    <row r="143" spans="2:11" s="95" customFormat="1" x14ac:dyDescent="0.2">
      <c r="B143" s="95" t="s">
        <v>108</v>
      </c>
      <c r="C143" s="95" t="s">
        <v>12</v>
      </c>
      <c r="D143" s="95" t="s">
        <v>109</v>
      </c>
      <c r="E143" s="95" t="s">
        <v>7</v>
      </c>
      <c r="F143" s="95" t="s">
        <v>10</v>
      </c>
      <c r="G143" s="95" t="s">
        <v>110</v>
      </c>
      <c r="H143" s="95" t="s">
        <v>111</v>
      </c>
      <c r="I143" s="95" t="s">
        <v>112</v>
      </c>
      <c r="J143" s="95" t="s">
        <v>113</v>
      </c>
      <c r="K143" s="95" t="s">
        <v>114</v>
      </c>
    </row>
    <row r="144" spans="2:11" x14ac:dyDescent="0.2">
      <c r="B144" t="s">
        <v>91</v>
      </c>
      <c r="C144">
        <v>1</v>
      </c>
      <c r="D144">
        <v>0</v>
      </c>
      <c r="E144">
        <v>0</v>
      </c>
      <c r="H144">
        <v>1277.97106802492</v>
      </c>
      <c r="I144" t="s">
        <v>90</v>
      </c>
    </row>
    <row r="145" spans="2:11" x14ac:dyDescent="0.2">
      <c r="B145" t="s">
        <v>91</v>
      </c>
      <c r="C145">
        <v>1</v>
      </c>
      <c r="E145">
        <v>1277.97106802492</v>
      </c>
    </row>
    <row r="147" spans="2:11" s="114" customFormat="1" ht="18" x14ac:dyDescent="0.25">
      <c r="B147" s="114" t="s">
        <v>126</v>
      </c>
    </row>
    <row r="148" spans="2:11" s="95" customFormat="1" x14ac:dyDescent="0.2">
      <c r="B148" s="95" t="s">
        <v>108</v>
      </c>
      <c r="C148" s="95" t="s">
        <v>12</v>
      </c>
      <c r="D148" s="95" t="s">
        <v>109</v>
      </c>
      <c r="E148" s="95" t="s">
        <v>7</v>
      </c>
      <c r="F148" s="95" t="s">
        <v>10</v>
      </c>
      <c r="G148" s="95" t="s">
        <v>110</v>
      </c>
      <c r="H148" s="95" t="s">
        <v>111</v>
      </c>
      <c r="I148" s="95" t="s">
        <v>112</v>
      </c>
      <c r="J148" s="95" t="s">
        <v>113</v>
      </c>
      <c r="K148" s="95" t="s">
        <v>114</v>
      </c>
    </row>
    <row r="149" spans="2:11" x14ac:dyDescent="0.2">
      <c r="B149" t="s">
        <v>126</v>
      </c>
      <c r="C149">
        <v>1</v>
      </c>
      <c r="D149">
        <v>0</v>
      </c>
      <c r="E149">
        <v>0</v>
      </c>
      <c r="H149">
        <v>7209.4986435923502</v>
      </c>
    </row>
    <row r="150" spans="2:11" x14ac:dyDescent="0.2">
      <c r="B150" t="s">
        <v>126</v>
      </c>
      <c r="C150">
        <v>1</v>
      </c>
      <c r="E150">
        <v>7209.4986435923502</v>
      </c>
      <c r="I150" t="s">
        <v>102</v>
      </c>
    </row>
    <row r="152" spans="2:11" s="114" customFormat="1" ht="18" x14ac:dyDescent="0.25">
      <c r="B152" s="114" t="s">
        <v>92</v>
      </c>
    </row>
    <row r="153" spans="2:11" s="95" customFormat="1" x14ac:dyDescent="0.2">
      <c r="B153" s="95" t="s">
        <v>108</v>
      </c>
      <c r="C153" s="95" t="s">
        <v>12</v>
      </c>
      <c r="D153" s="95" t="s">
        <v>109</v>
      </c>
      <c r="E153" s="95" t="s">
        <v>7</v>
      </c>
      <c r="F153" s="95" t="s">
        <v>10</v>
      </c>
      <c r="G153" s="95" t="s">
        <v>110</v>
      </c>
      <c r="H153" s="95" t="s">
        <v>111</v>
      </c>
      <c r="I153" s="95" t="s">
        <v>112</v>
      </c>
      <c r="J153" s="95" t="s">
        <v>113</v>
      </c>
      <c r="K153" s="95" t="s">
        <v>114</v>
      </c>
    </row>
    <row r="154" spans="2:11" x14ac:dyDescent="0.2">
      <c r="B154" t="s">
        <v>92</v>
      </c>
      <c r="C154">
        <v>1</v>
      </c>
      <c r="D154">
        <v>0</v>
      </c>
      <c r="E154">
        <v>0</v>
      </c>
      <c r="H154">
        <v>7209.05004147211</v>
      </c>
    </row>
    <row r="155" spans="2:11" x14ac:dyDescent="0.2">
      <c r="B155" t="s">
        <v>92</v>
      </c>
      <c r="C155">
        <v>1</v>
      </c>
      <c r="E155">
        <v>7209.05004147211</v>
      </c>
      <c r="I155" t="s">
        <v>101</v>
      </c>
    </row>
    <row r="157" spans="2:11" s="114" customFormat="1" ht="18" x14ac:dyDescent="0.25">
      <c r="B157" s="114" t="s">
        <v>2497</v>
      </c>
    </row>
    <row r="158" spans="2:11" s="95" customFormat="1" x14ac:dyDescent="0.2">
      <c r="B158" s="95" t="s">
        <v>108</v>
      </c>
      <c r="C158" s="95" t="s">
        <v>12</v>
      </c>
      <c r="D158" s="95" t="s">
        <v>109</v>
      </c>
      <c r="E158" s="95" t="s">
        <v>7</v>
      </c>
      <c r="F158" s="95" t="s">
        <v>10</v>
      </c>
      <c r="G158" s="95" t="s">
        <v>110</v>
      </c>
      <c r="H158" s="95" t="s">
        <v>111</v>
      </c>
      <c r="I158" s="95" t="s">
        <v>112</v>
      </c>
      <c r="J158" s="95" t="s">
        <v>113</v>
      </c>
      <c r="K158" s="95" t="s">
        <v>114</v>
      </c>
    </row>
    <row r="159" spans="2:11" x14ac:dyDescent="0.2">
      <c r="B159" t="s">
        <v>2497</v>
      </c>
      <c r="C159">
        <v>1</v>
      </c>
      <c r="D159">
        <v>0</v>
      </c>
      <c r="E159">
        <v>0</v>
      </c>
      <c r="H159">
        <v>52.379783280716502</v>
      </c>
      <c r="I159" t="s">
        <v>115</v>
      </c>
    </row>
    <row r="160" spans="2:11" x14ac:dyDescent="0.2">
      <c r="B160" t="s">
        <v>2497</v>
      </c>
      <c r="C160">
        <v>1</v>
      </c>
      <c r="E160">
        <v>52.379783280716502</v>
      </c>
      <c r="I160" t="s">
        <v>1255</v>
      </c>
      <c r="J160" t="s">
        <v>74</v>
      </c>
    </row>
    <row r="162" spans="2:11" s="114" customFormat="1" ht="18" x14ac:dyDescent="0.25">
      <c r="B162" s="114" t="s">
        <v>82</v>
      </c>
    </row>
    <row r="163" spans="2:11" s="95" customFormat="1" x14ac:dyDescent="0.2">
      <c r="B163" s="95" t="s">
        <v>108</v>
      </c>
      <c r="C163" s="95" t="s">
        <v>12</v>
      </c>
      <c r="D163" s="95" t="s">
        <v>109</v>
      </c>
      <c r="E163" s="95" t="s">
        <v>7</v>
      </c>
      <c r="F163" s="95" t="s">
        <v>10</v>
      </c>
      <c r="G163" s="95" t="s">
        <v>110</v>
      </c>
      <c r="H163" s="95" t="s">
        <v>111</v>
      </c>
      <c r="I163" s="95" t="s">
        <v>112</v>
      </c>
      <c r="J163" s="95" t="s">
        <v>113</v>
      </c>
      <c r="K163" s="95" t="s">
        <v>114</v>
      </c>
    </row>
    <row r="164" spans="2:11" x14ac:dyDescent="0.2">
      <c r="B164" t="s">
        <v>82</v>
      </c>
      <c r="C164">
        <v>1</v>
      </c>
      <c r="D164">
        <v>0</v>
      </c>
      <c r="E164">
        <v>0</v>
      </c>
      <c r="H164">
        <v>246.65243706851601</v>
      </c>
      <c r="I164" t="s">
        <v>115</v>
      </c>
    </row>
    <row r="165" spans="2:11" x14ac:dyDescent="0.2">
      <c r="B165" t="s">
        <v>82</v>
      </c>
      <c r="C165">
        <v>1</v>
      </c>
      <c r="E165">
        <v>246.65243706851601</v>
      </c>
      <c r="I165" t="s">
        <v>85</v>
      </c>
    </row>
    <row r="167" spans="2:11" s="114" customFormat="1" ht="18" x14ac:dyDescent="0.25">
      <c r="B167" s="114" t="s">
        <v>106</v>
      </c>
    </row>
    <row r="168" spans="2:11" s="95" customFormat="1" x14ac:dyDescent="0.2">
      <c r="B168" s="95" t="s">
        <v>108</v>
      </c>
      <c r="C168" s="95" t="s">
        <v>12</v>
      </c>
      <c r="D168" s="95" t="s">
        <v>109</v>
      </c>
      <c r="E168" s="95" t="s">
        <v>7</v>
      </c>
      <c r="F168" s="95" t="s">
        <v>10</v>
      </c>
      <c r="G168" s="95" t="s">
        <v>110</v>
      </c>
      <c r="H168" s="95" t="s">
        <v>111</v>
      </c>
      <c r="I168" s="95" t="s">
        <v>112</v>
      </c>
      <c r="J168" s="95" t="s">
        <v>113</v>
      </c>
      <c r="K168" s="95" t="s">
        <v>114</v>
      </c>
    </row>
    <row r="169" spans="2:11" x14ac:dyDescent="0.2">
      <c r="B169" t="s">
        <v>106</v>
      </c>
      <c r="C169">
        <v>1</v>
      </c>
      <c r="D169">
        <v>0</v>
      </c>
      <c r="E169">
        <v>0</v>
      </c>
      <c r="H169">
        <v>246.66222523663799</v>
      </c>
      <c r="I169" t="s">
        <v>115</v>
      </c>
    </row>
    <row r="170" spans="2:11" x14ac:dyDescent="0.2">
      <c r="B170" t="s">
        <v>106</v>
      </c>
      <c r="C170">
        <v>1</v>
      </c>
      <c r="E170">
        <v>246.66222523663799</v>
      </c>
      <c r="I170" t="s">
        <v>98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7A34-411F-429D-AECA-1523755C2452}">
  <dimension ref="A1:AB509"/>
  <sheetViews>
    <sheetView tabSelected="1" zoomScaleNormal="100" workbookViewId="0">
      <pane xSplit="2" ySplit="6" topLeftCell="C8" activePane="bottomRight" state="frozen"/>
      <selection pane="topRight" activeCell="C1" sqref="C1"/>
      <selection pane="bottomLeft" activeCell="A7" sqref="A7"/>
      <selection pane="bottomRight" activeCell="I9" sqref="I9 I10 I11 I12"/>
    </sheetView>
  </sheetViews>
  <sheetFormatPr defaultColWidth="9.140625" defaultRowHeight="12.75" x14ac:dyDescent="0.2"/>
  <cols>
    <col min="1" max="1" width="9.140625" style="218"/>
    <col min="2" max="2" width="9.140625" style="4" customWidth="1"/>
    <col min="3" max="3" width="37.85546875" style="80" bestFit="1" customWidth="1"/>
    <col min="4" max="4" width="28.42578125" bestFit="1" customWidth="1"/>
    <col min="5" max="5" width="25.85546875" bestFit="1" customWidth="1"/>
    <col min="6" max="6" width="8.140625" bestFit="1" customWidth="1"/>
    <col min="7" max="7" width="9.140625" customWidth="1"/>
    <col min="8" max="8" width="13.140625" bestFit="1" customWidth="1"/>
    <col min="9" max="9" width="6" customWidth="1"/>
    <col min="10" max="10" width="11.140625" bestFit="1" customWidth="1"/>
    <col min="11" max="11" width="8.85546875" customWidth="1"/>
    <col min="12" max="12" width="7.5703125" customWidth="1"/>
    <col min="13" max="13" width="5.140625" bestFit="1" customWidth="1"/>
    <col min="14" max="14" width="4.5703125" bestFit="1" customWidth="1"/>
    <col min="15" max="15" width="8.140625" customWidth="1"/>
    <col min="16" max="16" width="5.42578125" customWidth="1"/>
    <col min="17" max="17" width="11.42578125" bestFit="1" customWidth="1"/>
    <col min="18" max="18" width="10.42578125" bestFit="1" customWidth="1"/>
    <col min="19" max="19" width="10.42578125" customWidth="1"/>
    <col min="20" max="20" width="12.85546875" bestFit="1" customWidth="1"/>
    <col min="25" max="25" width="11" bestFit="1" customWidth="1"/>
    <col min="254" max="254" width="36.42578125" customWidth="1"/>
    <col min="255" max="255" width="29.42578125" customWidth="1"/>
    <col min="510" max="510" width="36.42578125" customWidth="1"/>
    <col min="511" max="511" width="29.42578125" customWidth="1"/>
    <col min="766" max="766" width="36.42578125" customWidth="1"/>
    <col min="767" max="767" width="29.42578125" customWidth="1"/>
    <col min="1022" max="1022" width="36.42578125" customWidth="1"/>
    <col min="1023" max="1023" width="29.42578125" customWidth="1"/>
    <col min="1278" max="1278" width="36.42578125" customWidth="1"/>
    <col min="1279" max="1279" width="29.42578125" customWidth="1"/>
    <col min="1534" max="1534" width="36.42578125" customWidth="1"/>
    <col min="1535" max="1535" width="29.42578125" customWidth="1"/>
    <col min="1790" max="1790" width="36.42578125" customWidth="1"/>
    <col min="1791" max="1791" width="29.42578125" customWidth="1"/>
    <col min="2046" max="2046" width="36.42578125" customWidth="1"/>
    <col min="2047" max="2047" width="29.42578125" customWidth="1"/>
    <col min="2302" max="2302" width="36.42578125" customWidth="1"/>
    <col min="2303" max="2303" width="29.42578125" customWidth="1"/>
    <col min="2558" max="2558" width="36.42578125" customWidth="1"/>
    <col min="2559" max="2559" width="29.42578125" customWidth="1"/>
    <col min="2814" max="2814" width="36.42578125" customWidth="1"/>
    <col min="2815" max="2815" width="29.42578125" customWidth="1"/>
    <col min="3070" max="3070" width="36.42578125" customWidth="1"/>
    <col min="3071" max="3071" width="29.42578125" customWidth="1"/>
    <col min="3326" max="3326" width="36.42578125" customWidth="1"/>
    <col min="3327" max="3327" width="29.42578125" customWidth="1"/>
    <col min="3582" max="3582" width="36.42578125" customWidth="1"/>
    <col min="3583" max="3583" width="29.42578125" customWidth="1"/>
    <col min="3838" max="3838" width="36.42578125" customWidth="1"/>
    <col min="3839" max="3839" width="29.42578125" customWidth="1"/>
    <col min="4094" max="4094" width="36.42578125" customWidth="1"/>
    <col min="4095" max="4095" width="29.42578125" customWidth="1"/>
    <col min="4350" max="4350" width="36.42578125" customWidth="1"/>
    <col min="4351" max="4351" width="29.42578125" customWidth="1"/>
    <col min="4606" max="4606" width="36.42578125" customWidth="1"/>
    <col min="4607" max="4607" width="29.42578125" customWidth="1"/>
    <col min="4862" max="4862" width="36.42578125" customWidth="1"/>
    <col min="4863" max="4863" width="29.42578125" customWidth="1"/>
    <col min="5118" max="5118" width="36.42578125" customWidth="1"/>
    <col min="5119" max="5119" width="29.42578125" customWidth="1"/>
    <col min="5374" max="5374" width="36.42578125" customWidth="1"/>
    <col min="5375" max="5375" width="29.42578125" customWidth="1"/>
    <col min="5630" max="5630" width="36.42578125" customWidth="1"/>
    <col min="5631" max="5631" width="29.42578125" customWidth="1"/>
    <col min="5886" max="5886" width="36.42578125" customWidth="1"/>
    <col min="5887" max="5887" width="29.42578125" customWidth="1"/>
    <col min="6142" max="6142" width="36.42578125" customWidth="1"/>
    <col min="6143" max="6143" width="29.42578125" customWidth="1"/>
    <col min="6398" max="6398" width="36.42578125" customWidth="1"/>
    <col min="6399" max="6399" width="29.42578125" customWidth="1"/>
    <col min="6654" max="6654" width="36.42578125" customWidth="1"/>
    <col min="6655" max="6655" width="29.42578125" customWidth="1"/>
    <col min="6910" max="6910" width="36.42578125" customWidth="1"/>
    <col min="6911" max="6911" width="29.42578125" customWidth="1"/>
    <col min="7166" max="7166" width="36.42578125" customWidth="1"/>
    <col min="7167" max="7167" width="29.42578125" customWidth="1"/>
    <col min="7422" max="7422" width="36.42578125" customWidth="1"/>
    <col min="7423" max="7423" width="29.42578125" customWidth="1"/>
    <col min="7678" max="7678" width="36.42578125" customWidth="1"/>
    <col min="7679" max="7679" width="29.42578125" customWidth="1"/>
    <col min="7934" max="7934" width="36.42578125" customWidth="1"/>
    <col min="7935" max="7935" width="29.42578125" customWidth="1"/>
    <col min="8190" max="8190" width="36.42578125" customWidth="1"/>
    <col min="8191" max="8191" width="29.42578125" customWidth="1"/>
    <col min="8446" max="8446" width="36.42578125" customWidth="1"/>
    <col min="8447" max="8447" width="29.42578125" customWidth="1"/>
    <col min="8702" max="8702" width="36.42578125" customWidth="1"/>
    <col min="8703" max="8703" width="29.42578125" customWidth="1"/>
    <col min="8958" max="8958" width="36.42578125" customWidth="1"/>
    <col min="8959" max="8959" width="29.42578125" customWidth="1"/>
    <col min="9214" max="9214" width="36.42578125" customWidth="1"/>
    <col min="9215" max="9215" width="29.42578125" customWidth="1"/>
    <col min="9470" max="9470" width="36.42578125" customWidth="1"/>
    <col min="9471" max="9471" width="29.42578125" customWidth="1"/>
    <col min="9726" max="9726" width="36.42578125" customWidth="1"/>
    <col min="9727" max="9727" width="29.42578125" customWidth="1"/>
    <col min="9982" max="9982" width="36.42578125" customWidth="1"/>
    <col min="9983" max="9983" width="29.42578125" customWidth="1"/>
    <col min="10238" max="10238" width="36.42578125" customWidth="1"/>
    <col min="10239" max="10239" width="29.42578125" customWidth="1"/>
    <col min="10494" max="10494" width="36.42578125" customWidth="1"/>
    <col min="10495" max="10495" width="29.42578125" customWidth="1"/>
    <col min="10750" max="10750" width="36.42578125" customWidth="1"/>
    <col min="10751" max="10751" width="29.42578125" customWidth="1"/>
    <col min="11006" max="11006" width="36.42578125" customWidth="1"/>
    <col min="11007" max="11007" width="29.42578125" customWidth="1"/>
    <col min="11262" max="11262" width="36.42578125" customWidth="1"/>
    <col min="11263" max="11263" width="29.42578125" customWidth="1"/>
    <col min="11518" max="11518" width="36.42578125" customWidth="1"/>
    <col min="11519" max="11519" width="29.42578125" customWidth="1"/>
    <col min="11774" max="11774" width="36.42578125" customWidth="1"/>
    <col min="11775" max="11775" width="29.42578125" customWidth="1"/>
    <col min="12030" max="12030" width="36.42578125" customWidth="1"/>
    <col min="12031" max="12031" width="29.42578125" customWidth="1"/>
    <col min="12286" max="12286" width="36.42578125" customWidth="1"/>
    <col min="12287" max="12287" width="29.42578125" customWidth="1"/>
    <col min="12542" max="12542" width="36.42578125" customWidth="1"/>
    <col min="12543" max="12543" width="29.42578125" customWidth="1"/>
    <col min="12798" max="12798" width="36.42578125" customWidth="1"/>
    <col min="12799" max="12799" width="29.42578125" customWidth="1"/>
    <col min="13054" max="13054" width="36.42578125" customWidth="1"/>
    <col min="13055" max="13055" width="29.42578125" customWidth="1"/>
    <col min="13310" max="13310" width="36.42578125" customWidth="1"/>
    <col min="13311" max="13311" width="29.42578125" customWidth="1"/>
    <col min="13566" max="13566" width="36.42578125" customWidth="1"/>
    <col min="13567" max="13567" width="29.42578125" customWidth="1"/>
    <col min="13822" max="13822" width="36.42578125" customWidth="1"/>
    <col min="13823" max="13823" width="29.42578125" customWidth="1"/>
    <col min="14078" max="14078" width="36.42578125" customWidth="1"/>
    <col min="14079" max="14079" width="29.42578125" customWidth="1"/>
    <col min="14334" max="14334" width="36.42578125" customWidth="1"/>
    <col min="14335" max="14335" width="29.42578125" customWidth="1"/>
    <col min="14590" max="14590" width="36.42578125" customWidth="1"/>
    <col min="14591" max="14591" width="29.42578125" customWidth="1"/>
    <col min="14846" max="14846" width="36.42578125" customWidth="1"/>
    <col min="14847" max="14847" width="29.42578125" customWidth="1"/>
    <col min="15102" max="15102" width="36.42578125" customWidth="1"/>
    <col min="15103" max="15103" width="29.42578125" customWidth="1"/>
    <col min="15358" max="15358" width="36.42578125" customWidth="1"/>
    <col min="15359" max="15359" width="29.42578125" customWidth="1"/>
    <col min="15614" max="15614" width="36.42578125" customWidth="1"/>
    <col min="15615" max="15615" width="29.42578125" customWidth="1"/>
    <col min="15870" max="15870" width="36.42578125" customWidth="1"/>
    <col min="15871" max="15871" width="29.42578125" customWidth="1"/>
    <col min="16126" max="16126" width="36.42578125" customWidth="1"/>
    <col min="16127" max="16127" width="29.42578125" customWidth="1"/>
  </cols>
  <sheetData>
    <row r="1" spans="1:28" s="22" customFormat="1" ht="14.25" x14ac:dyDescent="0.2">
      <c r="A1" s="103"/>
      <c r="B1" s="175"/>
      <c r="C1" s="80"/>
      <c r="D1" s="24" t="s">
        <v>48</v>
      </c>
      <c r="E1" s="24">
        <v>1</v>
      </c>
      <c r="M1" s="23"/>
    </row>
    <row r="2" spans="1:28" x14ac:dyDescent="0.2">
      <c r="M2" s="6"/>
    </row>
    <row r="3" spans="1:28" s="14" customFormat="1" x14ac:dyDescent="0.2">
      <c r="A3" s="223" t="s">
        <v>1</v>
      </c>
      <c r="B3" s="174" t="s">
        <v>18</v>
      </c>
      <c r="C3" s="7" t="s">
        <v>2</v>
      </c>
      <c r="D3" s="15"/>
      <c r="E3" s="30"/>
      <c r="F3" s="8"/>
      <c r="G3" s="8"/>
      <c r="H3" s="9"/>
      <c r="I3" s="10"/>
      <c r="J3" s="11"/>
      <c r="K3" s="11"/>
      <c r="L3" s="12"/>
      <c r="M3" s="25"/>
      <c r="N3" s="13"/>
      <c r="O3" s="12"/>
      <c r="P3" s="12"/>
      <c r="Q3" s="12"/>
    </row>
    <row r="4" spans="1:28" s="14" customFormat="1" x14ac:dyDescent="0.2">
      <c r="A4" s="224" t="s">
        <v>19</v>
      </c>
      <c r="B4" s="186">
        <v>70046</v>
      </c>
      <c r="C4" t="s">
        <v>134</v>
      </c>
      <c r="D4" s="15"/>
      <c r="E4"/>
      <c r="F4" s="8"/>
      <c r="G4" s="8"/>
      <c r="H4" s="9"/>
      <c r="I4" s="10"/>
      <c r="J4" s="11"/>
      <c r="K4" s="11"/>
      <c r="L4" s="12"/>
      <c r="M4" s="25"/>
      <c r="N4" s="13"/>
      <c r="O4" s="12"/>
      <c r="P4" s="12"/>
      <c r="Q4" s="12"/>
    </row>
    <row r="5" spans="1:28" x14ac:dyDescent="0.2">
      <c r="A5" s="224"/>
      <c r="M5" s="6"/>
    </row>
    <row r="6" spans="1:28" ht="38.25" x14ac:dyDescent="0.2">
      <c r="A6" s="211" t="s">
        <v>1</v>
      </c>
      <c r="B6" s="173" t="s">
        <v>18</v>
      </c>
      <c r="C6" s="16" t="s">
        <v>2</v>
      </c>
      <c r="D6" s="16" t="s">
        <v>14</v>
      </c>
      <c r="E6" s="16" t="s">
        <v>9</v>
      </c>
      <c r="F6" s="26" t="s">
        <v>30</v>
      </c>
      <c r="G6" s="27" t="s">
        <v>13</v>
      </c>
      <c r="H6" s="17" t="s">
        <v>10</v>
      </c>
      <c r="I6" s="18" t="s">
        <v>7</v>
      </c>
      <c r="J6" s="19" t="s">
        <v>15</v>
      </c>
      <c r="K6" s="19" t="s">
        <v>28</v>
      </c>
      <c r="L6" s="16" t="s">
        <v>20</v>
      </c>
      <c r="M6" s="28" t="s">
        <v>21</v>
      </c>
      <c r="N6" s="20" t="s">
        <v>22</v>
      </c>
      <c r="O6" s="16" t="s">
        <v>23</v>
      </c>
      <c r="P6" s="16" t="s">
        <v>24</v>
      </c>
      <c r="Q6" s="16" t="s">
        <v>25</v>
      </c>
      <c r="R6" s="16" t="s">
        <v>143</v>
      </c>
      <c r="S6" s="16" t="s">
        <v>49</v>
      </c>
      <c r="T6" s="16" t="s">
        <v>50</v>
      </c>
      <c r="U6" s="16" t="s">
        <v>1083</v>
      </c>
      <c r="V6" s="16" t="s">
        <v>1084</v>
      </c>
      <c r="W6" s="16" t="s">
        <v>72</v>
      </c>
      <c r="X6" s="16" t="s">
        <v>73</v>
      </c>
      <c r="Y6" s="16" t="s">
        <v>66</v>
      </c>
    </row>
    <row r="7" spans="1:28" s="21" customFormat="1" ht="15" x14ac:dyDescent="0.25">
      <c r="A7" s="224" t="s">
        <v>129</v>
      </c>
      <c r="B7" s="172">
        <v>70000</v>
      </c>
      <c r="C7" s="21" t="str">
        <f>AB7&amp;Z7</f>
        <v>7BS3112_Signal</v>
      </c>
      <c r="D7" s="93" t="s">
        <v>919</v>
      </c>
      <c r="E7" s="115" t="s">
        <v>188</v>
      </c>
      <c r="F7"/>
      <c r="G7" s="116">
        <v>-506</v>
      </c>
      <c r="H7" s="116">
        <f t="shared" ref="H7:H51" si="0">G7+F7</f>
        <v>-506</v>
      </c>
      <c r="I7" s="230">
        <f>IF("generated"=1, "Path=MMRBEM_7_DOWN, Scaled Offset=-506", 19.6178341481519)</f>
        <v>19.6178341481519</v>
      </c>
      <c r="J7"/>
      <c r="K7"/>
      <c r="L7">
        <v>1</v>
      </c>
      <c r="M7">
        <v>0</v>
      </c>
      <c r="N7"/>
      <c r="O7"/>
      <c r="P7"/>
      <c r="Q7"/>
      <c r="R7"/>
      <c r="T7">
        <v>0</v>
      </c>
      <c r="U7">
        <v>3112</v>
      </c>
      <c r="V7" t="s">
        <v>1080</v>
      </c>
      <c r="W7"/>
      <c r="X7"/>
      <c r="Y7"/>
      <c r="Z7" s="21" t="s">
        <v>133</v>
      </c>
      <c r="AA7" s="21" t="s">
        <v>145</v>
      </c>
      <c r="AB7" s="83" t="s">
        <v>131</v>
      </c>
    </row>
    <row r="8" spans="1:28" ht="15" x14ac:dyDescent="0.25">
      <c r="A8" s="224" t="s">
        <v>129</v>
      </c>
      <c r="B8" s="172">
        <v>70001</v>
      </c>
      <c r="C8" s="21" t="str">
        <f>AB8&amp;Z8</f>
        <v>7RS3101_Signal</v>
      </c>
      <c r="D8" s="93" t="s">
        <v>1052</v>
      </c>
      <c r="E8" s="115" t="s">
        <v>188</v>
      </c>
      <c r="G8">
        <v>-292.69</v>
      </c>
      <c r="H8" s="116">
        <f t="shared" si="0"/>
        <v>-292.69</v>
      </c>
      <c r="I8" s="230">
        <f>IF("generated"=1, "Path=MMRBEM_7_DOWN, Scaled Offset=-292.68999999999999772626324556767941", 229.903271441734)</f>
        <v>229.90327144173401</v>
      </c>
      <c r="M8">
        <v>-2.1</v>
      </c>
      <c r="T8">
        <v>0</v>
      </c>
      <c r="U8">
        <v>3101</v>
      </c>
      <c r="V8" t="s">
        <v>1081</v>
      </c>
      <c r="Z8" s="21" t="s">
        <v>133</v>
      </c>
      <c r="AA8" s="21" t="s">
        <v>145</v>
      </c>
      <c r="AB8" s="83" t="s">
        <v>130</v>
      </c>
    </row>
    <row r="9" spans="1:28" ht="15" x14ac:dyDescent="0.25">
      <c r="A9" s="224" t="s">
        <v>129</v>
      </c>
      <c r="B9" s="4">
        <v>70002</v>
      </c>
      <c r="C9" t="str">
        <f>AB8&amp;"_RI"</f>
        <v>7RS3101_RI</v>
      </c>
      <c r="D9" s="93" t="s">
        <v>1044</v>
      </c>
      <c r="E9" s="93" t="str">
        <f>E8</f>
        <v>MMRBEM_7_DOWN</v>
      </c>
      <c r="G9">
        <f>G8</f>
        <v>-292.69</v>
      </c>
      <c r="H9" s="116">
        <f t="shared" si="0"/>
        <v>-292.69</v>
      </c>
      <c r="I9" s="230">
        <f>IF("generated"=1, "Path=MMRBEM_7_DOWN, Scaled Offset=-292.68999999999999772626324556767941", 229.903271441734)</f>
        <v>229.90327144173401</v>
      </c>
      <c r="M9">
        <f>M8</f>
        <v>-2.1</v>
      </c>
      <c r="N9">
        <v>3.2</v>
      </c>
      <c r="Z9" s="21"/>
      <c r="AA9" s="21"/>
    </row>
    <row r="10" spans="1:28" ht="15" x14ac:dyDescent="0.25">
      <c r="A10" s="224" t="s">
        <v>129</v>
      </c>
      <c r="B10" s="172">
        <v>70003</v>
      </c>
      <c r="C10" s="21" t="str">
        <f>AB10&amp;Z10</f>
        <v>7RS3108_Signal</v>
      </c>
      <c r="D10" s="93" t="s">
        <v>1052</v>
      </c>
      <c r="E10" s="115" t="s">
        <v>188</v>
      </c>
      <c r="G10" s="116">
        <v>-124.79</v>
      </c>
      <c r="H10" s="116">
        <f t="shared" si="0"/>
        <v>-124.79</v>
      </c>
      <c r="I10" s="230">
        <f>IF("generated"=1, "Path=MMRBEM_7_DOWN, Scaled Offset=-124.79000000000000625277607468888164", 394.261253388172)</f>
        <v>394.26125338817201</v>
      </c>
      <c r="L10">
        <v>1</v>
      </c>
      <c r="M10">
        <v>-2.2999999999999998</v>
      </c>
      <c r="O10" s="191"/>
      <c r="R10" s="83"/>
      <c r="T10">
        <v>0</v>
      </c>
      <c r="U10">
        <v>3108</v>
      </c>
      <c r="V10" t="s">
        <v>1081</v>
      </c>
      <c r="Z10" s="21" t="s">
        <v>133</v>
      </c>
      <c r="AA10" s="21" t="s">
        <v>145</v>
      </c>
      <c r="AB10" s="83" t="s">
        <v>135</v>
      </c>
    </row>
    <row r="11" spans="1:28" ht="15" x14ac:dyDescent="0.25">
      <c r="A11" s="224" t="s">
        <v>129</v>
      </c>
      <c r="B11" s="4">
        <v>70004</v>
      </c>
      <c r="C11" t="str">
        <f>AB10&amp;"_RI"</f>
        <v>7RS3108_RI</v>
      </c>
      <c r="D11" s="93" t="s">
        <v>1044</v>
      </c>
      <c r="E11" s="93" t="str">
        <f>E10</f>
        <v>MMRBEM_7_DOWN</v>
      </c>
      <c r="G11">
        <f>G10</f>
        <v>-124.79</v>
      </c>
      <c r="H11" s="116">
        <f t="shared" si="0"/>
        <v>-124.79</v>
      </c>
      <c r="I11" s="230">
        <f>IF("generated"=1, "Path=MMRBEM_7_DOWN, Scaled Offset=-124.79000000000000625277607468888164", 394.261253388172)</f>
        <v>394.26125338817201</v>
      </c>
      <c r="L11">
        <v>1</v>
      </c>
      <c r="M11">
        <f>M10</f>
        <v>-2.2999999999999998</v>
      </c>
      <c r="N11">
        <v>3.2</v>
      </c>
      <c r="O11" s="191"/>
      <c r="Z11" s="21"/>
      <c r="AA11" s="21"/>
    </row>
    <row r="12" spans="1:28" ht="15" x14ac:dyDescent="0.25">
      <c r="A12" s="224" t="s">
        <v>129</v>
      </c>
      <c r="B12" s="172">
        <v>70005</v>
      </c>
      <c r="C12" s="21" t="str">
        <f>AB12&amp;Z12</f>
        <v>7RS3103_Signal</v>
      </c>
      <c r="D12" s="93" t="s">
        <v>918</v>
      </c>
      <c r="E12" s="115" t="s">
        <v>188</v>
      </c>
      <c r="F12">
        <v>22</v>
      </c>
      <c r="G12">
        <v>59.16</v>
      </c>
      <c r="H12" s="116">
        <f t="shared" si="0"/>
        <v>81.16</v>
      </c>
      <c r="I12" s="230">
        <f>IF("generated"=1, "Path=MMRBEM_7_DOWN, Scaled Offset=81.159999999999996589394868351519108", 597.342241505781)</f>
        <v>597.34224150578098</v>
      </c>
      <c r="M12">
        <v>-2.2999999999999998</v>
      </c>
      <c r="T12">
        <v>0</v>
      </c>
      <c r="U12">
        <v>3103</v>
      </c>
      <c r="V12" t="s">
        <v>1081</v>
      </c>
      <c r="Z12" s="21" t="s">
        <v>133</v>
      </c>
      <c r="AA12" s="21" t="s">
        <v>145</v>
      </c>
      <c r="AB12" s="83" t="s">
        <v>136</v>
      </c>
    </row>
    <row r="13" spans="1:28" ht="15" x14ac:dyDescent="0.25">
      <c r="A13" s="224" t="s">
        <v>129</v>
      </c>
      <c r="B13" s="4">
        <v>70006</v>
      </c>
      <c r="C13" t="str">
        <f>AB12&amp;"_RI"</f>
        <v>7RS3103_RI</v>
      </c>
      <c r="D13" s="93" t="s">
        <v>1044</v>
      </c>
      <c r="E13" s="93" t="str">
        <f>E12</f>
        <v>MMRBEM_7_DOWN</v>
      </c>
      <c r="F13">
        <v>22</v>
      </c>
      <c r="G13">
        <f>G12</f>
        <v>59.16</v>
      </c>
      <c r="H13" s="116">
        <f t="shared" si="0"/>
        <v>81.16</v>
      </c>
      <c r="I13" s="230">
        <f>IF("generated"=1, "Path=MMRBEM_7_DOWN, Scaled Offset=81.159999999999996589394868351519108", 597.342241505781)</f>
        <v>597.34224150578098</v>
      </c>
      <c r="L13" s="116"/>
      <c r="M13">
        <f>M12</f>
        <v>-2.2999999999999998</v>
      </c>
      <c r="N13">
        <v>5.2</v>
      </c>
      <c r="Z13" s="21"/>
      <c r="AA13" s="21"/>
    </row>
    <row r="14" spans="1:28" ht="15" x14ac:dyDescent="0.25">
      <c r="A14" s="224" t="s">
        <v>129</v>
      </c>
      <c r="B14" s="172">
        <v>70007</v>
      </c>
      <c r="C14" s="21" t="str">
        <f>AB14&amp;Z14</f>
        <v>7RS3106_Signal</v>
      </c>
      <c r="D14" s="93" t="s">
        <v>918</v>
      </c>
      <c r="E14" s="115" t="s">
        <v>188</v>
      </c>
      <c r="F14">
        <v>-2</v>
      </c>
      <c r="G14">
        <v>263.95</v>
      </c>
      <c r="H14" s="116">
        <f t="shared" si="0"/>
        <v>261.95</v>
      </c>
      <c r="I14" s="230">
        <f>IF("generated"=1, "Path=MMRBEM_7_DOWN, Scaled Offset=261.94999999999998863131622783839703", 775.431413449846)</f>
        <v>775.43141344984599</v>
      </c>
      <c r="L14">
        <v>1</v>
      </c>
      <c r="M14">
        <v>-2.5</v>
      </c>
      <c r="T14">
        <v>0</v>
      </c>
      <c r="U14">
        <v>3106</v>
      </c>
      <c r="V14" t="s">
        <v>1081</v>
      </c>
      <c r="Z14" s="21" t="s">
        <v>133</v>
      </c>
      <c r="AA14" s="21" t="s">
        <v>145</v>
      </c>
      <c r="AB14" s="83" t="s">
        <v>137</v>
      </c>
    </row>
    <row r="15" spans="1:28" ht="15" x14ac:dyDescent="0.25">
      <c r="A15" s="224" t="s">
        <v>129</v>
      </c>
      <c r="B15" s="172">
        <v>70008</v>
      </c>
      <c r="C15" s="21" t="str">
        <f>AB15&amp;Z15</f>
        <v>7BS3110_Signal</v>
      </c>
      <c r="D15" s="93" t="s">
        <v>919</v>
      </c>
      <c r="E15" s="94" t="s">
        <v>187</v>
      </c>
      <c r="G15">
        <v>-506</v>
      </c>
      <c r="H15" s="116">
        <f t="shared" si="0"/>
        <v>-506</v>
      </c>
      <c r="I15" s="230">
        <f>IF("generated"=1, "Path=MMRBEM_7_UP, Scaled Offset=-506", 19.6170556638961)</f>
        <v>19.6170556638961</v>
      </c>
      <c r="L15">
        <v>1</v>
      </c>
      <c r="M15">
        <v>0</v>
      </c>
      <c r="T15">
        <v>0</v>
      </c>
      <c r="U15">
        <v>3110</v>
      </c>
      <c r="V15" t="s">
        <v>1080</v>
      </c>
      <c r="Z15" s="21" t="s">
        <v>133</v>
      </c>
      <c r="AA15" s="21" t="s">
        <v>145</v>
      </c>
      <c r="AB15" s="83" t="s">
        <v>138</v>
      </c>
    </row>
    <row r="16" spans="1:28" ht="15" x14ac:dyDescent="0.25">
      <c r="A16" s="224" t="s">
        <v>129</v>
      </c>
      <c r="B16" s="172">
        <v>70009</v>
      </c>
      <c r="C16" s="21" t="str">
        <f>AB16&amp;Z16</f>
        <v>7RS3105_Signal</v>
      </c>
      <c r="D16" s="93" t="s">
        <v>1052</v>
      </c>
      <c r="E16" s="94" t="s">
        <v>187</v>
      </c>
      <c r="G16">
        <v>-292.69</v>
      </c>
      <c r="H16" s="116">
        <f t="shared" si="0"/>
        <v>-292.69</v>
      </c>
      <c r="I16" s="230">
        <f>IF("generated"=1, "Path=MMRBEM_7_UP, Scaled Offset=-292.68999999999999772626324556767941", 229.894148310413)</f>
        <v>229.89414831041299</v>
      </c>
      <c r="M16">
        <v>-2.5</v>
      </c>
      <c r="T16">
        <v>0</v>
      </c>
      <c r="U16">
        <v>3105</v>
      </c>
      <c r="V16" t="s">
        <v>1081</v>
      </c>
      <c r="Z16" s="21" t="s">
        <v>133</v>
      </c>
      <c r="AA16" s="21" t="s">
        <v>145</v>
      </c>
      <c r="AB16" s="83" t="s">
        <v>139</v>
      </c>
    </row>
    <row r="17" spans="1:28" ht="15" x14ac:dyDescent="0.25">
      <c r="A17" s="224" t="s">
        <v>129</v>
      </c>
      <c r="B17" s="4">
        <v>70010</v>
      </c>
      <c r="C17" t="str">
        <f>AB16&amp;"_RI"</f>
        <v>7RS3105_RI</v>
      </c>
      <c r="D17" s="93" t="s">
        <v>1044</v>
      </c>
      <c r="E17" s="93" t="str">
        <f>E16</f>
        <v>MMRBEM_7_UP</v>
      </c>
      <c r="G17">
        <f>G16</f>
        <v>-292.69</v>
      </c>
      <c r="H17" s="116">
        <f t="shared" si="0"/>
        <v>-292.69</v>
      </c>
      <c r="I17" s="230">
        <f>IF("generated"=1, "Path=MMRBEM_7_UP, Scaled Offset=-292.68999999999999772626324556767941", 229.894148310413)</f>
        <v>229.89414831041299</v>
      </c>
      <c r="M17">
        <f>M16</f>
        <v>-2.5</v>
      </c>
      <c r="N17">
        <v>3.2</v>
      </c>
      <c r="Z17" s="21"/>
      <c r="AA17" s="21"/>
    </row>
    <row r="18" spans="1:28" ht="15" x14ac:dyDescent="0.25">
      <c r="A18" s="224" t="s">
        <v>129</v>
      </c>
      <c r="B18" s="172">
        <v>70011</v>
      </c>
      <c r="C18" s="21" t="str">
        <f>AB18&amp;Z18</f>
        <v>7RS3104_Signal</v>
      </c>
      <c r="D18" s="214" t="s">
        <v>918</v>
      </c>
      <c r="E18" s="94" t="s">
        <v>187</v>
      </c>
      <c r="G18">
        <v>-124.6</v>
      </c>
      <c r="H18" s="116">
        <f t="shared" si="0"/>
        <v>-124.6</v>
      </c>
      <c r="I18" s="230">
        <f>IF("generated"=1, "Path=MMRBEM_7_UP, Scaled Offset=-124.59999999999999431565811391919851", 394.308818120182)</f>
        <v>394.30881812018202</v>
      </c>
      <c r="L18">
        <v>1</v>
      </c>
      <c r="M18">
        <v>-2.2999999999999998</v>
      </c>
      <c r="T18">
        <v>0</v>
      </c>
      <c r="U18">
        <v>3104</v>
      </c>
      <c r="V18" t="s">
        <v>1081</v>
      </c>
      <c r="Z18" s="21" t="s">
        <v>133</v>
      </c>
      <c r="AA18" s="21" t="s">
        <v>145</v>
      </c>
      <c r="AB18" s="83" t="s">
        <v>140</v>
      </c>
    </row>
    <row r="19" spans="1:28" ht="15" x14ac:dyDescent="0.25">
      <c r="A19" s="224" t="s">
        <v>129</v>
      </c>
      <c r="B19" s="4">
        <v>70012</v>
      </c>
      <c r="C19" t="str">
        <f>AB18&amp;"_RI"</f>
        <v>7RS3104_RI</v>
      </c>
      <c r="D19" s="93" t="s">
        <v>1044</v>
      </c>
      <c r="E19" s="93" t="str">
        <f>E18</f>
        <v>MMRBEM_7_UP</v>
      </c>
      <c r="G19">
        <f>G18</f>
        <v>-124.6</v>
      </c>
      <c r="H19" s="116">
        <f t="shared" si="0"/>
        <v>-124.6</v>
      </c>
      <c r="I19" s="230">
        <f>IF("generated"=1, "Path=MMRBEM_7_UP, Scaled Offset=-124.59999999999999431565811391919851", 394.308818120182)</f>
        <v>394.30881812018202</v>
      </c>
      <c r="L19">
        <v>1</v>
      </c>
      <c r="M19">
        <f>M18</f>
        <v>-2.2999999999999998</v>
      </c>
      <c r="N19">
        <v>5.2</v>
      </c>
      <c r="Z19" s="21"/>
      <c r="AA19" s="21"/>
    </row>
    <row r="20" spans="1:28" ht="15" x14ac:dyDescent="0.25">
      <c r="A20" s="224" t="s">
        <v>129</v>
      </c>
      <c r="B20" s="172">
        <v>70013</v>
      </c>
      <c r="C20" s="21" t="str">
        <f>AB20&amp;Z20</f>
        <v>7RS3107_Signal</v>
      </c>
      <c r="D20" s="93" t="s">
        <v>918</v>
      </c>
      <c r="E20" s="94" t="s">
        <v>187</v>
      </c>
      <c r="F20">
        <v>25</v>
      </c>
      <c r="G20">
        <v>59.35</v>
      </c>
      <c r="H20" s="116">
        <f t="shared" si="0"/>
        <v>84.35</v>
      </c>
      <c r="I20" s="230">
        <f>IF("generated"=1, "Path=MMRBEM_7_UP, Scaled Offset=84.349999999999994315658113919198513", 599.957038928312)</f>
        <v>599.95703892831204</v>
      </c>
      <c r="M20">
        <v>-2.5</v>
      </c>
      <c r="T20">
        <v>0</v>
      </c>
      <c r="U20">
        <v>3107</v>
      </c>
      <c r="V20" t="s">
        <v>1081</v>
      </c>
      <c r="Z20" s="21" t="s">
        <v>133</v>
      </c>
      <c r="AA20" s="21" t="s">
        <v>145</v>
      </c>
      <c r="AB20" s="83" t="s">
        <v>141</v>
      </c>
    </row>
    <row r="21" spans="1:28" ht="15" x14ac:dyDescent="0.25">
      <c r="A21" s="224" t="s">
        <v>129</v>
      </c>
      <c r="B21" s="172">
        <v>70014</v>
      </c>
      <c r="C21" s="21" t="str">
        <f>AB21&amp;Z21</f>
        <v>7RS3102_Signal</v>
      </c>
      <c r="D21" s="93" t="s">
        <v>1052</v>
      </c>
      <c r="E21" s="94" t="s">
        <v>187</v>
      </c>
      <c r="G21">
        <v>333.02</v>
      </c>
      <c r="H21" s="116">
        <f t="shared" si="0"/>
        <v>333.02</v>
      </c>
      <c r="I21" s="230">
        <f>IF("generated"=1, "Path=MMRBEM_7_UP, Scaled Offset=333.01999999999998181010596454143524", 844.68753300498)</f>
        <v>844.68753300497997</v>
      </c>
      <c r="L21">
        <v>1</v>
      </c>
      <c r="M21">
        <v>-2.2999999999999998</v>
      </c>
      <c r="T21">
        <v>0</v>
      </c>
      <c r="U21">
        <v>3102</v>
      </c>
      <c r="V21" t="s">
        <v>1081</v>
      </c>
      <c r="Z21" s="21" t="s">
        <v>133</v>
      </c>
      <c r="AA21" s="21" t="s">
        <v>145</v>
      </c>
      <c r="AB21" s="83" t="s">
        <v>142</v>
      </c>
    </row>
    <row r="22" spans="1:28" ht="15" x14ac:dyDescent="0.25">
      <c r="A22" s="224" t="s">
        <v>129</v>
      </c>
      <c r="B22" s="4">
        <v>70015</v>
      </c>
      <c r="C22" t="str">
        <f>AB21&amp;"_RI"</f>
        <v>7RS3102_RI</v>
      </c>
      <c r="D22" s="93" t="s">
        <v>1044</v>
      </c>
      <c r="E22" s="93" t="str">
        <f>E21</f>
        <v>MMRBEM_7_UP</v>
      </c>
      <c r="G22">
        <f>G21</f>
        <v>333.02</v>
      </c>
      <c r="H22" s="116">
        <f t="shared" si="0"/>
        <v>333.02</v>
      </c>
      <c r="I22" s="230">
        <f>IF("generated"=1, "Path=MMRBEM_7_UP, Scaled Offset=333.01999999999998181010596454143524", 844.68753300498)</f>
        <v>844.68753300497997</v>
      </c>
      <c r="L22">
        <v>1</v>
      </c>
      <c r="M22">
        <f>M21</f>
        <v>-2.2999999999999998</v>
      </c>
      <c r="N22">
        <v>3.2</v>
      </c>
      <c r="Z22" s="21"/>
      <c r="AA22" s="21"/>
    </row>
    <row r="23" spans="1:28" ht="15" x14ac:dyDescent="0.25">
      <c r="A23" s="224" t="s">
        <v>129</v>
      </c>
      <c r="B23" s="172">
        <v>70016</v>
      </c>
      <c r="C23" s="21" t="str">
        <f>AB23&amp;Z23</f>
        <v>7RS3501_Signal</v>
      </c>
      <c r="D23" s="93" t="s">
        <v>1052</v>
      </c>
      <c r="E23" s="115" t="s">
        <v>188</v>
      </c>
      <c r="F23">
        <v>12</v>
      </c>
      <c r="G23">
        <v>5847.59</v>
      </c>
      <c r="H23" s="116">
        <f t="shared" si="0"/>
        <v>5859.59</v>
      </c>
      <c r="I23" s="230">
        <f>IF("generated"=1, "Path=MMRBEM_7_DOWN, Scaled Offset=5859.5900000000001455191522836685181", 6281.64558014797)</f>
        <v>6281.6455801479697</v>
      </c>
      <c r="M23">
        <v>-2.1</v>
      </c>
      <c r="T23">
        <v>0</v>
      </c>
      <c r="U23">
        <v>3501</v>
      </c>
      <c r="V23" t="s">
        <v>1081</v>
      </c>
      <c r="Z23" s="21" t="s">
        <v>133</v>
      </c>
      <c r="AA23" s="21" t="s">
        <v>145</v>
      </c>
      <c r="AB23" t="s">
        <v>150</v>
      </c>
    </row>
    <row r="24" spans="1:28" ht="15" x14ac:dyDescent="0.25">
      <c r="A24" s="224" t="s">
        <v>129</v>
      </c>
      <c r="B24" s="172">
        <v>70017</v>
      </c>
      <c r="C24" s="21" t="str">
        <f>AB24&amp;Z24</f>
        <v>7RS3508_Signal</v>
      </c>
      <c r="D24" s="93" t="s">
        <v>918</v>
      </c>
      <c r="E24" s="115" t="s">
        <v>188</v>
      </c>
      <c r="F24">
        <v>-5</v>
      </c>
      <c r="G24">
        <v>6022.11</v>
      </c>
      <c r="H24" s="116">
        <f t="shared" si="0"/>
        <v>6017.11</v>
      </c>
      <c r="I24" s="230">
        <f>IF("generated"=1, "Path=MMRBEM_7_DOWN, Scaled Offset=6017.1099999999996725819073617458344", 6436.70189676898)</f>
        <v>6436.7018967689801</v>
      </c>
      <c r="L24">
        <v>1</v>
      </c>
      <c r="M24">
        <v>-2.2999999999999998</v>
      </c>
      <c r="O24" s="191"/>
      <c r="T24">
        <v>0</v>
      </c>
      <c r="U24">
        <v>3508</v>
      </c>
      <c r="V24" t="s">
        <v>1081</v>
      </c>
      <c r="Z24" s="21" t="s">
        <v>133</v>
      </c>
      <c r="AA24" s="21" t="s">
        <v>145</v>
      </c>
      <c r="AB24" t="s">
        <v>151</v>
      </c>
    </row>
    <row r="25" spans="1:28" ht="15" x14ac:dyDescent="0.25">
      <c r="A25" s="224" t="s">
        <v>129</v>
      </c>
      <c r="B25" s="4">
        <v>70018</v>
      </c>
      <c r="C25" t="str">
        <f>AB24&amp;"_RI"</f>
        <v>7RS3508_RI</v>
      </c>
      <c r="D25" s="93" t="s">
        <v>1044</v>
      </c>
      <c r="E25" s="93" t="str">
        <f>E24</f>
        <v>MMRBEM_7_DOWN</v>
      </c>
      <c r="F25">
        <f>F24</f>
        <v>-5</v>
      </c>
      <c r="G25">
        <f>G24</f>
        <v>6022.11</v>
      </c>
      <c r="H25" s="116">
        <f t="shared" si="0"/>
        <v>6017.11</v>
      </c>
      <c r="I25" s="230">
        <f>IF("generated"=1, "Path=MMRBEM_7_DOWN, Scaled Offset=6017.1099999999996725819073617458344", 6436.70189676898)</f>
        <v>6436.7018967689801</v>
      </c>
      <c r="L25">
        <v>1</v>
      </c>
      <c r="M25">
        <f>M24</f>
        <v>-2.2999999999999998</v>
      </c>
      <c r="N25">
        <v>3.7</v>
      </c>
      <c r="O25" s="191"/>
      <c r="Z25" s="21"/>
      <c r="AA25" s="21"/>
      <c r="AB25" s="83"/>
    </row>
    <row r="26" spans="1:28" ht="15" x14ac:dyDescent="0.25">
      <c r="A26" s="224" t="s">
        <v>129</v>
      </c>
      <c r="B26" s="172">
        <v>70019</v>
      </c>
      <c r="C26" s="21" t="str">
        <f>AB26&amp;Z26</f>
        <v>7RS3503_Signal</v>
      </c>
      <c r="D26" s="93" t="s">
        <v>918</v>
      </c>
      <c r="E26" s="115" t="s">
        <v>188</v>
      </c>
      <c r="F26">
        <v>2</v>
      </c>
      <c r="G26">
        <v>6215.33</v>
      </c>
      <c r="H26" s="116">
        <f t="shared" si="0"/>
        <v>6217.33</v>
      </c>
      <c r="I26" s="230">
        <f>IF("generated"=1, "Path=MMRBEM_7_DOWN, Scaled Offset=6217.329999999999927240423858165741", 6634.58544174057)</f>
        <v>6634.5854417405699</v>
      </c>
      <c r="M26">
        <v>-2.2000000000000002</v>
      </c>
      <c r="T26">
        <v>0</v>
      </c>
      <c r="U26">
        <v>3503</v>
      </c>
      <c r="V26" t="s">
        <v>1081</v>
      </c>
      <c r="Z26" s="21" t="s">
        <v>133</v>
      </c>
      <c r="AA26" s="21" t="s">
        <v>145</v>
      </c>
      <c r="AB26" t="s">
        <v>152</v>
      </c>
    </row>
    <row r="27" spans="1:28" ht="15" x14ac:dyDescent="0.25">
      <c r="A27" s="224" t="s">
        <v>129</v>
      </c>
      <c r="B27" s="4">
        <v>70020</v>
      </c>
      <c r="C27" t="str">
        <f>AB26&amp;"_RI"</f>
        <v>7RS3503_RI</v>
      </c>
      <c r="D27" s="93" t="s">
        <v>1044</v>
      </c>
      <c r="E27" s="93" t="str">
        <f>E26</f>
        <v>MMRBEM_7_DOWN</v>
      </c>
      <c r="F27">
        <f>F26</f>
        <v>2</v>
      </c>
      <c r="G27">
        <f>G26</f>
        <v>6215.33</v>
      </c>
      <c r="H27" s="116">
        <f t="shared" si="0"/>
        <v>6217.33</v>
      </c>
      <c r="I27" s="230">
        <f>IF("generated"=1, "Path=MMRBEM_7_DOWN, Scaled Offset=6217.329999999999927240423858165741", 6634.58544174057)</f>
        <v>6634.5854417405699</v>
      </c>
      <c r="M27">
        <f>M26</f>
        <v>-2.2000000000000002</v>
      </c>
      <c r="N27">
        <v>5.2</v>
      </c>
      <c r="Z27" s="21"/>
      <c r="AA27" s="21"/>
    </row>
    <row r="28" spans="1:28" ht="15" x14ac:dyDescent="0.25">
      <c r="A28" s="224" t="s">
        <v>129</v>
      </c>
      <c r="B28" s="172">
        <v>70021</v>
      </c>
      <c r="C28" s="21" t="str">
        <f>AB28&amp;Z28</f>
        <v>7RS3506_Signal</v>
      </c>
      <c r="D28" s="93" t="s">
        <v>1052</v>
      </c>
      <c r="E28" s="115" t="s">
        <v>188</v>
      </c>
      <c r="G28">
        <v>6371.69</v>
      </c>
      <c r="H28" s="116">
        <f t="shared" si="0"/>
        <v>6371.69</v>
      </c>
      <c r="I28" s="230">
        <f>IF("generated"=1, "Path=MMRBEM_7_DOWN, Scaled Offset=6371.6899999999995998223312199115753", 6788.47734097622)</f>
        <v>6788.4773409762201</v>
      </c>
      <c r="L28">
        <v>1</v>
      </c>
      <c r="M28">
        <v>-2.2999999999999998</v>
      </c>
      <c r="T28">
        <v>0</v>
      </c>
      <c r="U28">
        <v>3506</v>
      </c>
      <c r="V28" t="s">
        <v>1081</v>
      </c>
      <c r="Z28" s="21" t="s">
        <v>133</v>
      </c>
      <c r="AA28" s="21" t="s">
        <v>145</v>
      </c>
      <c r="AB28" t="s">
        <v>153</v>
      </c>
    </row>
    <row r="29" spans="1:28" ht="15" x14ac:dyDescent="0.25">
      <c r="A29" s="224" t="s">
        <v>129</v>
      </c>
      <c r="B29" s="172">
        <v>70022</v>
      </c>
      <c r="C29" s="21" t="str">
        <f>AB29&amp;Z29</f>
        <v>7RS3505_Signal</v>
      </c>
      <c r="D29" s="93" t="s">
        <v>1052</v>
      </c>
      <c r="E29" s="94" t="s">
        <v>187</v>
      </c>
      <c r="F29">
        <v>11</v>
      </c>
      <c r="G29">
        <v>5847.59</v>
      </c>
      <c r="H29" s="116">
        <f t="shared" si="0"/>
        <v>5858.59</v>
      </c>
      <c r="I29" s="230">
        <f>IF("generated"=1, "Path=MMRBEM_7_UP, Scaled Offset=5858.5900000000001455191522836685181", 6282.11240888473)</f>
        <v>6282.11240888473</v>
      </c>
      <c r="M29">
        <v>-2.5</v>
      </c>
      <c r="T29">
        <v>0</v>
      </c>
      <c r="U29">
        <v>3505</v>
      </c>
      <c r="V29" t="s">
        <v>1081</v>
      </c>
      <c r="Z29" s="21" t="s">
        <v>133</v>
      </c>
      <c r="AA29" s="21" t="s">
        <v>145</v>
      </c>
      <c r="AB29" s="83" t="s">
        <v>154</v>
      </c>
    </row>
    <row r="30" spans="1:28" ht="15" x14ac:dyDescent="0.25">
      <c r="A30" s="224" t="s">
        <v>129</v>
      </c>
      <c r="B30" s="4">
        <v>70044</v>
      </c>
      <c r="C30" t="str">
        <f>AB29&amp;"_RI"</f>
        <v>7RS3505_RI</v>
      </c>
      <c r="D30" s="93" t="s">
        <v>1044</v>
      </c>
      <c r="E30" s="93" t="str">
        <f>E29</f>
        <v>MMRBEM_7_UP</v>
      </c>
      <c r="F30">
        <v>11</v>
      </c>
      <c r="G30">
        <f>G29</f>
        <v>5847.59</v>
      </c>
      <c r="H30" s="116">
        <f t="shared" ref="H30" si="1">G30+F30</f>
        <v>5858.59</v>
      </c>
      <c r="I30" s="230">
        <f>IF("generated"=1, "Path=MMRBEM_7_UP, Scaled Offset=5858.5900000000001455191522836685181", 6282.11240888473)</f>
        <v>6282.11240888473</v>
      </c>
      <c r="M30">
        <f>M29</f>
        <v>-2.5</v>
      </c>
      <c r="N30">
        <v>3.2</v>
      </c>
      <c r="Z30" s="21"/>
      <c r="AA30" s="21"/>
    </row>
    <row r="31" spans="1:28" ht="15" x14ac:dyDescent="0.25">
      <c r="A31" s="224" t="s">
        <v>129</v>
      </c>
      <c r="B31" s="172">
        <v>70023</v>
      </c>
      <c r="C31" s="21" t="str">
        <f>AB31&amp;Z31</f>
        <v>7RS3504_Signal</v>
      </c>
      <c r="D31" s="93" t="s">
        <v>1052</v>
      </c>
      <c r="E31" s="94" t="s">
        <v>187</v>
      </c>
      <c r="F31">
        <v>-5</v>
      </c>
      <c r="G31">
        <v>6022.56</v>
      </c>
      <c r="H31" s="116">
        <f t="shared" si="0"/>
        <v>6017.56</v>
      </c>
      <c r="I31" s="230">
        <f>IF("generated"=1, "Path=MMRBEM_7_UP, Scaled Offset=6017.5600000000004001776687800884247", 6438.19482934364)</f>
        <v>6438.1948293436399</v>
      </c>
      <c r="L31">
        <v>1</v>
      </c>
      <c r="M31">
        <v>-2.2999999999999998</v>
      </c>
      <c r="T31">
        <v>0</v>
      </c>
      <c r="U31">
        <v>3504</v>
      </c>
      <c r="V31" t="s">
        <v>1081</v>
      </c>
      <c r="Z31" s="21" t="s">
        <v>133</v>
      </c>
      <c r="AA31" s="21" t="s">
        <v>145</v>
      </c>
      <c r="AB31" s="83" t="s">
        <v>155</v>
      </c>
    </row>
    <row r="32" spans="1:28" ht="15" x14ac:dyDescent="0.25">
      <c r="A32" s="224" t="s">
        <v>129</v>
      </c>
      <c r="B32" s="172">
        <v>70024</v>
      </c>
      <c r="C32" s="21" t="str">
        <f>AB32&amp;Z32</f>
        <v>7RS3507_Signal</v>
      </c>
      <c r="D32" s="93" t="s">
        <v>918</v>
      </c>
      <c r="E32" s="94" t="s">
        <v>187</v>
      </c>
      <c r="F32">
        <v>4</v>
      </c>
      <c r="G32">
        <v>6215.78</v>
      </c>
      <c r="H32" s="116">
        <f t="shared" si="0"/>
        <v>6219.78</v>
      </c>
      <c r="I32" s="230">
        <f>IF("generated"=1, "Path=MMRBEM_7_UP, Scaled Offset=6219.7799999999997453414835035800934", 6636.49836572983)</f>
        <v>6636.4983657298299</v>
      </c>
      <c r="M32">
        <v>-2.5</v>
      </c>
      <c r="T32">
        <v>0</v>
      </c>
      <c r="U32">
        <v>3507</v>
      </c>
      <c r="V32" t="s">
        <v>1081</v>
      </c>
      <c r="Z32" s="21" t="s">
        <v>133</v>
      </c>
      <c r="AA32" s="21" t="s">
        <v>145</v>
      </c>
      <c r="AB32" s="83" t="s">
        <v>156</v>
      </c>
    </row>
    <row r="33" spans="1:28" ht="15" x14ac:dyDescent="0.25">
      <c r="A33" s="224" t="s">
        <v>129</v>
      </c>
      <c r="B33" s="172">
        <v>70025</v>
      </c>
      <c r="C33" s="21" t="str">
        <f>AB33&amp;Z33</f>
        <v>7RS3502_Signal</v>
      </c>
      <c r="D33" s="93" t="s">
        <v>1052</v>
      </c>
      <c r="E33" s="94" t="s">
        <v>187</v>
      </c>
      <c r="G33">
        <v>6390.75</v>
      </c>
      <c r="H33" s="116">
        <f t="shared" si="0"/>
        <v>6390.75</v>
      </c>
      <c r="I33" s="230">
        <f>IF("generated"=1, "Path=MMRBEM_7_UP, Scaled Offset=6390.75", 6805.28327917872)</f>
        <v>6805.2832791787196</v>
      </c>
      <c r="L33">
        <v>1</v>
      </c>
      <c r="M33">
        <v>-2.2999999999999998</v>
      </c>
      <c r="T33">
        <v>0</v>
      </c>
      <c r="U33">
        <v>3502</v>
      </c>
      <c r="V33" t="s">
        <v>1081</v>
      </c>
      <c r="Z33" s="21" t="s">
        <v>133</v>
      </c>
      <c r="AA33" s="21" t="s">
        <v>145</v>
      </c>
      <c r="AB33" s="83" t="s">
        <v>157</v>
      </c>
    </row>
    <row r="34" spans="1:28" ht="15" x14ac:dyDescent="0.25">
      <c r="A34" s="224" t="s">
        <v>129</v>
      </c>
      <c r="B34" s="4">
        <v>70026</v>
      </c>
      <c r="C34" t="str">
        <f>AB33&amp;"_RI"</f>
        <v>7RS3502_RI</v>
      </c>
      <c r="D34" s="93" t="s">
        <v>1044</v>
      </c>
      <c r="E34" s="93" t="str">
        <f>E33</f>
        <v>MMRBEM_7_UP</v>
      </c>
      <c r="G34">
        <f>G33</f>
        <v>6390.75</v>
      </c>
      <c r="H34" s="116">
        <f t="shared" si="0"/>
        <v>6390.75</v>
      </c>
      <c r="I34" s="230">
        <f>IF("generated"=1, "Path=MMRBEM_7_UP, Scaled Offset=6390.75", 6805.28327917872)</f>
        <v>6805.2832791787196</v>
      </c>
      <c r="L34">
        <v>1</v>
      </c>
      <c r="M34">
        <f>M33</f>
        <v>-2.2999999999999998</v>
      </c>
      <c r="N34">
        <v>3.2</v>
      </c>
      <c r="Z34" s="21"/>
      <c r="AA34" s="21"/>
    </row>
    <row r="35" spans="1:28" ht="15" x14ac:dyDescent="0.25">
      <c r="A35" s="224" t="s">
        <v>129</v>
      </c>
      <c r="B35" s="172">
        <v>70027</v>
      </c>
      <c r="C35" s="21" t="str">
        <f>AB35&amp;Z35</f>
        <v>7RS4301_Signal</v>
      </c>
      <c r="D35" s="93" t="s">
        <v>918</v>
      </c>
      <c r="E35" s="115" t="s">
        <v>188</v>
      </c>
      <c r="F35">
        <v>7</v>
      </c>
      <c r="G35">
        <v>14817.26</v>
      </c>
      <c r="H35" s="116">
        <f t="shared" si="0"/>
        <v>14824.26</v>
      </c>
      <c r="I35" s="230">
        <f>IF("generated"=1, "Path=MMRBEM_7_DOWN, Scaled Offset=14824.260000000000218278728425502777", 15102.2224165569)</f>
        <v>15102.2224165569</v>
      </c>
      <c r="M35">
        <f>M34</f>
        <v>-2.2999999999999998</v>
      </c>
      <c r="T35">
        <v>0</v>
      </c>
      <c r="U35">
        <v>4301</v>
      </c>
      <c r="V35" t="s">
        <v>1081</v>
      </c>
      <c r="Z35" s="21" t="s">
        <v>133</v>
      </c>
      <c r="AA35" s="21" t="s">
        <v>145</v>
      </c>
      <c r="AB35" s="83" t="s">
        <v>171</v>
      </c>
    </row>
    <row r="36" spans="1:28" ht="15" x14ac:dyDescent="0.25">
      <c r="A36" s="224" t="s">
        <v>129</v>
      </c>
      <c r="B36" s="4">
        <v>70028</v>
      </c>
      <c r="C36" t="str">
        <f>AB35&amp;"_RI"</f>
        <v>7RS4301_RI</v>
      </c>
      <c r="D36" s="93" t="s">
        <v>1044</v>
      </c>
      <c r="E36" s="93" t="str">
        <f>E35</f>
        <v>MMRBEM_7_DOWN</v>
      </c>
      <c r="F36">
        <v>7</v>
      </c>
      <c r="G36">
        <f>G35</f>
        <v>14817.26</v>
      </c>
      <c r="H36" s="116">
        <f t="shared" si="0"/>
        <v>14824.26</v>
      </c>
      <c r="I36" s="230">
        <f>IF("generated"=1, "Path=MMRBEM_7_DOWN, Scaled Offset=14824.260000000000218278728425502777", 15102.2224165569)</f>
        <v>15102.2224165569</v>
      </c>
      <c r="M36">
        <f>M35</f>
        <v>-2.2999999999999998</v>
      </c>
      <c r="N36">
        <v>5.2</v>
      </c>
      <c r="Z36" s="21"/>
      <c r="AA36" s="21"/>
    </row>
    <row r="37" spans="1:28" ht="15" x14ac:dyDescent="0.25">
      <c r="A37" s="224" t="s">
        <v>129</v>
      </c>
      <c r="B37" s="172">
        <v>70029</v>
      </c>
      <c r="C37" s="21" t="str">
        <f>AB37&amp;Z37</f>
        <v>7RS4303_Signal</v>
      </c>
      <c r="D37" s="93" t="s">
        <v>918</v>
      </c>
      <c r="E37" s="94" t="s">
        <v>187</v>
      </c>
      <c r="F37">
        <v>7</v>
      </c>
      <c r="G37">
        <v>14817.56</v>
      </c>
      <c r="H37" s="116">
        <f t="shared" si="0"/>
        <v>14824.56</v>
      </c>
      <c r="I37" s="230">
        <f>IF("generated"=1, "Path=MMRBEM_7_UP, Scaled Offset=14824.559999999999490682967007160187", 15102.8496906714)</f>
        <v>15102.849690671401</v>
      </c>
      <c r="M37">
        <v>-2.5</v>
      </c>
      <c r="T37">
        <v>0</v>
      </c>
      <c r="U37">
        <v>4303</v>
      </c>
      <c r="V37" t="s">
        <v>1081</v>
      </c>
      <c r="Z37" s="21" t="s">
        <v>133</v>
      </c>
      <c r="AA37" s="21" t="s">
        <v>145</v>
      </c>
      <c r="AB37" s="83" t="s">
        <v>172</v>
      </c>
    </row>
    <row r="38" spans="1:28" ht="15" x14ac:dyDescent="0.25">
      <c r="A38" s="224" t="s">
        <v>129</v>
      </c>
      <c r="B38" s="4">
        <v>70030</v>
      </c>
      <c r="C38" t="str">
        <f>AB37&amp;"_RI"</f>
        <v>7RS4303_RI</v>
      </c>
      <c r="D38" s="93" t="s">
        <v>1044</v>
      </c>
      <c r="E38" s="93" t="str">
        <f>E37</f>
        <v>MMRBEM_7_UP</v>
      </c>
      <c r="F38">
        <v>7</v>
      </c>
      <c r="G38">
        <f>G37</f>
        <v>14817.56</v>
      </c>
      <c r="H38" s="116">
        <f t="shared" si="0"/>
        <v>14824.56</v>
      </c>
      <c r="I38" s="230">
        <f>IF("generated"=1, "Path=MMRBEM_7_UP, Scaled Offset=14824.559999999999490682967007160187", 15102.8496906714)</f>
        <v>15102.849690671401</v>
      </c>
      <c r="M38">
        <f>M37</f>
        <v>-2.5</v>
      </c>
      <c r="N38">
        <v>5.2</v>
      </c>
      <c r="Z38" s="21"/>
      <c r="AA38" s="21"/>
    </row>
    <row r="39" spans="1:28" ht="15" x14ac:dyDescent="0.25">
      <c r="A39" s="224" t="s">
        <v>129</v>
      </c>
      <c r="B39" s="172">
        <v>70031</v>
      </c>
      <c r="C39" s="21" t="str">
        <f>AB39&amp;Z39</f>
        <v>7RS4304_Signal</v>
      </c>
      <c r="D39" s="93" t="s">
        <v>918</v>
      </c>
      <c r="E39" s="115" t="s">
        <v>188</v>
      </c>
      <c r="G39">
        <v>15030</v>
      </c>
      <c r="H39" s="116">
        <f t="shared" si="0"/>
        <v>15030</v>
      </c>
      <c r="I39" s="230">
        <f>IF("generated"=1, "Path=MMRBEM_7_DOWN, Scaled Offset=15030", 15299.2348336185)</f>
        <v>15299.2348336185</v>
      </c>
      <c r="L39">
        <v>1</v>
      </c>
      <c r="M39">
        <v>-2.5</v>
      </c>
      <c r="T39">
        <v>0</v>
      </c>
      <c r="U39">
        <v>4304</v>
      </c>
      <c r="V39" t="s">
        <v>1081</v>
      </c>
      <c r="Z39" s="21" t="s">
        <v>133</v>
      </c>
      <c r="AA39" s="21" t="s">
        <v>145</v>
      </c>
      <c r="AB39" s="83" t="s">
        <v>173</v>
      </c>
    </row>
    <row r="40" spans="1:28" ht="15" x14ac:dyDescent="0.25">
      <c r="A40" s="224" t="s">
        <v>129</v>
      </c>
      <c r="B40" s="172">
        <v>70032</v>
      </c>
      <c r="C40" s="21" t="str">
        <f>AB40&amp;Z40</f>
        <v>2ARS4401_Signal</v>
      </c>
      <c r="D40" s="93" t="s">
        <v>918</v>
      </c>
      <c r="E40" s="115" t="s">
        <v>188</v>
      </c>
      <c r="F40">
        <v>-20</v>
      </c>
      <c r="G40">
        <v>15411.86</v>
      </c>
      <c r="H40" s="116">
        <f t="shared" si="0"/>
        <v>15391.86</v>
      </c>
      <c r="I40" s="230">
        <f>IF("generated"=1, "Path=MMRBEM_7_DOWN, Scaled Offset=15391.860000000000582076609134674072", 15632.6526613773)</f>
        <v>15632.6526613773</v>
      </c>
      <c r="M40">
        <v>-2.2999999999999998</v>
      </c>
      <c r="T40">
        <v>0</v>
      </c>
      <c r="U40">
        <v>4401</v>
      </c>
      <c r="V40" t="s">
        <v>1082</v>
      </c>
      <c r="Z40" s="21" t="s">
        <v>133</v>
      </c>
      <c r="AA40" s="21" t="s">
        <v>145</v>
      </c>
      <c r="AB40" s="83" t="s">
        <v>174</v>
      </c>
    </row>
    <row r="41" spans="1:28" ht="15" x14ac:dyDescent="0.25">
      <c r="A41" s="224" t="s">
        <v>129</v>
      </c>
      <c r="B41" s="172">
        <v>70033</v>
      </c>
      <c r="C41" s="21" t="str">
        <f>AB41&amp;Z41</f>
        <v>7RS4302_Signal</v>
      </c>
      <c r="D41" s="93" t="s">
        <v>918</v>
      </c>
      <c r="E41" s="94" t="s">
        <v>187</v>
      </c>
      <c r="F41">
        <v>-15</v>
      </c>
      <c r="G41">
        <v>15117.64</v>
      </c>
      <c r="H41" s="116">
        <f t="shared" si="0"/>
        <v>15102.64</v>
      </c>
      <c r="I41" s="230">
        <f>IF("generated"=1, "Path=MMRBEM_7_UP, Scaled Offset=15102.639999999999417923390865325928", 15372.6652214846)</f>
        <v>15372.6652214846</v>
      </c>
      <c r="L41">
        <v>1</v>
      </c>
      <c r="M41">
        <v>-2.1</v>
      </c>
      <c r="T41">
        <v>0</v>
      </c>
      <c r="U41">
        <v>4302</v>
      </c>
      <c r="V41" t="s">
        <v>1081</v>
      </c>
      <c r="Z41" s="21" t="s">
        <v>133</v>
      </c>
      <c r="AA41" s="21" t="s">
        <v>145</v>
      </c>
      <c r="AB41" s="83" t="s">
        <v>175</v>
      </c>
    </row>
    <row r="42" spans="1:28" ht="15" x14ac:dyDescent="0.25">
      <c r="A42" s="224" t="s">
        <v>129</v>
      </c>
      <c r="B42" s="4">
        <v>70034</v>
      </c>
      <c r="C42" t="str">
        <f>AB41&amp;"_RI"</f>
        <v>7RS4302_RI</v>
      </c>
      <c r="D42" s="93" t="s">
        <v>1044</v>
      </c>
      <c r="E42" s="93" t="str">
        <f>E41</f>
        <v>MMRBEM_7_UP</v>
      </c>
      <c r="F42">
        <f>F41</f>
        <v>-15</v>
      </c>
      <c r="G42">
        <f>G41</f>
        <v>15117.64</v>
      </c>
      <c r="H42" s="116">
        <f t="shared" si="0"/>
        <v>15102.64</v>
      </c>
      <c r="I42" s="230">
        <f>IF("generated"=1, "Path=MMRBEM_7_UP, Scaled Offset=15102.639999999999417923390865325928", 15372.6652214846)</f>
        <v>15372.6652214846</v>
      </c>
      <c r="L42">
        <v>1</v>
      </c>
      <c r="M42">
        <v>-2.1</v>
      </c>
      <c r="N42">
        <v>3.7</v>
      </c>
      <c r="Z42" s="21"/>
      <c r="AA42" s="21"/>
    </row>
    <row r="43" spans="1:28" ht="15" x14ac:dyDescent="0.25">
      <c r="A43" s="224" t="s">
        <v>129</v>
      </c>
      <c r="B43" s="172">
        <v>70035</v>
      </c>
      <c r="C43" s="21" t="str">
        <f>AB43&amp;Z43</f>
        <v>2ARS4405_Signal</v>
      </c>
      <c r="D43" s="93" t="s">
        <v>918</v>
      </c>
      <c r="E43" s="94" t="s">
        <v>187</v>
      </c>
      <c r="G43">
        <v>15391.65</v>
      </c>
      <c r="H43" s="116">
        <f t="shared" si="0"/>
        <v>15391.65</v>
      </c>
      <c r="I43" s="230">
        <f>IF("generated"=1, "Path=MMRBEM_7_UP, Scaled Offset=15391.649999999999636202119290828705", 15632.1692568481)</f>
        <v>15632.169256848099</v>
      </c>
      <c r="M43">
        <v>-2.5</v>
      </c>
      <c r="O43" s="191"/>
      <c r="T43">
        <v>0</v>
      </c>
      <c r="U43">
        <v>4405</v>
      </c>
      <c r="V43" t="s">
        <v>1082</v>
      </c>
      <c r="Z43" s="21" t="s">
        <v>133</v>
      </c>
      <c r="AA43" s="21" t="s">
        <v>145</v>
      </c>
      <c r="AB43" s="83" t="s">
        <v>176</v>
      </c>
    </row>
    <row r="44" spans="1:28" ht="15" x14ac:dyDescent="0.25">
      <c r="A44" s="224" t="s">
        <v>129</v>
      </c>
      <c r="B44" s="4">
        <v>70036</v>
      </c>
      <c r="C44" t="str">
        <f>AB43&amp;"_RI"</f>
        <v>2ARS4405_RI</v>
      </c>
      <c r="D44" s="93" t="s">
        <v>1044</v>
      </c>
      <c r="E44" s="93" t="str">
        <f>E43</f>
        <v>MMRBEM_7_UP</v>
      </c>
      <c r="G44">
        <f>G43</f>
        <v>15391.65</v>
      </c>
      <c r="H44" s="116">
        <f t="shared" si="0"/>
        <v>15391.65</v>
      </c>
      <c r="I44" s="230">
        <f>IF("generated"=1, "Path=MMRBEM_7_UP, Scaled Offset=15391.649999999999636202119290828705", 15632.1692568481)</f>
        <v>15632.169256848099</v>
      </c>
      <c r="M44">
        <f>M43</f>
        <v>-2.5</v>
      </c>
      <c r="N44">
        <v>5.2</v>
      </c>
      <c r="O44" s="191"/>
      <c r="Z44" s="21"/>
      <c r="AA44" s="21"/>
    </row>
    <row r="45" spans="1:28" ht="15" x14ac:dyDescent="0.25">
      <c r="A45" s="224" t="s">
        <v>129</v>
      </c>
      <c r="B45" s="172">
        <v>70037</v>
      </c>
      <c r="C45" s="21" t="str">
        <f>AB45&amp;Z45</f>
        <v>7BS4310_Signal</v>
      </c>
      <c r="D45" s="93" t="s">
        <v>919</v>
      </c>
      <c r="E45" t="s">
        <v>1078</v>
      </c>
      <c r="G45">
        <v>20</v>
      </c>
      <c r="H45" s="116">
        <f t="shared" si="0"/>
        <v>20</v>
      </c>
      <c r="I45" s="230">
        <f>IF("generated"=1, "Path=Track_11, Scaled Offset=20", 20)</f>
        <v>20</v>
      </c>
      <c r="L45">
        <v>1</v>
      </c>
      <c r="M45">
        <v>0</v>
      </c>
      <c r="T45">
        <v>0</v>
      </c>
      <c r="U45">
        <v>4313</v>
      </c>
      <c r="V45" t="s">
        <v>1080</v>
      </c>
      <c r="Z45" s="21" t="s">
        <v>133</v>
      </c>
      <c r="AA45" s="21" t="s">
        <v>145</v>
      </c>
      <c r="AB45" s="83" t="s">
        <v>177</v>
      </c>
    </row>
    <row r="46" spans="1:28" ht="15" x14ac:dyDescent="0.25">
      <c r="A46" s="224" t="s">
        <v>129</v>
      </c>
      <c r="B46" s="172">
        <v>70038</v>
      </c>
      <c r="C46" s="21" t="str">
        <f>AB46&amp;Z46</f>
        <v>7RS4306_Signal</v>
      </c>
      <c r="D46" s="93" t="s">
        <v>1052</v>
      </c>
      <c r="E46" t="s">
        <v>184</v>
      </c>
      <c r="G46">
        <v>67</v>
      </c>
      <c r="H46" s="116">
        <f t="shared" si="0"/>
        <v>67</v>
      </c>
      <c r="I46" s="230">
        <f>IF("generated"=1, "Path=Track_11_1, Scaled Offset=67", 67)</f>
        <v>67</v>
      </c>
      <c r="L46">
        <v>1</v>
      </c>
      <c r="M46">
        <v>-2.2000000000000002</v>
      </c>
      <c r="T46">
        <v>0</v>
      </c>
      <c r="U46">
        <v>4306</v>
      </c>
      <c r="V46" t="s">
        <v>1081</v>
      </c>
      <c r="Z46" s="21" t="s">
        <v>133</v>
      </c>
      <c r="AA46" s="21" t="s">
        <v>145</v>
      </c>
      <c r="AB46" s="83" t="s">
        <v>178</v>
      </c>
    </row>
    <row r="47" spans="1:28" ht="15" x14ac:dyDescent="0.25">
      <c r="A47" s="224" t="s">
        <v>129</v>
      </c>
      <c r="B47" s="4">
        <v>70039</v>
      </c>
      <c r="C47" t="str">
        <f>AB46&amp;"_RI"</f>
        <v>7RS4306_RI</v>
      </c>
      <c r="D47" s="93" t="s">
        <v>1044</v>
      </c>
      <c r="E47" s="93" t="str">
        <f>E46</f>
        <v>Track_11_1</v>
      </c>
      <c r="G47">
        <f>G46</f>
        <v>67</v>
      </c>
      <c r="H47" s="116">
        <f t="shared" si="0"/>
        <v>67</v>
      </c>
      <c r="I47" s="230">
        <f>IF("generated"=1, "Path=Track_11_1, Scaled Offset=67", 67)</f>
        <v>67</v>
      </c>
      <c r="L47">
        <v>1</v>
      </c>
      <c r="M47">
        <f>M46</f>
        <v>-2.2000000000000002</v>
      </c>
      <c r="N47">
        <v>3.2</v>
      </c>
      <c r="Z47" s="21"/>
      <c r="AA47" s="21"/>
    </row>
    <row r="48" spans="1:28" ht="15" x14ac:dyDescent="0.25">
      <c r="A48" s="224" t="s">
        <v>129</v>
      </c>
      <c r="B48" s="172">
        <v>70040</v>
      </c>
      <c r="C48" s="21" t="str">
        <f>AB48&amp;Z48</f>
        <v>7BS4307_Signal</v>
      </c>
      <c r="D48" s="93" t="s">
        <v>919</v>
      </c>
      <c r="E48" t="s">
        <v>184</v>
      </c>
      <c r="G48">
        <v>386</v>
      </c>
      <c r="H48" s="116">
        <f t="shared" si="0"/>
        <v>386</v>
      </c>
      <c r="I48" s="230">
        <f>IF("generated"=1, "Path=Track_11_1, Scaled Offset=386", 386)</f>
        <v>386</v>
      </c>
      <c r="M48">
        <v>0</v>
      </c>
      <c r="T48">
        <v>0</v>
      </c>
      <c r="U48">
        <v>4307</v>
      </c>
      <c r="V48" t="s">
        <v>1080</v>
      </c>
      <c r="Z48" s="21" t="s">
        <v>133</v>
      </c>
      <c r="AA48" s="21" t="s">
        <v>145</v>
      </c>
      <c r="AB48" s="83" t="s">
        <v>179</v>
      </c>
    </row>
    <row r="49" spans="1:28" ht="15" x14ac:dyDescent="0.25">
      <c r="A49" s="224" t="s">
        <v>129</v>
      </c>
      <c r="B49" s="172">
        <v>70041</v>
      </c>
      <c r="C49" s="21" t="str">
        <f>AB49&amp;Z49</f>
        <v>7RS4308_Signal</v>
      </c>
      <c r="D49" s="93" t="s">
        <v>918</v>
      </c>
      <c r="E49" t="s">
        <v>180</v>
      </c>
      <c r="F49">
        <v>-10</v>
      </c>
      <c r="G49">
        <v>90</v>
      </c>
      <c r="H49" s="116">
        <f t="shared" si="0"/>
        <v>80</v>
      </c>
      <c r="I49" s="230">
        <f>IF("generated"=1, "Path=Track_12, Scaled Offset=80", 80)</f>
        <v>80</v>
      </c>
      <c r="L49">
        <v>1</v>
      </c>
      <c r="M49">
        <v>-2.5</v>
      </c>
      <c r="T49">
        <v>0</v>
      </c>
      <c r="U49">
        <v>4308</v>
      </c>
      <c r="V49" t="s">
        <v>1081</v>
      </c>
      <c r="Z49" s="21" t="s">
        <v>133</v>
      </c>
      <c r="AA49" s="21" t="s">
        <v>145</v>
      </c>
      <c r="AB49" s="83" t="s">
        <v>181</v>
      </c>
    </row>
    <row r="50" spans="1:28" ht="15" x14ac:dyDescent="0.25">
      <c r="A50" s="224" t="s">
        <v>129</v>
      </c>
      <c r="B50" s="4">
        <v>70042</v>
      </c>
      <c r="C50" t="str">
        <f>AB49&amp;"_RI"</f>
        <v>7RS4308_RI</v>
      </c>
      <c r="D50" s="93" t="s">
        <v>1044</v>
      </c>
      <c r="E50" s="93" t="str">
        <f>E49</f>
        <v>Track_12</v>
      </c>
      <c r="F50">
        <v>-10</v>
      </c>
      <c r="G50">
        <f>G49</f>
        <v>90</v>
      </c>
      <c r="H50" s="116">
        <f t="shared" si="0"/>
        <v>80</v>
      </c>
      <c r="I50" s="230">
        <f>IF("generated"=1, "Path=Track_12, Scaled Offset=80", 80)</f>
        <v>80</v>
      </c>
      <c r="L50">
        <v>1</v>
      </c>
      <c r="M50">
        <f>M49</f>
        <v>-2.5</v>
      </c>
      <c r="N50">
        <v>3.7</v>
      </c>
      <c r="Z50" s="21"/>
      <c r="AA50" s="21"/>
    </row>
    <row r="51" spans="1:28" ht="15" x14ac:dyDescent="0.25">
      <c r="A51" s="224" t="s">
        <v>129</v>
      </c>
      <c r="B51" s="172">
        <v>70043</v>
      </c>
      <c r="C51" s="21" t="str">
        <f>AB51&amp;Z51</f>
        <v>7BS4305_Signal</v>
      </c>
      <c r="D51" s="93" t="s">
        <v>919</v>
      </c>
      <c r="E51" t="s">
        <v>180</v>
      </c>
      <c r="G51">
        <v>374</v>
      </c>
      <c r="H51" s="116">
        <f t="shared" si="0"/>
        <v>374</v>
      </c>
      <c r="I51" s="230">
        <f>IF("generated"=1, "Path=Track_12, Scaled Offset=374", 374)</f>
        <v>374</v>
      </c>
      <c r="M51">
        <v>0</v>
      </c>
      <c r="T51">
        <v>0</v>
      </c>
      <c r="U51">
        <v>4305</v>
      </c>
      <c r="V51" t="s">
        <v>1080</v>
      </c>
      <c r="Z51" s="21" t="s">
        <v>133</v>
      </c>
      <c r="AA51" s="21" t="s">
        <v>145</v>
      </c>
      <c r="AB51" s="83" t="s">
        <v>182</v>
      </c>
    </row>
    <row r="52" spans="1:28" ht="15" x14ac:dyDescent="0.25">
      <c r="A52" s="224" t="s">
        <v>129</v>
      </c>
      <c r="B52" s="172">
        <v>70045</v>
      </c>
      <c r="C52" s="21" t="str">
        <f>AB52&amp;Z52</f>
        <v>7BS4305_Signal_1</v>
      </c>
      <c r="D52" s="93" t="s">
        <v>919</v>
      </c>
      <c r="E52" t="s">
        <v>180</v>
      </c>
      <c r="F52">
        <v>-3</v>
      </c>
      <c r="G52">
        <v>73</v>
      </c>
      <c r="H52" s="116">
        <f t="shared" ref="H52" si="2">G52+F52</f>
        <v>70</v>
      </c>
      <c r="I52" s="230">
        <f>IF("generated"=1, "Path=Track_12, Scaled Offset=70", 70)</f>
        <v>70</v>
      </c>
      <c r="M52">
        <v>0</v>
      </c>
      <c r="T52">
        <v>0</v>
      </c>
      <c r="U52">
        <v>4305</v>
      </c>
      <c r="V52" t="s">
        <v>1080</v>
      </c>
      <c r="Z52" s="21" t="s">
        <v>1053</v>
      </c>
      <c r="AA52" s="21" t="s">
        <v>145</v>
      </c>
      <c r="AB52" s="83" t="s">
        <v>182</v>
      </c>
    </row>
    <row r="53" spans="1:28" x14ac:dyDescent="0.2">
      <c r="A53" s="224"/>
      <c r="B53" s="172"/>
      <c r="D53" s="85"/>
      <c r="E53" s="85"/>
      <c r="H53" s="116"/>
      <c r="Z53" s="21" t="s">
        <v>133</v>
      </c>
      <c r="AA53" s="21" t="s">
        <v>145</v>
      </c>
    </row>
    <row r="54" spans="1:28" ht="15" x14ac:dyDescent="0.25">
      <c r="A54" s="224"/>
      <c r="B54" s="172"/>
      <c r="C54" s="21" t="str">
        <f t="shared" ref="C54:C71" si="3">R54&amp;AA54</f>
        <v>7MB3201_Signal_Marker</v>
      </c>
      <c r="D54" s="93" t="s">
        <v>51</v>
      </c>
      <c r="E54" s="94" t="s">
        <v>187</v>
      </c>
      <c r="G54">
        <v>1467.18</v>
      </c>
      <c r="H54" s="116">
        <f t="shared" ref="H54:H71" si="4">G54+F54</f>
        <v>1467.18</v>
      </c>
      <c r="I54">
        <f>IF("generated"=1, "Path=MMRBEM_7_UP, Scaled Offset=1467.1800000000000636646291241049767", 1960.75515991546)</f>
        <v>1960.7551599154599</v>
      </c>
      <c r="M54">
        <v>-2.5</v>
      </c>
      <c r="R54" t="s">
        <v>144</v>
      </c>
      <c r="T54">
        <v>0</v>
      </c>
      <c r="Z54" s="21" t="s">
        <v>133</v>
      </c>
      <c r="AA54" s="21" t="s">
        <v>145</v>
      </c>
    </row>
    <row r="55" spans="1:28" ht="15" x14ac:dyDescent="0.25">
      <c r="A55" s="224"/>
      <c r="B55" s="172"/>
      <c r="C55" s="21" t="str">
        <f t="shared" si="3"/>
        <v>7MB3304_Signal_Marker</v>
      </c>
      <c r="D55" s="93" t="s">
        <v>51</v>
      </c>
      <c r="E55" s="115" t="s">
        <v>188</v>
      </c>
      <c r="G55">
        <v>3058.66</v>
      </c>
      <c r="H55" s="116">
        <f t="shared" si="4"/>
        <v>3058.66</v>
      </c>
      <c r="I55">
        <f>IF("generated"=1, "Path=MMRBEM_7_DOWN, Scaled Offset=3058.6599999999998544808477163314819", 3526.46295927028)</f>
        <v>3526.46295927028</v>
      </c>
      <c r="M55">
        <v>2.5</v>
      </c>
      <c r="R55" t="s">
        <v>146</v>
      </c>
      <c r="T55">
        <v>0</v>
      </c>
      <c r="Z55" s="21" t="s">
        <v>133</v>
      </c>
      <c r="AA55" s="21" t="s">
        <v>145</v>
      </c>
    </row>
    <row r="56" spans="1:28" ht="15" x14ac:dyDescent="0.25">
      <c r="A56" s="224"/>
      <c r="B56" s="172"/>
      <c r="C56" s="21" t="str">
        <f t="shared" si="3"/>
        <v>7MB3303_Signal_Marker</v>
      </c>
      <c r="D56" s="93" t="s">
        <v>51</v>
      </c>
      <c r="E56" s="115" t="s">
        <v>188</v>
      </c>
      <c r="G56">
        <v>3255.88</v>
      </c>
      <c r="H56" s="116">
        <f t="shared" si="4"/>
        <v>3255.88</v>
      </c>
      <c r="I56">
        <f>IF("generated"=1, "Path=MMRBEM_7_DOWN, Scaled Offset=3255.8800000000001091393642127513885", 3720.46177983684)</f>
        <v>3720.4617798368399</v>
      </c>
      <c r="M56">
        <v>-2.5</v>
      </c>
      <c r="R56" t="s">
        <v>147</v>
      </c>
      <c r="T56">
        <v>0</v>
      </c>
      <c r="Z56" s="21" t="s">
        <v>133</v>
      </c>
      <c r="AA56" s="21" t="s">
        <v>145</v>
      </c>
    </row>
    <row r="57" spans="1:28" ht="15" x14ac:dyDescent="0.25">
      <c r="A57" s="224"/>
      <c r="B57" s="172"/>
      <c r="C57" s="21" t="str">
        <f t="shared" si="3"/>
        <v>7MB3302_Signal_Marker</v>
      </c>
      <c r="D57" s="93" t="s">
        <v>51</v>
      </c>
      <c r="E57" s="94" t="s">
        <v>187</v>
      </c>
      <c r="G57">
        <v>3058.17</v>
      </c>
      <c r="H57" s="116">
        <f t="shared" si="4"/>
        <v>3058.17</v>
      </c>
      <c r="I57">
        <f>IF("generated"=1, "Path=MMRBEM_7_UP, Scaled Offset=3058.170000000000072759576141834259", 3526.36533285254)</f>
        <v>3526.3653328525402</v>
      </c>
      <c r="M57">
        <v>2.5</v>
      </c>
      <c r="R57" t="s">
        <v>148</v>
      </c>
      <c r="T57">
        <v>0</v>
      </c>
      <c r="Z57" s="21" t="s">
        <v>133</v>
      </c>
      <c r="AA57" s="21" t="s">
        <v>145</v>
      </c>
    </row>
    <row r="58" spans="1:28" ht="15" x14ac:dyDescent="0.25">
      <c r="A58" s="224"/>
      <c r="B58" s="172"/>
      <c r="C58" s="21" t="str">
        <f t="shared" si="3"/>
        <v>7MB3301_Signal_Marker</v>
      </c>
      <c r="D58" s="93" t="s">
        <v>51</v>
      </c>
      <c r="E58" s="94" t="s">
        <v>187</v>
      </c>
      <c r="G58">
        <v>3255.39</v>
      </c>
      <c r="H58" s="116">
        <f t="shared" si="4"/>
        <v>3255.39</v>
      </c>
      <c r="I58">
        <f>IF("generated"=1, "Path=MMRBEM_7_UP, Scaled Offset=3255.3899999999998726707417517900467", 3720.43923545825)</f>
        <v>3720.4392354582501</v>
      </c>
      <c r="M58">
        <v>-2.5</v>
      </c>
      <c r="R58" t="s">
        <v>149</v>
      </c>
      <c r="T58">
        <v>0</v>
      </c>
      <c r="Z58" s="21" t="s">
        <v>133</v>
      </c>
      <c r="AA58" s="21" t="s">
        <v>145</v>
      </c>
    </row>
    <row r="59" spans="1:28" ht="15" x14ac:dyDescent="0.25">
      <c r="A59" s="224"/>
      <c r="B59" s="172"/>
      <c r="C59" s="21" t="str">
        <f t="shared" si="3"/>
        <v>7MB3704_Signal_Marker</v>
      </c>
      <c r="D59" s="93" t="s">
        <v>918</v>
      </c>
      <c r="E59" s="115" t="s">
        <v>188</v>
      </c>
      <c r="G59">
        <v>8006.82</v>
      </c>
      <c r="H59" s="116">
        <f t="shared" si="4"/>
        <v>8006.82</v>
      </c>
      <c r="I59">
        <f>IF("generated"=1, "Path=MMRBEM_7_DOWN, Scaled Offset=8006.8199999999997089616954326629639", 8414.33911659182)</f>
        <v>8414.3391165918201</v>
      </c>
      <c r="M59">
        <v>2.5</v>
      </c>
      <c r="R59" t="s">
        <v>158</v>
      </c>
      <c r="T59">
        <v>0</v>
      </c>
      <c r="Z59" s="21" t="s">
        <v>133</v>
      </c>
      <c r="AA59" s="21" t="s">
        <v>145</v>
      </c>
    </row>
    <row r="60" spans="1:28" ht="15" x14ac:dyDescent="0.25">
      <c r="A60" s="224"/>
      <c r="B60" s="172"/>
      <c r="C60" s="21" t="str">
        <f t="shared" si="3"/>
        <v>7MB3702_Signal_Marker</v>
      </c>
      <c r="D60" s="93" t="s">
        <v>918</v>
      </c>
      <c r="E60" s="94" t="s">
        <v>187</v>
      </c>
      <c r="G60">
        <v>8007.91</v>
      </c>
      <c r="H60" s="116">
        <f t="shared" si="4"/>
        <v>8007.91</v>
      </c>
      <c r="I60">
        <f>IF("generated"=1, "Path=MMRBEM_7_UP, Scaled Offset=8007.9099999999998544808477163314819", 8411.90573606051)</f>
        <v>8411.9057360605093</v>
      </c>
      <c r="M60">
        <v>2.5</v>
      </c>
      <c r="R60" t="s">
        <v>159</v>
      </c>
      <c r="T60">
        <v>0</v>
      </c>
      <c r="Z60" s="21" t="s">
        <v>133</v>
      </c>
      <c r="AA60" s="21" t="s">
        <v>145</v>
      </c>
    </row>
    <row r="61" spans="1:28" ht="15" x14ac:dyDescent="0.25">
      <c r="A61" s="224"/>
      <c r="B61" s="172"/>
      <c r="C61" s="21" t="str">
        <f t="shared" si="3"/>
        <v>7MB3701_Signal_Marker</v>
      </c>
      <c r="D61" s="93" t="s">
        <v>918</v>
      </c>
      <c r="E61" s="94" t="s">
        <v>187</v>
      </c>
      <c r="G61">
        <v>8205.1299999999992</v>
      </c>
      <c r="H61" s="116">
        <f t="shared" si="4"/>
        <v>8205.1299999999992</v>
      </c>
      <c r="I61">
        <f>IF("generated"=1, "Path=MMRBEM_7_UP, Scaled Offset=8205.1299999999991996446624398231506", 8605.48879617484)</f>
        <v>8605.4887961748409</v>
      </c>
      <c r="M61">
        <v>-2.5</v>
      </c>
      <c r="R61" t="s">
        <v>160</v>
      </c>
      <c r="T61">
        <v>0</v>
      </c>
      <c r="Z61" s="21" t="s">
        <v>133</v>
      </c>
      <c r="AA61" s="21" t="s">
        <v>145</v>
      </c>
    </row>
    <row r="62" spans="1:28" ht="15" x14ac:dyDescent="0.25">
      <c r="A62" s="224"/>
      <c r="B62" s="172"/>
      <c r="C62" s="21" t="str">
        <f t="shared" si="3"/>
        <v>7MB3703_Signal_Marker</v>
      </c>
      <c r="D62" s="93" t="s">
        <v>918</v>
      </c>
      <c r="E62" s="115" t="s">
        <v>188</v>
      </c>
      <c r="G62">
        <v>8204.0400000000009</v>
      </c>
      <c r="H62" s="116">
        <f t="shared" si="4"/>
        <v>8204.0400000000009</v>
      </c>
      <c r="I62">
        <f>IF("generated"=1, "Path=MMRBEM_7_DOWN, Scaled Offset=8204.0400000000008731149137020111084", 8607.81120353635)</f>
        <v>8607.8112035363501</v>
      </c>
      <c r="M62">
        <v>-2.5</v>
      </c>
      <c r="R62" t="s">
        <v>161</v>
      </c>
      <c r="T62">
        <v>0</v>
      </c>
      <c r="Z62" s="21" t="s">
        <v>133</v>
      </c>
      <c r="AA62" s="21" t="s">
        <v>145</v>
      </c>
    </row>
    <row r="63" spans="1:28" ht="15" x14ac:dyDescent="0.25">
      <c r="A63" s="224"/>
      <c r="B63" s="172"/>
      <c r="C63" s="21" t="str">
        <f t="shared" si="3"/>
        <v>7MB3904_Signal_Marker</v>
      </c>
      <c r="D63" s="93" t="s">
        <v>918</v>
      </c>
      <c r="E63" s="115" t="s">
        <v>188</v>
      </c>
      <c r="G63">
        <v>9985.0400000000009</v>
      </c>
      <c r="H63" s="116">
        <f t="shared" si="4"/>
        <v>9985.0400000000009</v>
      </c>
      <c r="I63">
        <f>IF("generated"=1, "Path=MMRBEM_7_DOWN, Scaled Offset=9985.0400000000008731149137020111084", 10354.9655836611)</f>
        <v>10354.9655836611</v>
      </c>
      <c r="M63">
        <v>2.5</v>
      </c>
      <c r="R63" t="s">
        <v>162</v>
      </c>
      <c r="T63">
        <v>0</v>
      </c>
      <c r="Z63" s="21" t="s">
        <v>133</v>
      </c>
      <c r="AA63" s="21" t="s">
        <v>145</v>
      </c>
    </row>
    <row r="64" spans="1:28" ht="15" x14ac:dyDescent="0.25">
      <c r="A64" s="224"/>
      <c r="B64" s="172"/>
      <c r="C64" s="21" t="str">
        <f t="shared" si="3"/>
        <v>7MB3903_Signal_Marker</v>
      </c>
      <c r="D64" s="93" t="s">
        <v>51</v>
      </c>
      <c r="E64" s="115" t="s">
        <v>188</v>
      </c>
      <c r="G64">
        <v>10182.26</v>
      </c>
      <c r="H64" s="116">
        <f t="shared" si="4"/>
        <v>10182.26</v>
      </c>
      <c r="I64">
        <f>IF("generated"=1, "Path=MMRBEM_7_DOWN, Scaled Offset=10182.260000000000218278728425502777", 10548.4376706056)</f>
        <v>10548.437670605599</v>
      </c>
      <c r="M64">
        <v>-2.5</v>
      </c>
      <c r="R64" t="s">
        <v>163</v>
      </c>
      <c r="T64">
        <v>0</v>
      </c>
      <c r="Z64" s="21" t="s">
        <v>133</v>
      </c>
      <c r="AA64" s="21" t="s">
        <v>145</v>
      </c>
    </row>
    <row r="65" spans="1:27" ht="15" x14ac:dyDescent="0.25">
      <c r="A65" s="224"/>
      <c r="B65" s="172"/>
      <c r="C65" s="21" t="str">
        <f t="shared" si="3"/>
        <v>7MB3902_Signal_Marker</v>
      </c>
      <c r="D65" s="93" t="s">
        <v>51</v>
      </c>
      <c r="E65" s="94" t="s">
        <v>187</v>
      </c>
      <c r="G65">
        <v>9982.2999999999993</v>
      </c>
      <c r="H65" s="116">
        <f t="shared" si="4"/>
        <v>9982.2999999999993</v>
      </c>
      <c r="I65">
        <f>IF("generated"=1, "Path=MMRBEM_7_UP, Scaled Offset=9982.2999999999992724042385816574097", 10349.8859513487)</f>
        <v>10349.8859513487</v>
      </c>
      <c r="M65">
        <v>2.5</v>
      </c>
      <c r="R65" t="s">
        <v>164</v>
      </c>
      <c r="T65">
        <v>0</v>
      </c>
      <c r="Z65" s="21" t="s">
        <v>133</v>
      </c>
      <c r="AA65" s="21" t="s">
        <v>145</v>
      </c>
    </row>
    <row r="66" spans="1:27" ht="15" x14ac:dyDescent="0.25">
      <c r="A66" s="224"/>
      <c r="B66" s="172"/>
      <c r="C66" s="21" t="str">
        <f t="shared" si="3"/>
        <v>7MB3901_Signal_Marker</v>
      </c>
      <c r="D66" s="93" t="s">
        <v>51</v>
      </c>
      <c r="E66" s="94" t="s">
        <v>187</v>
      </c>
      <c r="G66">
        <v>10179.52</v>
      </c>
      <c r="H66" s="116">
        <f t="shared" si="4"/>
        <v>10179.52</v>
      </c>
      <c r="I66">
        <f>IF("generated"=1, "Path=MMRBEM_7_UP, Scaled Offset=10179.520000000000436557456851005554", 10543.469011463)</f>
        <v>10543.469011462999</v>
      </c>
      <c r="M66">
        <v>-2.5</v>
      </c>
      <c r="R66" t="s">
        <v>165</v>
      </c>
      <c r="T66">
        <v>0</v>
      </c>
      <c r="Z66" s="21" t="s">
        <v>133</v>
      </c>
      <c r="AA66" s="21" t="s">
        <v>145</v>
      </c>
    </row>
    <row r="67" spans="1:27" ht="15" x14ac:dyDescent="0.25">
      <c r="A67" s="224"/>
      <c r="B67" s="172"/>
      <c r="C67" s="21" t="str">
        <f t="shared" si="3"/>
        <v>7MB4104_Signal_Marker</v>
      </c>
      <c r="D67" s="93" t="s">
        <v>51</v>
      </c>
      <c r="E67" s="115" t="s">
        <v>188</v>
      </c>
      <c r="G67">
        <v>12497.86</v>
      </c>
      <c r="H67" s="116">
        <f t="shared" si="4"/>
        <v>12497.86</v>
      </c>
      <c r="I67">
        <f>IF("generated"=1, "Path=MMRBEM_7_DOWN, Scaled Offset=12497.860000000000582076609134674072", 12820.0326636528)</f>
        <v>12820.032663652801</v>
      </c>
      <c r="M67">
        <v>2.5</v>
      </c>
      <c r="R67" t="s">
        <v>166</v>
      </c>
      <c r="T67">
        <v>0</v>
      </c>
      <c r="Z67" s="21" t="s">
        <v>133</v>
      </c>
      <c r="AA67" s="21" t="s">
        <v>145</v>
      </c>
    </row>
    <row r="68" spans="1:27" ht="15" x14ac:dyDescent="0.25">
      <c r="A68" s="224"/>
      <c r="B68" s="172"/>
      <c r="C68" s="21" t="str">
        <f t="shared" si="3"/>
        <v>7MB4103_Signal_Marker</v>
      </c>
      <c r="D68" s="93" t="s">
        <v>51</v>
      </c>
      <c r="E68" s="115" t="s">
        <v>188</v>
      </c>
      <c r="G68">
        <v>12695.08</v>
      </c>
      <c r="H68" s="116">
        <f t="shared" si="4"/>
        <v>12695.08</v>
      </c>
      <c r="I68">
        <f>IF("generated"=1, "Path=MMRBEM_7_DOWN, Scaled Offset=12695.079999999999927240423858165741", 13013.5047505973)</f>
        <v>13013.5047505973</v>
      </c>
      <c r="M68">
        <v>-2.5</v>
      </c>
      <c r="R68" t="s">
        <v>167</v>
      </c>
      <c r="T68">
        <v>0</v>
      </c>
      <c r="Z68" s="21" t="s">
        <v>133</v>
      </c>
      <c r="AA68" s="21" t="s">
        <v>145</v>
      </c>
    </row>
    <row r="69" spans="1:27" ht="15" x14ac:dyDescent="0.25">
      <c r="A69" s="224"/>
      <c r="B69" s="172"/>
      <c r="C69" s="21" t="str">
        <f t="shared" si="3"/>
        <v>7MB4102_Signal_Marker</v>
      </c>
      <c r="D69" s="93" t="s">
        <v>51</v>
      </c>
      <c r="E69" s="94" t="s">
        <v>187</v>
      </c>
      <c r="G69">
        <v>12500.45</v>
      </c>
      <c r="H69" s="116">
        <f t="shared" si="4"/>
        <v>12500.45</v>
      </c>
      <c r="I69">
        <f>IF("generated"=1, "Path=MMRBEM_7_UP, Scaled Offset=12500.45000000000072759576141834259", 12821.5986723045)</f>
        <v>12821.598672304501</v>
      </c>
      <c r="M69">
        <v>2.5</v>
      </c>
      <c r="R69" t="s">
        <v>168</v>
      </c>
      <c r="T69">
        <v>0</v>
      </c>
      <c r="Z69" s="21" t="s">
        <v>133</v>
      </c>
      <c r="AA69" s="21" t="s">
        <v>145</v>
      </c>
    </row>
    <row r="70" spans="1:27" ht="15" x14ac:dyDescent="0.25">
      <c r="A70" s="224"/>
      <c r="B70" s="172"/>
      <c r="C70" s="21" t="str">
        <f t="shared" si="3"/>
        <v>7MB4101_Signal_Marker</v>
      </c>
      <c r="D70" s="93" t="s">
        <v>51</v>
      </c>
      <c r="E70" s="94" t="s">
        <v>187</v>
      </c>
      <c r="G70">
        <v>12697.67</v>
      </c>
      <c r="H70" s="116">
        <f t="shared" si="4"/>
        <v>12697.67</v>
      </c>
      <c r="I70">
        <f>IF("generated"=1, "Path=MMRBEM_7_UP, Scaled Offset=12697.670000000000072759576141834259", 13015.1817324188)</f>
        <v>13015.1817324188</v>
      </c>
      <c r="M70">
        <v>-2.5</v>
      </c>
      <c r="R70" t="s">
        <v>169</v>
      </c>
      <c r="T70">
        <v>0</v>
      </c>
      <c r="Z70" s="21" t="s">
        <v>133</v>
      </c>
      <c r="AA70" s="21" t="s">
        <v>145</v>
      </c>
    </row>
    <row r="71" spans="1:27" ht="15" x14ac:dyDescent="0.25">
      <c r="A71" s="224"/>
      <c r="B71" s="172"/>
      <c r="C71" s="21" t="str">
        <f t="shared" si="3"/>
        <v>7MB4304_Signal_Marker</v>
      </c>
      <c r="D71" s="93" t="s">
        <v>51</v>
      </c>
      <c r="E71" s="115" t="s">
        <v>188</v>
      </c>
      <c r="G71">
        <v>14622.04</v>
      </c>
      <c r="H71" s="116">
        <f t="shared" si="4"/>
        <v>14622.04</v>
      </c>
      <c r="I71">
        <f>IF("generated"=1, "Path=MMRBEM_7_DOWN, Scaled Offset=14622.040000000000873114913702011108", 14903.8453481971)</f>
        <v>14903.845348197099</v>
      </c>
      <c r="M71">
        <v>2.5</v>
      </c>
      <c r="R71" t="s">
        <v>170</v>
      </c>
      <c r="T71">
        <v>0</v>
      </c>
      <c r="Z71" s="21" t="s">
        <v>133</v>
      </c>
      <c r="AA71" s="21" t="s">
        <v>145</v>
      </c>
    </row>
    <row r="72" spans="1:27" x14ac:dyDescent="0.2">
      <c r="A72" s="224"/>
      <c r="B72" s="172"/>
      <c r="D72" s="85"/>
      <c r="E72" s="85"/>
      <c r="H72" s="116"/>
      <c r="T72">
        <v>0</v>
      </c>
      <c r="Z72" s="21" t="s">
        <v>133</v>
      </c>
      <c r="AA72" s="21" t="s">
        <v>145</v>
      </c>
    </row>
    <row r="73" spans="1:27" x14ac:dyDescent="0.2">
      <c r="A73" s="224"/>
      <c r="B73" s="172"/>
      <c r="D73" s="85"/>
      <c r="E73" s="85"/>
      <c r="H73" s="116"/>
      <c r="T73">
        <v>0</v>
      </c>
      <c r="Z73" s="21" t="s">
        <v>133</v>
      </c>
      <c r="AA73" s="21" t="s">
        <v>145</v>
      </c>
    </row>
    <row r="74" spans="1:27" x14ac:dyDescent="0.2">
      <c r="A74" s="224"/>
      <c r="B74" s="172"/>
      <c r="D74" s="85"/>
      <c r="E74" s="85"/>
      <c r="H74" s="116"/>
      <c r="T74">
        <v>0</v>
      </c>
      <c r="Z74" s="21" t="s">
        <v>133</v>
      </c>
      <c r="AA74" s="21" t="s">
        <v>145</v>
      </c>
    </row>
    <row r="75" spans="1:27" x14ac:dyDescent="0.2">
      <c r="A75" s="224"/>
      <c r="B75" s="172"/>
      <c r="D75" s="85"/>
      <c r="E75" s="85"/>
      <c r="H75" s="116"/>
      <c r="T75">
        <v>0</v>
      </c>
      <c r="Z75" s="21" t="s">
        <v>133</v>
      </c>
      <c r="AA75" s="21" t="s">
        <v>145</v>
      </c>
    </row>
    <row r="76" spans="1:27" x14ac:dyDescent="0.2">
      <c r="A76" s="224"/>
      <c r="B76" s="172"/>
      <c r="D76" s="85"/>
      <c r="E76" s="85"/>
      <c r="H76" s="116"/>
      <c r="T76">
        <v>0</v>
      </c>
      <c r="Z76" s="21" t="s">
        <v>133</v>
      </c>
      <c r="AA76" s="21" t="s">
        <v>145</v>
      </c>
    </row>
    <row r="77" spans="1:27" x14ac:dyDescent="0.2">
      <c r="A77" s="224"/>
      <c r="B77" s="172"/>
      <c r="D77" s="85"/>
      <c r="E77" s="85"/>
      <c r="H77" s="116"/>
      <c r="T77">
        <v>0</v>
      </c>
      <c r="Z77" s="21" t="s">
        <v>133</v>
      </c>
      <c r="AA77" s="21" t="s">
        <v>145</v>
      </c>
    </row>
    <row r="78" spans="1:27" x14ac:dyDescent="0.2">
      <c r="A78" s="224"/>
      <c r="B78" s="172"/>
      <c r="D78" s="85"/>
      <c r="E78" s="85"/>
      <c r="H78" s="116"/>
      <c r="T78">
        <v>0</v>
      </c>
      <c r="Z78" s="21" t="s">
        <v>133</v>
      </c>
      <c r="AA78" s="21" t="s">
        <v>145</v>
      </c>
    </row>
    <row r="79" spans="1:27" x14ac:dyDescent="0.2">
      <c r="A79" s="224"/>
      <c r="B79" s="172"/>
      <c r="D79" s="85"/>
      <c r="E79" s="85"/>
      <c r="H79" s="116"/>
      <c r="T79">
        <v>0</v>
      </c>
      <c r="Z79" s="21" t="s">
        <v>133</v>
      </c>
      <c r="AA79" s="21" t="s">
        <v>145</v>
      </c>
    </row>
    <row r="80" spans="1:27" x14ac:dyDescent="0.2">
      <c r="A80" s="224"/>
      <c r="B80" s="172"/>
      <c r="D80" s="85"/>
      <c r="E80" s="85"/>
      <c r="H80" s="116"/>
      <c r="T80">
        <v>0</v>
      </c>
      <c r="Z80" s="21" t="s">
        <v>133</v>
      </c>
      <c r="AA80" s="21" t="s">
        <v>145</v>
      </c>
    </row>
    <row r="81" spans="1:27" x14ac:dyDescent="0.2">
      <c r="A81" s="224"/>
      <c r="B81" s="172"/>
      <c r="D81" s="85"/>
      <c r="E81" s="85"/>
      <c r="H81" s="116"/>
      <c r="T81">
        <v>0</v>
      </c>
      <c r="Z81" s="21" t="s">
        <v>133</v>
      </c>
      <c r="AA81" s="21" t="s">
        <v>145</v>
      </c>
    </row>
    <row r="82" spans="1:27" x14ac:dyDescent="0.2">
      <c r="A82" s="224"/>
      <c r="B82" s="172"/>
      <c r="D82" s="85"/>
      <c r="E82" s="85"/>
      <c r="H82" s="116"/>
      <c r="T82">
        <v>0</v>
      </c>
      <c r="Z82" s="21" t="s">
        <v>133</v>
      </c>
      <c r="AA82" s="21" t="s">
        <v>145</v>
      </c>
    </row>
    <row r="83" spans="1:27" x14ac:dyDescent="0.2">
      <c r="A83" s="224"/>
      <c r="B83" s="172"/>
      <c r="D83" s="85"/>
      <c r="E83" s="85"/>
      <c r="H83" s="116"/>
      <c r="T83">
        <v>0</v>
      </c>
      <c r="Z83" s="21" t="s">
        <v>133</v>
      </c>
      <c r="AA83" s="21" t="s">
        <v>145</v>
      </c>
    </row>
    <row r="84" spans="1:27" x14ac:dyDescent="0.2">
      <c r="A84" s="224"/>
      <c r="B84" s="172"/>
      <c r="D84" s="85"/>
      <c r="E84" s="85"/>
      <c r="H84" s="116"/>
      <c r="T84">
        <v>0</v>
      </c>
      <c r="Z84" s="21" t="s">
        <v>133</v>
      </c>
      <c r="AA84" s="21" t="s">
        <v>145</v>
      </c>
    </row>
    <row r="85" spans="1:27" x14ac:dyDescent="0.2">
      <c r="A85" s="224"/>
      <c r="B85" s="172"/>
      <c r="D85" s="85"/>
      <c r="E85" s="85"/>
      <c r="H85" s="116"/>
      <c r="T85">
        <v>0</v>
      </c>
      <c r="Z85" s="21" t="s">
        <v>133</v>
      </c>
      <c r="AA85" s="21" t="s">
        <v>145</v>
      </c>
    </row>
    <row r="86" spans="1:27" x14ac:dyDescent="0.2">
      <c r="A86" s="224"/>
      <c r="B86" s="172"/>
      <c r="D86" s="85"/>
      <c r="E86" s="85"/>
      <c r="H86" s="116"/>
      <c r="T86">
        <v>0</v>
      </c>
      <c r="Z86" s="21" t="s">
        <v>133</v>
      </c>
      <c r="AA86" s="21" t="s">
        <v>145</v>
      </c>
    </row>
    <row r="87" spans="1:27" x14ac:dyDescent="0.2">
      <c r="A87" s="224"/>
      <c r="B87" s="172"/>
      <c r="D87" s="85"/>
      <c r="E87" s="85"/>
      <c r="H87" s="116"/>
      <c r="T87">
        <v>0</v>
      </c>
      <c r="Z87" s="21" t="s">
        <v>133</v>
      </c>
      <c r="AA87" s="21" t="s">
        <v>145</v>
      </c>
    </row>
    <row r="88" spans="1:27" x14ac:dyDescent="0.2">
      <c r="A88" s="224"/>
      <c r="B88" s="172"/>
      <c r="D88" s="85"/>
      <c r="E88" s="85"/>
      <c r="H88" s="116"/>
      <c r="T88">
        <v>0</v>
      </c>
      <c r="Z88" s="21" t="s">
        <v>133</v>
      </c>
      <c r="AA88" s="21" t="s">
        <v>145</v>
      </c>
    </row>
    <row r="89" spans="1:27" x14ac:dyDescent="0.2">
      <c r="A89" s="224"/>
      <c r="B89" s="172"/>
      <c r="D89" s="85"/>
      <c r="E89" s="85"/>
      <c r="H89" s="116"/>
      <c r="T89">
        <v>0</v>
      </c>
      <c r="Z89" s="21" t="s">
        <v>133</v>
      </c>
      <c r="AA89" s="21" t="s">
        <v>145</v>
      </c>
    </row>
    <row r="90" spans="1:27" x14ac:dyDescent="0.2">
      <c r="A90" s="224"/>
      <c r="B90" s="172"/>
      <c r="D90" s="85"/>
      <c r="E90" s="85"/>
      <c r="H90" s="116"/>
      <c r="T90">
        <v>0</v>
      </c>
      <c r="Z90" s="21" t="s">
        <v>133</v>
      </c>
      <c r="AA90" s="21" t="s">
        <v>145</v>
      </c>
    </row>
    <row r="91" spans="1:27" x14ac:dyDescent="0.2">
      <c r="A91" s="224"/>
      <c r="B91" s="172"/>
      <c r="D91" s="85"/>
      <c r="E91" s="85"/>
      <c r="H91" s="116"/>
      <c r="T91">
        <v>0</v>
      </c>
      <c r="Z91" s="21" t="s">
        <v>133</v>
      </c>
      <c r="AA91" s="21" t="s">
        <v>145</v>
      </c>
    </row>
    <row r="92" spans="1:27" x14ac:dyDescent="0.2">
      <c r="A92" s="224"/>
      <c r="B92" s="172"/>
      <c r="D92" s="85"/>
      <c r="E92" s="85"/>
      <c r="H92" s="116"/>
      <c r="T92">
        <v>0</v>
      </c>
      <c r="Z92" s="21" t="s">
        <v>133</v>
      </c>
      <c r="AA92" s="21" t="s">
        <v>145</v>
      </c>
    </row>
    <row r="93" spans="1:27" x14ac:dyDescent="0.2">
      <c r="A93" s="224"/>
      <c r="B93" s="172"/>
      <c r="D93" s="85"/>
      <c r="E93" s="85"/>
      <c r="H93" s="116"/>
      <c r="T93">
        <v>0</v>
      </c>
      <c r="Z93" s="21" t="s">
        <v>133</v>
      </c>
      <c r="AA93" s="21" t="s">
        <v>145</v>
      </c>
    </row>
    <row r="94" spans="1:27" x14ac:dyDescent="0.2">
      <c r="A94" s="224"/>
      <c r="B94" s="172"/>
      <c r="D94" s="85"/>
      <c r="E94" s="85"/>
      <c r="H94" s="116"/>
      <c r="T94">
        <v>0</v>
      </c>
      <c r="Z94" s="21" t="s">
        <v>133</v>
      </c>
      <c r="AA94" s="21" t="s">
        <v>145</v>
      </c>
    </row>
    <row r="95" spans="1:27" x14ac:dyDescent="0.2">
      <c r="A95" s="224"/>
      <c r="B95" s="172"/>
      <c r="D95" s="85"/>
      <c r="E95" s="85"/>
      <c r="H95" s="116"/>
      <c r="T95">
        <v>0</v>
      </c>
      <c r="Z95" s="21" t="s">
        <v>133</v>
      </c>
      <c r="AA95" s="21" t="s">
        <v>145</v>
      </c>
    </row>
    <row r="96" spans="1:27" x14ac:dyDescent="0.2">
      <c r="A96" s="224"/>
      <c r="B96" s="172"/>
      <c r="D96" s="85"/>
      <c r="E96" s="85"/>
      <c r="H96" s="116"/>
      <c r="T96">
        <v>0</v>
      </c>
      <c r="Z96" s="21" t="s">
        <v>133</v>
      </c>
      <c r="AA96" s="21" t="s">
        <v>145</v>
      </c>
    </row>
    <row r="97" spans="1:27" x14ac:dyDescent="0.2">
      <c r="A97" s="224"/>
      <c r="B97" s="172"/>
      <c r="D97" s="85"/>
      <c r="E97" s="85"/>
      <c r="H97" s="116"/>
      <c r="T97">
        <v>0</v>
      </c>
      <c r="Z97" s="21" t="s">
        <v>133</v>
      </c>
      <c r="AA97" s="21" t="s">
        <v>145</v>
      </c>
    </row>
    <row r="98" spans="1:27" x14ac:dyDescent="0.2">
      <c r="A98" s="224"/>
      <c r="B98" s="172"/>
      <c r="D98" s="85"/>
      <c r="E98" s="85"/>
      <c r="H98" s="116"/>
      <c r="T98">
        <v>0</v>
      </c>
      <c r="Z98" s="21" t="s">
        <v>133</v>
      </c>
      <c r="AA98" s="21" t="s">
        <v>145</v>
      </c>
    </row>
    <row r="99" spans="1:27" x14ac:dyDescent="0.2">
      <c r="A99" s="224"/>
      <c r="B99" s="172"/>
      <c r="D99" s="85"/>
      <c r="E99" s="85"/>
      <c r="H99" s="116"/>
      <c r="T99">
        <v>0</v>
      </c>
      <c r="Z99" s="21" t="s">
        <v>133</v>
      </c>
      <c r="AA99" s="21" t="s">
        <v>145</v>
      </c>
    </row>
    <row r="100" spans="1:27" x14ac:dyDescent="0.2">
      <c r="A100" s="224"/>
      <c r="B100" s="172"/>
      <c r="D100" s="85"/>
      <c r="E100" s="85"/>
      <c r="H100" s="116"/>
      <c r="T100">
        <v>0</v>
      </c>
      <c r="Z100" s="21" t="s">
        <v>133</v>
      </c>
      <c r="AA100" s="21" t="s">
        <v>145</v>
      </c>
    </row>
    <row r="101" spans="1:27" x14ac:dyDescent="0.2">
      <c r="A101" s="224"/>
      <c r="B101" s="172"/>
      <c r="D101" s="85"/>
      <c r="E101" s="85"/>
      <c r="H101" s="116"/>
      <c r="T101">
        <v>0</v>
      </c>
      <c r="Z101" s="21" t="s">
        <v>133</v>
      </c>
      <c r="AA101" s="21" t="s">
        <v>145</v>
      </c>
    </row>
    <row r="102" spans="1:27" x14ac:dyDescent="0.2">
      <c r="A102" s="224"/>
      <c r="B102" s="172"/>
      <c r="D102" s="85"/>
      <c r="E102" s="85"/>
      <c r="H102" s="116"/>
      <c r="T102">
        <v>0</v>
      </c>
      <c r="Z102" s="21" t="s">
        <v>133</v>
      </c>
      <c r="AA102" s="21" t="s">
        <v>145</v>
      </c>
    </row>
    <row r="103" spans="1:27" x14ac:dyDescent="0.2">
      <c r="A103" s="224"/>
      <c r="B103" s="172"/>
      <c r="D103" s="85"/>
      <c r="E103" s="85"/>
      <c r="H103" s="116"/>
      <c r="T103">
        <v>0</v>
      </c>
      <c r="Z103" s="21" t="s">
        <v>133</v>
      </c>
      <c r="AA103" s="21" t="s">
        <v>145</v>
      </c>
    </row>
    <row r="104" spans="1:27" x14ac:dyDescent="0.2">
      <c r="A104" s="224"/>
      <c r="B104" s="172"/>
      <c r="D104" s="85"/>
      <c r="E104" s="85"/>
      <c r="H104" s="116"/>
      <c r="T104">
        <v>0</v>
      </c>
      <c r="Z104" s="21" t="s">
        <v>133</v>
      </c>
      <c r="AA104" s="21" t="s">
        <v>145</v>
      </c>
    </row>
    <row r="105" spans="1:27" x14ac:dyDescent="0.2">
      <c r="A105" s="224"/>
      <c r="B105" s="172"/>
      <c r="D105" s="85"/>
      <c r="E105" s="85"/>
      <c r="H105" s="116"/>
      <c r="T105">
        <v>0</v>
      </c>
      <c r="Z105" s="21" t="s">
        <v>133</v>
      </c>
      <c r="AA105" s="21" t="s">
        <v>145</v>
      </c>
    </row>
    <row r="106" spans="1:27" x14ac:dyDescent="0.2">
      <c r="A106" s="224"/>
      <c r="B106" s="172"/>
      <c r="D106" s="85"/>
      <c r="E106" s="85"/>
      <c r="H106" s="116"/>
      <c r="T106">
        <v>0</v>
      </c>
      <c r="Z106" s="21" t="s">
        <v>133</v>
      </c>
      <c r="AA106" s="21" t="s">
        <v>145</v>
      </c>
    </row>
    <row r="107" spans="1:27" x14ac:dyDescent="0.2">
      <c r="A107" s="224"/>
      <c r="B107" s="172"/>
      <c r="D107" s="85"/>
      <c r="E107" s="85"/>
      <c r="H107" s="116"/>
      <c r="T107">
        <v>0</v>
      </c>
      <c r="Z107" s="21" t="s">
        <v>133</v>
      </c>
      <c r="AA107" s="21" t="s">
        <v>145</v>
      </c>
    </row>
    <row r="108" spans="1:27" x14ac:dyDescent="0.2">
      <c r="A108" s="224"/>
      <c r="B108" s="172"/>
      <c r="D108" s="85"/>
      <c r="E108" s="85"/>
      <c r="H108" s="116"/>
      <c r="T108">
        <v>0</v>
      </c>
      <c r="Z108" s="21" t="s">
        <v>133</v>
      </c>
      <c r="AA108" s="21" t="s">
        <v>145</v>
      </c>
    </row>
    <row r="109" spans="1:27" x14ac:dyDescent="0.2">
      <c r="A109" s="224"/>
      <c r="B109" s="172"/>
      <c r="D109" s="85"/>
      <c r="E109" s="85"/>
      <c r="H109" s="116"/>
      <c r="T109">
        <v>0</v>
      </c>
      <c r="Z109" s="21" t="s">
        <v>133</v>
      </c>
      <c r="AA109" s="21" t="s">
        <v>145</v>
      </c>
    </row>
    <row r="110" spans="1:27" x14ac:dyDescent="0.2">
      <c r="A110" s="224"/>
      <c r="B110" s="172"/>
      <c r="D110" s="85"/>
      <c r="E110" s="85"/>
      <c r="H110" s="116"/>
      <c r="T110">
        <v>0</v>
      </c>
      <c r="Z110" s="21" t="s">
        <v>133</v>
      </c>
      <c r="AA110" s="21" t="s">
        <v>145</v>
      </c>
    </row>
    <row r="111" spans="1:27" x14ac:dyDescent="0.2">
      <c r="A111" s="224"/>
      <c r="B111" s="172"/>
      <c r="D111" s="85"/>
      <c r="E111" s="85"/>
      <c r="H111" s="116"/>
      <c r="T111">
        <v>0</v>
      </c>
      <c r="Z111" s="21" t="s">
        <v>133</v>
      </c>
      <c r="AA111" s="21" t="s">
        <v>145</v>
      </c>
    </row>
    <row r="112" spans="1:27" x14ac:dyDescent="0.2">
      <c r="A112" s="224"/>
      <c r="B112" s="172"/>
      <c r="D112" s="85"/>
      <c r="E112" s="85"/>
      <c r="H112" s="116"/>
      <c r="T112">
        <v>0</v>
      </c>
      <c r="Z112" s="21" t="s">
        <v>133</v>
      </c>
      <c r="AA112" s="21" t="s">
        <v>145</v>
      </c>
    </row>
    <row r="113" spans="1:27" x14ac:dyDescent="0.2">
      <c r="A113" s="224"/>
      <c r="B113" s="172"/>
      <c r="D113" s="85"/>
      <c r="E113" s="85"/>
      <c r="H113" s="116"/>
      <c r="T113">
        <v>0</v>
      </c>
      <c r="Z113" s="21" t="s">
        <v>133</v>
      </c>
      <c r="AA113" s="21" t="s">
        <v>145</v>
      </c>
    </row>
    <row r="114" spans="1:27" x14ac:dyDescent="0.2">
      <c r="A114" s="224"/>
      <c r="B114" s="172"/>
      <c r="D114" s="85"/>
      <c r="E114" s="85"/>
      <c r="H114" s="116"/>
      <c r="T114">
        <v>0</v>
      </c>
      <c r="Z114" s="21" t="s">
        <v>133</v>
      </c>
      <c r="AA114" s="21" t="s">
        <v>145</v>
      </c>
    </row>
    <row r="115" spans="1:27" x14ac:dyDescent="0.2">
      <c r="A115" s="224"/>
      <c r="B115" s="172"/>
      <c r="D115" s="85"/>
      <c r="E115" s="85"/>
      <c r="H115" s="116"/>
      <c r="T115">
        <v>0</v>
      </c>
      <c r="Z115" s="21" t="s">
        <v>133</v>
      </c>
      <c r="AA115" s="21" t="s">
        <v>145</v>
      </c>
    </row>
    <row r="116" spans="1:27" x14ac:dyDescent="0.2">
      <c r="A116" s="224"/>
      <c r="B116" s="172"/>
      <c r="D116" s="85"/>
      <c r="E116" s="85"/>
      <c r="H116" s="116"/>
      <c r="T116">
        <v>0</v>
      </c>
      <c r="Z116" s="21" t="s">
        <v>133</v>
      </c>
      <c r="AA116" s="21" t="s">
        <v>145</v>
      </c>
    </row>
    <row r="117" spans="1:27" x14ac:dyDescent="0.2">
      <c r="A117" s="224"/>
      <c r="B117" s="172"/>
      <c r="D117" s="85"/>
      <c r="E117" s="85"/>
      <c r="H117" s="116"/>
      <c r="T117">
        <v>0</v>
      </c>
      <c r="Z117" s="21" t="s">
        <v>133</v>
      </c>
      <c r="AA117" s="21" t="s">
        <v>145</v>
      </c>
    </row>
    <row r="118" spans="1:27" x14ac:dyDescent="0.2">
      <c r="A118" s="224"/>
      <c r="B118" s="172"/>
      <c r="D118" s="85"/>
      <c r="E118" s="85"/>
      <c r="H118" s="116"/>
      <c r="T118">
        <v>0</v>
      </c>
      <c r="Z118" s="21" t="s">
        <v>133</v>
      </c>
      <c r="AA118" s="21" t="s">
        <v>145</v>
      </c>
    </row>
    <row r="119" spans="1:27" x14ac:dyDescent="0.2">
      <c r="A119" s="224"/>
      <c r="B119" s="172"/>
      <c r="D119" s="85"/>
      <c r="E119" s="85"/>
      <c r="H119" s="116"/>
      <c r="T119">
        <v>0</v>
      </c>
      <c r="Z119" s="21" t="s">
        <v>133</v>
      </c>
      <c r="AA119" s="21" t="s">
        <v>145</v>
      </c>
    </row>
    <row r="120" spans="1:27" x14ac:dyDescent="0.2">
      <c r="A120" s="224"/>
      <c r="B120" s="172"/>
      <c r="D120" s="85"/>
      <c r="E120" s="85"/>
      <c r="H120" s="116"/>
      <c r="T120">
        <v>0</v>
      </c>
      <c r="Z120" s="21" t="s">
        <v>133</v>
      </c>
      <c r="AA120" s="21" t="s">
        <v>145</v>
      </c>
    </row>
    <row r="121" spans="1:27" x14ac:dyDescent="0.2">
      <c r="A121" s="224"/>
      <c r="B121" s="172"/>
      <c r="D121" s="85"/>
      <c r="E121" s="85"/>
      <c r="H121" s="116"/>
      <c r="T121">
        <v>0</v>
      </c>
      <c r="Z121" s="21" t="s">
        <v>133</v>
      </c>
      <c r="AA121" s="21" t="s">
        <v>145</v>
      </c>
    </row>
    <row r="122" spans="1:27" x14ac:dyDescent="0.2">
      <c r="A122" s="224"/>
      <c r="B122" s="172"/>
      <c r="D122" s="85"/>
      <c r="E122" s="85"/>
      <c r="H122" s="116"/>
      <c r="T122">
        <v>0</v>
      </c>
      <c r="Z122" s="21" t="s">
        <v>133</v>
      </c>
      <c r="AA122" s="21" t="s">
        <v>145</v>
      </c>
    </row>
    <row r="123" spans="1:27" x14ac:dyDescent="0.2">
      <c r="A123" s="224"/>
      <c r="B123" s="172"/>
      <c r="D123" s="85"/>
      <c r="E123" s="85"/>
      <c r="H123" s="116"/>
      <c r="T123">
        <v>0</v>
      </c>
      <c r="Z123" s="21" t="s">
        <v>133</v>
      </c>
      <c r="AA123" s="21" t="s">
        <v>145</v>
      </c>
    </row>
    <row r="124" spans="1:27" x14ac:dyDescent="0.2">
      <c r="A124" s="224"/>
      <c r="B124" s="172"/>
      <c r="D124" s="85"/>
      <c r="E124" s="85"/>
      <c r="H124" s="116"/>
      <c r="T124">
        <v>0</v>
      </c>
      <c r="Z124" s="21" t="s">
        <v>133</v>
      </c>
      <c r="AA124" s="21" t="s">
        <v>145</v>
      </c>
    </row>
    <row r="125" spans="1:27" x14ac:dyDescent="0.2">
      <c r="A125" s="224"/>
      <c r="B125" s="172"/>
      <c r="D125" s="85"/>
      <c r="E125" s="85"/>
      <c r="H125" s="116"/>
      <c r="T125">
        <v>0</v>
      </c>
      <c r="Z125" s="21" t="s">
        <v>133</v>
      </c>
      <c r="AA125" s="21" t="s">
        <v>145</v>
      </c>
    </row>
    <row r="126" spans="1:27" x14ac:dyDescent="0.2">
      <c r="A126" s="224"/>
      <c r="B126" s="172"/>
      <c r="D126" s="85"/>
      <c r="E126" s="85"/>
      <c r="H126" s="116"/>
      <c r="T126">
        <v>0</v>
      </c>
      <c r="Z126" s="21" t="s">
        <v>133</v>
      </c>
      <c r="AA126" s="21" t="s">
        <v>145</v>
      </c>
    </row>
    <row r="127" spans="1:27" x14ac:dyDescent="0.2">
      <c r="A127" s="224"/>
      <c r="B127" s="172"/>
      <c r="D127" s="85"/>
      <c r="E127" s="85"/>
      <c r="H127" s="116"/>
      <c r="T127">
        <v>0</v>
      </c>
      <c r="Z127" s="21" t="s">
        <v>133</v>
      </c>
      <c r="AA127" s="21" t="s">
        <v>145</v>
      </c>
    </row>
    <row r="128" spans="1:27" x14ac:dyDescent="0.2">
      <c r="A128" s="224"/>
      <c r="B128" s="172"/>
      <c r="D128" s="85"/>
      <c r="E128" s="85"/>
      <c r="H128" s="116"/>
      <c r="T128">
        <v>0</v>
      </c>
      <c r="Z128" s="21" t="s">
        <v>133</v>
      </c>
      <c r="AA128" s="21" t="s">
        <v>145</v>
      </c>
    </row>
    <row r="129" spans="1:27" x14ac:dyDescent="0.2">
      <c r="A129" s="224"/>
      <c r="B129" s="172"/>
      <c r="D129" s="85"/>
      <c r="E129" s="85"/>
      <c r="H129" s="116"/>
      <c r="T129">
        <v>0</v>
      </c>
      <c r="Z129" s="21" t="s">
        <v>133</v>
      </c>
      <c r="AA129" s="21" t="s">
        <v>145</v>
      </c>
    </row>
    <row r="130" spans="1:27" x14ac:dyDescent="0.2">
      <c r="A130" s="224"/>
      <c r="B130" s="172"/>
      <c r="D130" s="85"/>
      <c r="E130" s="85"/>
      <c r="H130" s="116"/>
      <c r="T130">
        <v>0</v>
      </c>
      <c r="Z130" s="21" t="s">
        <v>133</v>
      </c>
      <c r="AA130" s="21" t="s">
        <v>145</v>
      </c>
    </row>
    <row r="131" spans="1:27" x14ac:dyDescent="0.2">
      <c r="A131" s="224"/>
      <c r="B131" s="172"/>
      <c r="D131" s="85"/>
      <c r="E131" s="85"/>
      <c r="H131" s="116"/>
      <c r="T131">
        <v>0</v>
      </c>
      <c r="Z131" s="21" t="s">
        <v>133</v>
      </c>
      <c r="AA131" s="21" t="s">
        <v>145</v>
      </c>
    </row>
    <row r="132" spans="1:27" x14ac:dyDescent="0.2">
      <c r="A132" s="224"/>
      <c r="B132" s="172"/>
      <c r="D132" s="85"/>
      <c r="E132" s="85"/>
      <c r="H132" s="116"/>
      <c r="T132">
        <v>0</v>
      </c>
      <c r="Z132" s="21" t="s">
        <v>133</v>
      </c>
      <c r="AA132" s="21" t="s">
        <v>145</v>
      </c>
    </row>
    <row r="133" spans="1:27" x14ac:dyDescent="0.2">
      <c r="A133" s="224"/>
      <c r="B133" s="172"/>
      <c r="D133" s="85"/>
      <c r="E133" s="85"/>
      <c r="H133" s="116"/>
      <c r="T133">
        <v>0</v>
      </c>
      <c r="Z133" s="21" t="s">
        <v>133</v>
      </c>
      <c r="AA133" s="21" t="s">
        <v>145</v>
      </c>
    </row>
    <row r="134" spans="1:27" x14ac:dyDescent="0.2">
      <c r="A134" s="224"/>
      <c r="B134" s="172"/>
      <c r="D134" s="85"/>
      <c r="E134" s="85"/>
      <c r="H134" s="116"/>
      <c r="T134">
        <v>0</v>
      </c>
      <c r="Z134" s="21" t="s">
        <v>133</v>
      </c>
      <c r="AA134" s="21" t="s">
        <v>145</v>
      </c>
    </row>
    <row r="135" spans="1:27" x14ac:dyDescent="0.2">
      <c r="A135" s="224"/>
      <c r="B135" s="172"/>
      <c r="D135" s="85"/>
      <c r="E135" s="85"/>
      <c r="H135" s="116"/>
      <c r="T135">
        <v>0</v>
      </c>
      <c r="Z135" s="21" t="s">
        <v>133</v>
      </c>
      <c r="AA135" s="21" t="s">
        <v>145</v>
      </c>
    </row>
    <row r="136" spans="1:27" x14ac:dyDescent="0.2">
      <c r="A136" s="224"/>
      <c r="B136" s="172"/>
      <c r="D136" s="85"/>
      <c r="E136" s="85"/>
      <c r="H136" s="116"/>
      <c r="T136">
        <v>0</v>
      </c>
      <c r="Z136" s="21" t="s">
        <v>133</v>
      </c>
      <c r="AA136" s="21" t="s">
        <v>145</v>
      </c>
    </row>
    <row r="137" spans="1:27" x14ac:dyDescent="0.2">
      <c r="A137" s="224"/>
      <c r="B137" s="172"/>
      <c r="D137" s="85"/>
      <c r="E137" s="85"/>
      <c r="H137" s="116"/>
      <c r="T137">
        <v>0</v>
      </c>
      <c r="Z137" s="21" t="s">
        <v>133</v>
      </c>
      <c r="AA137" s="21" t="s">
        <v>145</v>
      </c>
    </row>
    <row r="138" spans="1:27" x14ac:dyDescent="0.2">
      <c r="A138" s="224"/>
      <c r="B138" s="172"/>
      <c r="D138" s="85"/>
      <c r="E138" s="85"/>
      <c r="H138" s="116"/>
      <c r="T138">
        <v>0</v>
      </c>
      <c r="Z138" s="21" t="s">
        <v>133</v>
      </c>
      <c r="AA138" s="21" t="s">
        <v>145</v>
      </c>
    </row>
    <row r="139" spans="1:27" x14ac:dyDescent="0.2">
      <c r="A139" s="224"/>
      <c r="B139" s="172"/>
      <c r="D139" s="85"/>
      <c r="E139" s="85"/>
      <c r="H139" s="116"/>
      <c r="T139">
        <v>0</v>
      </c>
      <c r="Z139" s="21" t="s">
        <v>133</v>
      </c>
      <c r="AA139" s="21" t="s">
        <v>145</v>
      </c>
    </row>
    <row r="140" spans="1:27" x14ac:dyDescent="0.2">
      <c r="A140" s="224"/>
      <c r="B140" s="172"/>
      <c r="D140" s="85"/>
      <c r="E140" s="85"/>
      <c r="H140" s="116"/>
      <c r="T140">
        <v>0</v>
      </c>
      <c r="Z140" s="21" t="s">
        <v>133</v>
      </c>
      <c r="AA140" s="21" t="s">
        <v>145</v>
      </c>
    </row>
    <row r="141" spans="1:27" x14ac:dyDescent="0.2">
      <c r="A141" s="224"/>
      <c r="B141" s="172"/>
      <c r="D141" s="85"/>
      <c r="E141" s="85"/>
      <c r="H141" s="116"/>
      <c r="T141">
        <v>0</v>
      </c>
      <c r="Z141" s="21" t="s">
        <v>133</v>
      </c>
      <c r="AA141" s="21" t="s">
        <v>145</v>
      </c>
    </row>
    <row r="142" spans="1:27" x14ac:dyDescent="0.2">
      <c r="A142" s="224"/>
      <c r="B142" s="172"/>
      <c r="D142" s="85"/>
      <c r="E142" s="85"/>
      <c r="H142" s="116"/>
      <c r="T142">
        <v>0</v>
      </c>
      <c r="Z142" s="21" t="s">
        <v>133</v>
      </c>
      <c r="AA142" s="21" t="s">
        <v>145</v>
      </c>
    </row>
    <row r="143" spans="1:27" x14ac:dyDescent="0.2">
      <c r="A143" s="224"/>
      <c r="B143" s="172"/>
      <c r="D143" s="85"/>
      <c r="E143" s="85"/>
      <c r="H143" s="116"/>
      <c r="T143">
        <v>0</v>
      </c>
      <c r="Z143" s="21" t="s">
        <v>133</v>
      </c>
      <c r="AA143" s="21" t="s">
        <v>145</v>
      </c>
    </row>
    <row r="144" spans="1:27" x14ac:dyDescent="0.2">
      <c r="A144" s="224"/>
      <c r="B144" s="172"/>
      <c r="D144" s="85"/>
      <c r="E144" s="85"/>
      <c r="H144" s="116"/>
      <c r="T144">
        <v>0</v>
      </c>
      <c r="Z144" s="21" t="s">
        <v>133</v>
      </c>
      <c r="AA144" s="21" t="s">
        <v>145</v>
      </c>
    </row>
    <row r="145" spans="1:27" x14ac:dyDescent="0.2">
      <c r="A145" s="224"/>
      <c r="B145" s="172"/>
      <c r="D145" s="85"/>
      <c r="E145" s="85"/>
      <c r="H145" s="116"/>
      <c r="T145">
        <v>0</v>
      </c>
      <c r="Z145" s="21" t="s">
        <v>133</v>
      </c>
      <c r="AA145" s="21" t="s">
        <v>145</v>
      </c>
    </row>
    <row r="146" spans="1:27" x14ac:dyDescent="0.2">
      <c r="A146" s="224"/>
      <c r="B146" s="172"/>
      <c r="D146" s="85"/>
      <c r="E146" s="85"/>
      <c r="H146" s="116"/>
      <c r="T146">
        <v>0</v>
      </c>
      <c r="Z146" s="21" t="s">
        <v>133</v>
      </c>
      <c r="AA146" s="21" t="s">
        <v>145</v>
      </c>
    </row>
    <row r="147" spans="1:27" x14ac:dyDescent="0.2">
      <c r="A147" s="224"/>
      <c r="B147" s="172"/>
      <c r="D147" s="85"/>
      <c r="E147" s="85"/>
      <c r="H147" s="116"/>
      <c r="T147">
        <v>0</v>
      </c>
      <c r="Z147" s="21" t="s">
        <v>133</v>
      </c>
      <c r="AA147" s="21" t="s">
        <v>145</v>
      </c>
    </row>
    <row r="148" spans="1:27" x14ac:dyDescent="0.2">
      <c r="A148" s="224"/>
      <c r="B148" s="172"/>
      <c r="D148" s="85"/>
      <c r="E148" s="85"/>
      <c r="H148" s="116"/>
      <c r="T148">
        <v>0</v>
      </c>
      <c r="Z148" s="21" t="s">
        <v>133</v>
      </c>
      <c r="AA148" s="21" t="s">
        <v>145</v>
      </c>
    </row>
    <row r="149" spans="1:27" x14ac:dyDescent="0.2">
      <c r="A149" s="224"/>
      <c r="B149" s="172"/>
      <c r="D149" s="85"/>
      <c r="E149" s="85"/>
      <c r="H149" s="116"/>
      <c r="T149">
        <v>0</v>
      </c>
      <c r="Z149" s="21" t="s">
        <v>133</v>
      </c>
      <c r="AA149" s="21" t="s">
        <v>145</v>
      </c>
    </row>
    <row r="150" spans="1:27" x14ac:dyDescent="0.2">
      <c r="A150" s="224"/>
      <c r="B150" s="172"/>
      <c r="D150" s="85"/>
      <c r="E150" s="85"/>
      <c r="H150" s="116"/>
      <c r="T150">
        <v>0</v>
      </c>
      <c r="Z150" s="21" t="s">
        <v>133</v>
      </c>
      <c r="AA150" s="21" t="s">
        <v>145</v>
      </c>
    </row>
    <row r="151" spans="1:27" x14ac:dyDescent="0.2">
      <c r="A151" s="224"/>
      <c r="B151" s="172"/>
      <c r="D151" s="85"/>
      <c r="E151" s="85"/>
      <c r="H151" s="116"/>
      <c r="T151">
        <v>0</v>
      </c>
      <c r="Z151" s="21" t="s">
        <v>133</v>
      </c>
      <c r="AA151" s="21" t="s">
        <v>145</v>
      </c>
    </row>
    <row r="152" spans="1:27" x14ac:dyDescent="0.2">
      <c r="A152" s="224"/>
      <c r="B152" s="172"/>
      <c r="D152" s="85"/>
      <c r="E152" s="85"/>
      <c r="H152" s="116"/>
      <c r="T152">
        <v>0</v>
      </c>
      <c r="Z152" s="21" t="s">
        <v>133</v>
      </c>
      <c r="AA152" s="21" t="s">
        <v>145</v>
      </c>
    </row>
    <row r="153" spans="1:27" x14ac:dyDescent="0.2">
      <c r="A153" s="224"/>
      <c r="B153" s="172"/>
      <c r="D153" s="85"/>
      <c r="E153" s="85"/>
      <c r="H153" s="116"/>
      <c r="T153">
        <v>0</v>
      </c>
      <c r="Z153" s="21" t="s">
        <v>133</v>
      </c>
      <c r="AA153" s="21" t="s">
        <v>145</v>
      </c>
    </row>
    <row r="154" spans="1:27" x14ac:dyDescent="0.2">
      <c r="A154" s="224"/>
      <c r="B154" s="172"/>
      <c r="D154" s="85"/>
      <c r="E154" s="85"/>
      <c r="H154" s="116"/>
      <c r="T154">
        <v>0</v>
      </c>
      <c r="Z154" s="21" t="s">
        <v>133</v>
      </c>
      <c r="AA154" s="21" t="s">
        <v>145</v>
      </c>
    </row>
    <row r="155" spans="1:27" x14ac:dyDescent="0.2">
      <c r="A155" s="224"/>
      <c r="B155" s="172"/>
      <c r="D155" s="85"/>
      <c r="E155" s="85"/>
      <c r="H155" s="116"/>
      <c r="T155">
        <v>0</v>
      </c>
      <c r="Z155" s="21" t="s">
        <v>133</v>
      </c>
      <c r="AA155" s="21" t="s">
        <v>145</v>
      </c>
    </row>
    <row r="156" spans="1:27" x14ac:dyDescent="0.2">
      <c r="A156" s="224"/>
      <c r="B156" s="172"/>
      <c r="D156" s="85"/>
      <c r="E156" s="85"/>
      <c r="H156" s="116"/>
      <c r="T156">
        <v>0</v>
      </c>
      <c r="Z156" s="21" t="s">
        <v>133</v>
      </c>
      <c r="AA156" s="21" t="s">
        <v>145</v>
      </c>
    </row>
    <row r="157" spans="1:27" x14ac:dyDescent="0.2">
      <c r="A157" s="224"/>
      <c r="B157" s="172"/>
      <c r="D157" s="85"/>
      <c r="E157" s="85"/>
      <c r="H157" s="116"/>
      <c r="T157">
        <v>0</v>
      </c>
      <c r="Z157" s="21" t="s">
        <v>133</v>
      </c>
      <c r="AA157" s="21" t="s">
        <v>145</v>
      </c>
    </row>
    <row r="158" spans="1:27" x14ac:dyDescent="0.2">
      <c r="A158" s="224"/>
      <c r="B158" s="172"/>
      <c r="D158" s="85"/>
      <c r="E158" s="85"/>
      <c r="H158" s="116"/>
      <c r="T158">
        <v>0</v>
      </c>
      <c r="Z158" s="21" t="s">
        <v>133</v>
      </c>
      <c r="AA158" s="21" t="s">
        <v>145</v>
      </c>
    </row>
    <row r="159" spans="1:27" x14ac:dyDescent="0.2">
      <c r="A159" s="224"/>
      <c r="B159" s="172"/>
      <c r="D159" s="85"/>
      <c r="E159" s="85"/>
      <c r="H159" s="116"/>
      <c r="T159">
        <v>0</v>
      </c>
      <c r="Z159" s="21" t="s">
        <v>133</v>
      </c>
      <c r="AA159" s="21" t="s">
        <v>145</v>
      </c>
    </row>
    <row r="160" spans="1:27" x14ac:dyDescent="0.2">
      <c r="A160" s="224"/>
      <c r="B160" s="172"/>
      <c r="D160" s="85"/>
      <c r="E160" s="85"/>
      <c r="H160" s="116"/>
      <c r="T160">
        <v>0</v>
      </c>
      <c r="Z160" s="21" t="s">
        <v>133</v>
      </c>
      <c r="AA160" s="21" t="s">
        <v>145</v>
      </c>
    </row>
    <row r="161" spans="1:27" x14ac:dyDescent="0.2">
      <c r="A161" s="224"/>
      <c r="B161" s="172"/>
      <c r="D161" s="85"/>
      <c r="E161" s="85"/>
      <c r="H161" s="116"/>
      <c r="T161">
        <v>0</v>
      </c>
      <c r="Z161" s="21" t="s">
        <v>133</v>
      </c>
      <c r="AA161" s="21" t="s">
        <v>145</v>
      </c>
    </row>
    <row r="162" spans="1:27" x14ac:dyDescent="0.2">
      <c r="A162" s="224"/>
      <c r="B162" s="172"/>
      <c r="D162" s="85"/>
      <c r="E162" s="85"/>
      <c r="H162" s="116"/>
      <c r="T162">
        <v>0</v>
      </c>
      <c r="Z162" s="21" t="s">
        <v>133</v>
      </c>
      <c r="AA162" s="21" t="s">
        <v>145</v>
      </c>
    </row>
    <row r="163" spans="1:27" x14ac:dyDescent="0.2">
      <c r="A163" s="224"/>
      <c r="B163" s="172"/>
      <c r="D163" s="85"/>
      <c r="E163" s="85"/>
      <c r="H163" s="116"/>
      <c r="T163">
        <v>0</v>
      </c>
      <c r="Z163" s="21" t="s">
        <v>133</v>
      </c>
      <c r="AA163" s="21" t="s">
        <v>145</v>
      </c>
    </row>
    <row r="164" spans="1:27" x14ac:dyDescent="0.2">
      <c r="A164" s="224"/>
      <c r="B164" s="172"/>
      <c r="D164" s="85"/>
      <c r="E164" s="85"/>
      <c r="H164" s="116"/>
      <c r="T164">
        <v>0</v>
      </c>
      <c r="Z164" s="21" t="s">
        <v>133</v>
      </c>
      <c r="AA164" s="21" t="s">
        <v>145</v>
      </c>
    </row>
    <row r="165" spans="1:27" x14ac:dyDescent="0.2">
      <c r="A165" s="224"/>
      <c r="B165" s="172"/>
      <c r="D165" s="85"/>
      <c r="E165" s="85"/>
      <c r="H165" s="116"/>
      <c r="T165">
        <v>0</v>
      </c>
      <c r="Z165" s="21" t="s">
        <v>133</v>
      </c>
      <c r="AA165" s="21" t="s">
        <v>145</v>
      </c>
    </row>
    <row r="166" spans="1:27" x14ac:dyDescent="0.2">
      <c r="A166" s="224"/>
      <c r="B166" s="172"/>
      <c r="D166" s="85"/>
      <c r="E166" s="85"/>
      <c r="H166" s="116"/>
      <c r="T166">
        <v>0</v>
      </c>
      <c r="Z166" s="21" t="s">
        <v>133</v>
      </c>
      <c r="AA166" s="21" t="s">
        <v>145</v>
      </c>
    </row>
    <row r="167" spans="1:27" x14ac:dyDescent="0.2">
      <c r="A167" s="224"/>
      <c r="B167" s="172"/>
      <c r="D167" s="85"/>
      <c r="E167" s="85"/>
      <c r="H167" s="116"/>
      <c r="T167">
        <v>0</v>
      </c>
      <c r="Z167" s="21" t="s">
        <v>133</v>
      </c>
      <c r="AA167" s="21" t="s">
        <v>145</v>
      </c>
    </row>
    <row r="168" spans="1:27" x14ac:dyDescent="0.2">
      <c r="A168" s="224"/>
      <c r="B168" s="172"/>
      <c r="D168" s="85"/>
      <c r="E168" s="85"/>
      <c r="H168" s="116"/>
      <c r="T168">
        <v>0</v>
      </c>
      <c r="Z168" s="21" t="s">
        <v>133</v>
      </c>
      <c r="AA168" s="21" t="s">
        <v>145</v>
      </c>
    </row>
    <row r="169" spans="1:27" x14ac:dyDescent="0.2">
      <c r="A169" s="224"/>
      <c r="B169" s="172"/>
      <c r="D169" s="85"/>
      <c r="E169" s="85"/>
      <c r="H169" s="116"/>
      <c r="T169">
        <v>0</v>
      </c>
      <c r="Z169" s="21" t="s">
        <v>133</v>
      </c>
      <c r="AA169" s="21" t="s">
        <v>145</v>
      </c>
    </row>
    <row r="170" spans="1:27" x14ac:dyDescent="0.2">
      <c r="A170" s="224"/>
      <c r="B170" s="172"/>
      <c r="D170" s="85"/>
      <c r="E170" s="85"/>
      <c r="H170" s="116"/>
      <c r="T170">
        <v>0</v>
      </c>
      <c r="Z170" s="21" t="s">
        <v>133</v>
      </c>
      <c r="AA170" s="21" t="s">
        <v>145</v>
      </c>
    </row>
    <row r="171" spans="1:27" x14ac:dyDescent="0.2">
      <c r="A171" s="224"/>
      <c r="B171" s="172"/>
      <c r="D171" s="85"/>
      <c r="E171" s="85"/>
      <c r="H171" s="116"/>
      <c r="T171">
        <v>0</v>
      </c>
      <c r="Z171" s="21" t="s">
        <v>133</v>
      </c>
      <c r="AA171" s="21" t="s">
        <v>145</v>
      </c>
    </row>
    <row r="172" spans="1:27" x14ac:dyDescent="0.2">
      <c r="A172" s="224"/>
      <c r="B172" s="172"/>
      <c r="D172" s="85"/>
      <c r="E172" s="85"/>
      <c r="H172" s="116"/>
      <c r="T172">
        <v>0</v>
      </c>
      <c r="Z172" s="21" t="s">
        <v>133</v>
      </c>
      <c r="AA172" s="21" t="s">
        <v>145</v>
      </c>
    </row>
    <row r="173" spans="1:27" x14ac:dyDescent="0.2">
      <c r="A173" s="224"/>
      <c r="B173" s="172"/>
      <c r="D173" s="85"/>
      <c r="E173" s="85"/>
      <c r="H173" s="116"/>
      <c r="T173">
        <v>0</v>
      </c>
      <c r="Z173" s="21" t="s">
        <v>133</v>
      </c>
      <c r="AA173" s="21" t="s">
        <v>145</v>
      </c>
    </row>
    <row r="174" spans="1:27" x14ac:dyDescent="0.2">
      <c r="A174" s="224"/>
      <c r="B174" s="172"/>
      <c r="D174" s="85"/>
      <c r="E174" s="85"/>
      <c r="H174" s="116"/>
      <c r="T174">
        <v>0</v>
      </c>
      <c r="Z174" s="21" t="s">
        <v>133</v>
      </c>
      <c r="AA174" s="21" t="s">
        <v>145</v>
      </c>
    </row>
    <row r="175" spans="1:27" x14ac:dyDescent="0.2">
      <c r="A175" s="224"/>
      <c r="B175" s="172"/>
      <c r="D175" s="85"/>
      <c r="E175" s="85"/>
      <c r="H175" s="116"/>
      <c r="T175">
        <v>0</v>
      </c>
      <c r="Z175" s="21" t="s">
        <v>133</v>
      </c>
      <c r="AA175" s="21" t="s">
        <v>145</v>
      </c>
    </row>
    <row r="176" spans="1:27" x14ac:dyDescent="0.2">
      <c r="A176" s="224"/>
      <c r="B176" s="172"/>
      <c r="D176" s="85"/>
      <c r="E176" s="85"/>
      <c r="H176" s="116"/>
      <c r="T176">
        <v>0</v>
      </c>
      <c r="Z176" s="21" t="s">
        <v>133</v>
      </c>
      <c r="AA176" s="21" t="s">
        <v>145</v>
      </c>
    </row>
    <row r="177" spans="1:27" x14ac:dyDescent="0.2">
      <c r="A177" s="224"/>
      <c r="B177" s="172"/>
      <c r="D177" s="85"/>
      <c r="E177" s="85"/>
      <c r="H177" s="116"/>
      <c r="T177">
        <v>0</v>
      </c>
      <c r="Z177" s="21" t="s">
        <v>133</v>
      </c>
      <c r="AA177" s="21" t="s">
        <v>145</v>
      </c>
    </row>
    <row r="178" spans="1:27" x14ac:dyDescent="0.2">
      <c r="A178" s="224"/>
      <c r="B178" s="172"/>
      <c r="D178" s="85"/>
      <c r="E178" s="85"/>
      <c r="H178" s="116"/>
      <c r="T178">
        <v>0</v>
      </c>
      <c r="Z178" s="21" t="s">
        <v>133</v>
      </c>
      <c r="AA178" s="21" t="s">
        <v>145</v>
      </c>
    </row>
    <row r="179" spans="1:27" x14ac:dyDescent="0.2">
      <c r="A179" s="224"/>
      <c r="B179" s="172"/>
      <c r="D179" s="85"/>
      <c r="E179" s="85"/>
      <c r="H179" s="116"/>
      <c r="T179">
        <v>0</v>
      </c>
      <c r="Z179" s="21" t="s">
        <v>133</v>
      </c>
      <c r="AA179" s="21" t="s">
        <v>145</v>
      </c>
    </row>
    <row r="180" spans="1:27" x14ac:dyDescent="0.2">
      <c r="A180" s="224"/>
      <c r="B180" s="172"/>
      <c r="D180" s="85"/>
      <c r="E180" s="85"/>
      <c r="H180" s="116"/>
      <c r="T180">
        <v>0</v>
      </c>
      <c r="Z180" s="21" t="s">
        <v>133</v>
      </c>
      <c r="AA180" s="21" t="s">
        <v>145</v>
      </c>
    </row>
    <row r="181" spans="1:27" x14ac:dyDescent="0.2">
      <c r="A181" s="224"/>
      <c r="B181" s="172"/>
      <c r="D181" s="85"/>
      <c r="E181" s="85"/>
      <c r="H181" s="116"/>
      <c r="T181">
        <v>0</v>
      </c>
      <c r="Z181" s="21" t="s">
        <v>133</v>
      </c>
      <c r="AA181" s="21" t="s">
        <v>145</v>
      </c>
    </row>
    <row r="182" spans="1:27" x14ac:dyDescent="0.2">
      <c r="A182" s="224"/>
      <c r="B182" s="172"/>
      <c r="D182" s="85"/>
      <c r="E182" s="85"/>
      <c r="H182" s="116"/>
      <c r="T182">
        <v>0</v>
      </c>
      <c r="Z182" s="21" t="s">
        <v>133</v>
      </c>
      <c r="AA182" s="21" t="s">
        <v>145</v>
      </c>
    </row>
    <row r="183" spans="1:27" x14ac:dyDescent="0.2">
      <c r="A183" s="224"/>
      <c r="B183" s="172"/>
      <c r="D183" s="85"/>
      <c r="E183" s="85"/>
      <c r="H183" s="116"/>
      <c r="T183">
        <v>0</v>
      </c>
      <c r="Z183" s="21" t="s">
        <v>133</v>
      </c>
      <c r="AA183" s="21" t="s">
        <v>145</v>
      </c>
    </row>
    <row r="184" spans="1:27" x14ac:dyDescent="0.2">
      <c r="A184" s="224"/>
      <c r="B184" s="172"/>
      <c r="D184" s="85"/>
      <c r="E184" s="85"/>
      <c r="H184" s="116"/>
      <c r="T184">
        <v>0</v>
      </c>
      <c r="Z184" s="21" t="s">
        <v>133</v>
      </c>
      <c r="AA184" s="21" t="s">
        <v>145</v>
      </c>
    </row>
    <row r="185" spans="1:27" x14ac:dyDescent="0.2">
      <c r="A185" s="224"/>
      <c r="B185" s="172"/>
      <c r="D185" s="85"/>
      <c r="E185" s="85"/>
      <c r="H185" s="116"/>
      <c r="T185">
        <v>0</v>
      </c>
      <c r="Z185" s="21" t="s">
        <v>133</v>
      </c>
      <c r="AA185" s="21" t="s">
        <v>145</v>
      </c>
    </row>
    <row r="186" spans="1:27" x14ac:dyDescent="0.2">
      <c r="A186" s="224"/>
      <c r="B186" s="172"/>
      <c r="D186" s="85"/>
      <c r="E186" s="85"/>
      <c r="H186" s="116"/>
      <c r="T186">
        <v>0</v>
      </c>
      <c r="Z186" s="21" t="s">
        <v>133</v>
      </c>
      <c r="AA186" s="21" t="s">
        <v>145</v>
      </c>
    </row>
    <row r="187" spans="1:27" x14ac:dyDescent="0.2">
      <c r="A187" s="224"/>
      <c r="B187" s="172"/>
      <c r="D187" s="85"/>
      <c r="E187" s="85"/>
      <c r="H187" s="116"/>
      <c r="T187">
        <v>0</v>
      </c>
      <c r="Z187" s="21" t="s">
        <v>133</v>
      </c>
      <c r="AA187" s="21" t="s">
        <v>145</v>
      </c>
    </row>
    <row r="188" spans="1:27" x14ac:dyDescent="0.2">
      <c r="A188" s="224"/>
      <c r="B188" s="172"/>
      <c r="D188" s="85"/>
      <c r="E188" s="85"/>
      <c r="H188" s="116"/>
      <c r="T188">
        <v>0</v>
      </c>
      <c r="Z188" s="21" t="s">
        <v>133</v>
      </c>
      <c r="AA188" s="21" t="s">
        <v>145</v>
      </c>
    </row>
    <row r="189" spans="1:27" x14ac:dyDescent="0.2">
      <c r="A189" s="224"/>
      <c r="B189" s="172"/>
      <c r="D189" s="85"/>
      <c r="E189" s="85"/>
      <c r="H189" s="116"/>
      <c r="T189">
        <v>0</v>
      </c>
      <c r="Z189" s="21" t="s">
        <v>133</v>
      </c>
      <c r="AA189" s="21" t="s">
        <v>145</v>
      </c>
    </row>
    <row r="190" spans="1:27" x14ac:dyDescent="0.2">
      <c r="A190" s="224"/>
      <c r="B190" s="172"/>
      <c r="D190" s="85"/>
      <c r="E190" s="85"/>
      <c r="H190" s="116"/>
      <c r="T190">
        <v>0</v>
      </c>
      <c r="Z190" s="21" t="s">
        <v>133</v>
      </c>
      <c r="AA190" s="21" t="s">
        <v>145</v>
      </c>
    </row>
    <row r="191" spans="1:27" x14ac:dyDescent="0.2">
      <c r="A191" s="224"/>
      <c r="B191" s="172"/>
      <c r="D191" s="85"/>
      <c r="E191" s="85"/>
      <c r="H191" s="116"/>
      <c r="T191">
        <v>0</v>
      </c>
      <c r="Z191" s="21" t="s">
        <v>133</v>
      </c>
      <c r="AA191" s="21" t="s">
        <v>145</v>
      </c>
    </row>
    <row r="192" spans="1:27" x14ac:dyDescent="0.2">
      <c r="A192" s="224"/>
      <c r="B192" s="172"/>
      <c r="D192" s="85"/>
      <c r="E192" s="85"/>
      <c r="H192" s="116"/>
      <c r="T192">
        <v>0</v>
      </c>
      <c r="Z192" s="21" t="s">
        <v>133</v>
      </c>
      <c r="AA192" s="21" t="s">
        <v>145</v>
      </c>
    </row>
    <row r="193" spans="1:27" x14ac:dyDescent="0.2">
      <c r="A193" s="224"/>
      <c r="B193" s="172"/>
      <c r="D193" s="85"/>
      <c r="E193" s="85"/>
      <c r="H193" s="116"/>
      <c r="T193">
        <v>0</v>
      </c>
      <c r="Z193" s="21" t="s">
        <v>133</v>
      </c>
      <c r="AA193" s="21" t="s">
        <v>145</v>
      </c>
    </row>
    <row r="194" spans="1:27" x14ac:dyDescent="0.2">
      <c r="A194" s="224"/>
      <c r="B194" s="172"/>
      <c r="D194" s="85"/>
      <c r="E194" s="85"/>
      <c r="H194" s="116"/>
      <c r="T194">
        <v>0</v>
      </c>
      <c r="Z194" s="21" t="s">
        <v>133</v>
      </c>
      <c r="AA194" s="21" t="s">
        <v>145</v>
      </c>
    </row>
    <row r="195" spans="1:27" x14ac:dyDescent="0.2">
      <c r="A195" s="224"/>
      <c r="B195" s="172"/>
      <c r="D195" s="85"/>
      <c r="E195" s="85"/>
      <c r="H195" s="116"/>
      <c r="T195">
        <v>0</v>
      </c>
      <c r="Z195" s="21" t="s">
        <v>133</v>
      </c>
      <c r="AA195" s="21" t="s">
        <v>145</v>
      </c>
    </row>
    <row r="196" spans="1:27" x14ac:dyDescent="0.2">
      <c r="A196" s="224"/>
      <c r="B196" s="172"/>
      <c r="D196" s="85"/>
      <c r="E196" s="85"/>
      <c r="H196" s="116"/>
      <c r="T196">
        <v>0</v>
      </c>
      <c r="Z196" s="21" t="s">
        <v>133</v>
      </c>
      <c r="AA196" s="21" t="s">
        <v>145</v>
      </c>
    </row>
    <row r="197" spans="1:27" x14ac:dyDescent="0.2">
      <c r="A197" s="224"/>
      <c r="B197" s="172"/>
      <c r="D197" s="85"/>
      <c r="E197" s="85"/>
      <c r="H197" s="116"/>
      <c r="T197">
        <v>0</v>
      </c>
      <c r="Z197" s="21" t="s">
        <v>133</v>
      </c>
      <c r="AA197" s="21" t="s">
        <v>145</v>
      </c>
    </row>
    <row r="198" spans="1:27" x14ac:dyDescent="0.2">
      <c r="A198" s="224"/>
      <c r="B198" s="172"/>
      <c r="D198" s="85"/>
      <c r="E198" s="85"/>
      <c r="H198" s="116"/>
      <c r="T198">
        <v>0</v>
      </c>
      <c r="Z198" s="21" t="s">
        <v>133</v>
      </c>
      <c r="AA198" s="21" t="s">
        <v>145</v>
      </c>
    </row>
    <row r="199" spans="1:27" x14ac:dyDescent="0.2">
      <c r="A199" s="224"/>
      <c r="B199" s="172"/>
      <c r="D199" s="85"/>
      <c r="E199" s="85"/>
      <c r="H199" s="116"/>
      <c r="T199">
        <v>0</v>
      </c>
      <c r="Z199" s="21" t="s">
        <v>133</v>
      </c>
      <c r="AA199" s="21" t="s">
        <v>145</v>
      </c>
    </row>
    <row r="200" spans="1:27" x14ac:dyDescent="0.2">
      <c r="A200" s="224"/>
      <c r="B200" s="172"/>
      <c r="D200" s="85"/>
      <c r="E200" s="85"/>
      <c r="H200" s="116"/>
      <c r="T200">
        <v>0</v>
      </c>
      <c r="Z200" s="21" t="s">
        <v>133</v>
      </c>
      <c r="AA200" s="21" t="s">
        <v>145</v>
      </c>
    </row>
    <row r="201" spans="1:27" x14ac:dyDescent="0.2">
      <c r="A201" s="224"/>
      <c r="B201" s="172"/>
      <c r="D201" s="85"/>
      <c r="E201" s="85"/>
      <c r="H201" s="116"/>
      <c r="T201">
        <v>0</v>
      </c>
      <c r="Z201" s="21" t="s">
        <v>133</v>
      </c>
      <c r="AA201" s="21" t="s">
        <v>145</v>
      </c>
    </row>
    <row r="202" spans="1:27" x14ac:dyDescent="0.2">
      <c r="A202" s="224"/>
      <c r="B202" s="172"/>
      <c r="D202" s="85"/>
      <c r="E202" s="85"/>
      <c r="H202" s="116"/>
      <c r="T202">
        <v>0</v>
      </c>
      <c r="Z202" s="21" t="s">
        <v>133</v>
      </c>
      <c r="AA202" s="21" t="s">
        <v>145</v>
      </c>
    </row>
    <row r="203" spans="1:27" x14ac:dyDescent="0.2">
      <c r="A203" s="224"/>
      <c r="B203" s="172"/>
      <c r="D203" s="85"/>
      <c r="E203" s="85"/>
      <c r="H203" s="116"/>
      <c r="T203">
        <v>0</v>
      </c>
      <c r="Z203" s="21" t="s">
        <v>133</v>
      </c>
      <c r="AA203" s="21" t="s">
        <v>145</v>
      </c>
    </row>
    <row r="204" spans="1:27" x14ac:dyDescent="0.2">
      <c r="A204" s="224"/>
      <c r="B204" s="172"/>
      <c r="D204" s="85"/>
      <c r="E204" s="85"/>
      <c r="H204" s="116"/>
      <c r="T204">
        <v>0</v>
      </c>
      <c r="Z204" s="21" t="s">
        <v>133</v>
      </c>
      <c r="AA204" s="21" t="s">
        <v>145</v>
      </c>
    </row>
    <row r="205" spans="1:27" x14ac:dyDescent="0.2">
      <c r="A205" s="224"/>
      <c r="B205" s="172"/>
      <c r="D205" s="85"/>
      <c r="E205" s="85"/>
      <c r="H205" s="116"/>
      <c r="T205">
        <v>0</v>
      </c>
      <c r="Z205" s="21" t="s">
        <v>133</v>
      </c>
      <c r="AA205" s="21" t="s">
        <v>145</v>
      </c>
    </row>
    <row r="206" spans="1:27" x14ac:dyDescent="0.2">
      <c r="A206" s="224"/>
      <c r="B206" s="172"/>
      <c r="D206" s="85"/>
      <c r="E206" s="85"/>
      <c r="H206" s="116"/>
      <c r="T206">
        <v>0</v>
      </c>
      <c r="Z206" s="21" t="s">
        <v>133</v>
      </c>
      <c r="AA206" s="21" t="s">
        <v>145</v>
      </c>
    </row>
    <row r="207" spans="1:27" x14ac:dyDescent="0.2">
      <c r="A207" s="224"/>
      <c r="B207" s="172"/>
      <c r="D207" s="85"/>
      <c r="E207" s="85"/>
      <c r="H207" s="116"/>
      <c r="T207">
        <v>0</v>
      </c>
      <c r="Z207" s="21" t="s">
        <v>133</v>
      </c>
      <c r="AA207" s="21" t="s">
        <v>145</v>
      </c>
    </row>
    <row r="208" spans="1:27" x14ac:dyDescent="0.2">
      <c r="A208" s="224"/>
      <c r="B208" s="172"/>
      <c r="D208" s="85"/>
      <c r="E208" s="85"/>
      <c r="H208" s="116"/>
      <c r="T208">
        <v>0</v>
      </c>
      <c r="Z208" s="21" t="s">
        <v>133</v>
      </c>
      <c r="AA208" s="21" t="s">
        <v>145</v>
      </c>
    </row>
    <row r="209" spans="1:27" x14ac:dyDescent="0.2">
      <c r="A209" s="224"/>
      <c r="B209" s="172"/>
      <c r="D209" s="85"/>
      <c r="E209" s="85"/>
      <c r="H209" s="116"/>
      <c r="T209">
        <v>0</v>
      </c>
      <c r="Z209" s="21" t="s">
        <v>133</v>
      </c>
      <c r="AA209" s="21" t="s">
        <v>145</v>
      </c>
    </row>
    <row r="210" spans="1:27" x14ac:dyDescent="0.2">
      <c r="A210" s="224"/>
      <c r="B210" s="172"/>
      <c r="D210" s="85"/>
      <c r="E210" s="85"/>
      <c r="H210" s="116"/>
      <c r="T210">
        <v>0</v>
      </c>
      <c r="Z210" s="21" t="s">
        <v>133</v>
      </c>
      <c r="AA210" s="21" t="s">
        <v>145</v>
      </c>
    </row>
    <row r="211" spans="1:27" x14ac:dyDescent="0.2">
      <c r="A211" s="224"/>
      <c r="B211" s="172"/>
      <c r="D211" s="85"/>
      <c r="E211" s="85"/>
      <c r="H211" s="116"/>
      <c r="T211">
        <v>0</v>
      </c>
      <c r="Z211" s="21" t="s">
        <v>133</v>
      </c>
      <c r="AA211" s="21" t="s">
        <v>145</v>
      </c>
    </row>
    <row r="212" spans="1:27" x14ac:dyDescent="0.2">
      <c r="A212" s="224"/>
      <c r="B212" s="172"/>
      <c r="D212" s="85"/>
      <c r="E212" s="85"/>
      <c r="H212" s="116"/>
      <c r="T212">
        <v>0</v>
      </c>
      <c r="Z212" s="21" t="s">
        <v>133</v>
      </c>
      <c r="AA212" s="21" t="s">
        <v>145</v>
      </c>
    </row>
    <row r="213" spans="1:27" x14ac:dyDescent="0.2">
      <c r="A213" s="224"/>
      <c r="B213" s="172"/>
      <c r="D213" s="85"/>
      <c r="E213" s="85"/>
      <c r="H213" s="116"/>
      <c r="T213">
        <v>0</v>
      </c>
      <c r="Z213" s="21" t="s">
        <v>133</v>
      </c>
      <c r="AA213" s="21" t="s">
        <v>145</v>
      </c>
    </row>
    <row r="214" spans="1:27" x14ac:dyDescent="0.2">
      <c r="A214" s="224"/>
      <c r="B214" s="172"/>
      <c r="D214" s="85"/>
      <c r="E214" s="85"/>
      <c r="H214" s="116"/>
      <c r="T214">
        <v>0</v>
      </c>
      <c r="Z214" s="21" t="s">
        <v>133</v>
      </c>
      <c r="AA214" s="21" t="s">
        <v>145</v>
      </c>
    </row>
    <row r="215" spans="1:27" x14ac:dyDescent="0.2">
      <c r="A215" s="224"/>
      <c r="B215" s="172"/>
      <c r="D215" s="85"/>
      <c r="E215" s="85"/>
      <c r="H215" s="116"/>
      <c r="T215">
        <v>0</v>
      </c>
      <c r="Z215" s="21" t="s">
        <v>133</v>
      </c>
      <c r="AA215" s="21" t="s">
        <v>145</v>
      </c>
    </row>
    <row r="216" spans="1:27" x14ac:dyDescent="0.2">
      <c r="A216" s="224"/>
      <c r="B216" s="172"/>
      <c r="D216" s="85"/>
      <c r="E216" s="85"/>
      <c r="H216" s="116"/>
      <c r="T216">
        <v>0</v>
      </c>
      <c r="Z216" s="21" t="s">
        <v>133</v>
      </c>
      <c r="AA216" s="21" t="s">
        <v>145</v>
      </c>
    </row>
    <row r="217" spans="1:27" x14ac:dyDescent="0.2">
      <c r="A217" s="224"/>
      <c r="B217" s="172"/>
      <c r="D217" s="85"/>
      <c r="E217" s="85"/>
      <c r="H217" s="116"/>
      <c r="T217">
        <v>0</v>
      </c>
      <c r="Z217" s="21" t="s">
        <v>133</v>
      </c>
      <c r="AA217" s="21" t="s">
        <v>145</v>
      </c>
    </row>
    <row r="218" spans="1:27" x14ac:dyDescent="0.2">
      <c r="A218" s="224"/>
      <c r="B218" s="172"/>
      <c r="D218" s="85"/>
      <c r="E218" s="85"/>
      <c r="H218" s="116"/>
      <c r="T218">
        <v>0</v>
      </c>
      <c r="Z218" s="21" t="s">
        <v>133</v>
      </c>
      <c r="AA218" s="21" t="s">
        <v>145</v>
      </c>
    </row>
    <row r="219" spans="1:27" x14ac:dyDescent="0.2">
      <c r="A219" s="224"/>
      <c r="B219" s="172"/>
      <c r="D219" s="85"/>
      <c r="E219" s="85"/>
      <c r="H219" s="116"/>
      <c r="T219">
        <v>0</v>
      </c>
      <c r="Z219" s="21" t="s">
        <v>133</v>
      </c>
      <c r="AA219" s="21" t="s">
        <v>145</v>
      </c>
    </row>
    <row r="220" spans="1:27" x14ac:dyDescent="0.2">
      <c r="A220" s="224"/>
      <c r="B220" s="172"/>
      <c r="D220" s="85"/>
      <c r="E220" s="85"/>
      <c r="H220" s="116"/>
      <c r="T220">
        <v>0</v>
      </c>
      <c r="Z220" s="21" t="s">
        <v>133</v>
      </c>
      <c r="AA220" s="21" t="s">
        <v>145</v>
      </c>
    </row>
    <row r="221" spans="1:27" x14ac:dyDescent="0.2">
      <c r="A221" s="224"/>
      <c r="B221" s="172"/>
      <c r="D221" s="85"/>
      <c r="E221" s="85"/>
      <c r="H221" s="116"/>
      <c r="T221">
        <v>0</v>
      </c>
      <c r="Z221" s="21" t="s">
        <v>133</v>
      </c>
      <c r="AA221" s="21" t="s">
        <v>145</v>
      </c>
    </row>
    <row r="222" spans="1:27" x14ac:dyDescent="0.2">
      <c r="A222" s="224"/>
      <c r="B222" s="172"/>
      <c r="D222" s="85"/>
      <c r="E222" s="85"/>
      <c r="H222" s="116"/>
      <c r="T222">
        <v>0</v>
      </c>
      <c r="Z222" s="21" t="s">
        <v>133</v>
      </c>
      <c r="AA222" s="21" t="s">
        <v>145</v>
      </c>
    </row>
    <row r="223" spans="1:27" x14ac:dyDescent="0.2">
      <c r="A223" s="224"/>
      <c r="B223" s="172"/>
      <c r="D223" s="85"/>
      <c r="E223" s="85"/>
      <c r="H223" s="116"/>
      <c r="T223">
        <v>0</v>
      </c>
      <c r="Z223" s="21" t="s">
        <v>133</v>
      </c>
      <c r="AA223" s="21" t="s">
        <v>145</v>
      </c>
    </row>
    <row r="224" spans="1:27" x14ac:dyDescent="0.2">
      <c r="A224" s="224"/>
      <c r="B224" s="172"/>
      <c r="D224" s="85"/>
      <c r="E224" s="85"/>
      <c r="H224" s="116"/>
      <c r="T224">
        <v>0</v>
      </c>
      <c r="Z224" s="21" t="s">
        <v>133</v>
      </c>
      <c r="AA224" s="21" t="s">
        <v>145</v>
      </c>
    </row>
    <row r="225" spans="1:27" x14ac:dyDescent="0.2">
      <c r="A225" s="224"/>
      <c r="B225" s="172"/>
      <c r="D225" s="85"/>
      <c r="E225" s="85"/>
      <c r="H225" s="116"/>
      <c r="T225">
        <v>0</v>
      </c>
      <c r="Z225" s="21" t="s">
        <v>133</v>
      </c>
      <c r="AA225" s="21" t="s">
        <v>145</v>
      </c>
    </row>
    <row r="226" spans="1:27" x14ac:dyDescent="0.2">
      <c r="A226" s="224"/>
      <c r="B226" s="172"/>
      <c r="D226" s="85"/>
      <c r="E226" s="85"/>
      <c r="H226" s="116"/>
      <c r="T226">
        <v>0</v>
      </c>
      <c r="Z226" s="21" t="s">
        <v>133</v>
      </c>
      <c r="AA226" s="21" t="s">
        <v>145</v>
      </c>
    </row>
    <row r="227" spans="1:27" x14ac:dyDescent="0.2">
      <c r="A227" s="224"/>
      <c r="B227" s="172"/>
      <c r="D227" s="85"/>
      <c r="E227" s="85"/>
      <c r="H227" s="116"/>
      <c r="T227">
        <v>0</v>
      </c>
      <c r="Z227" s="21" t="s">
        <v>133</v>
      </c>
      <c r="AA227" s="21" t="s">
        <v>145</v>
      </c>
    </row>
    <row r="228" spans="1:27" x14ac:dyDescent="0.2">
      <c r="A228" s="224"/>
      <c r="B228" s="172"/>
      <c r="D228" s="85"/>
      <c r="E228" s="85"/>
      <c r="H228" s="116"/>
      <c r="T228">
        <v>0</v>
      </c>
      <c r="Z228" s="21" t="s">
        <v>133</v>
      </c>
      <c r="AA228" s="21" t="s">
        <v>145</v>
      </c>
    </row>
    <row r="229" spans="1:27" x14ac:dyDescent="0.2">
      <c r="A229" s="224"/>
      <c r="B229" s="172"/>
      <c r="D229" s="85"/>
      <c r="E229" s="85"/>
      <c r="H229" s="116"/>
      <c r="T229">
        <v>0</v>
      </c>
      <c r="Z229" s="21" t="s">
        <v>133</v>
      </c>
      <c r="AA229" s="21" t="s">
        <v>145</v>
      </c>
    </row>
    <row r="230" spans="1:27" x14ac:dyDescent="0.2">
      <c r="A230" s="224"/>
      <c r="B230" s="172"/>
      <c r="D230" s="85"/>
      <c r="E230" s="85"/>
      <c r="H230" s="116"/>
      <c r="T230">
        <v>0</v>
      </c>
      <c r="Z230" s="21" t="s">
        <v>133</v>
      </c>
      <c r="AA230" s="21" t="s">
        <v>145</v>
      </c>
    </row>
    <row r="231" spans="1:27" x14ac:dyDescent="0.2">
      <c r="A231" s="224"/>
      <c r="B231" s="172"/>
      <c r="D231" s="85"/>
      <c r="E231" s="85"/>
      <c r="H231" s="116"/>
      <c r="T231">
        <v>0</v>
      </c>
      <c r="Z231" s="21" t="s">
        <v>133</v>
      </c>
      <c r="AA231" s="21" t="s">
        <v>145</v>
      </c>
    </row>
    <row r="232" spans="1:27" x14ac:dyDescent="0.2">
      <c r="A232" s="224"/>
      <c r="B232" s="172"/>
      <c r="D232" s="85"/>
      <c r="E232" s="85"/>
      <c r="H232" s="116"/>
      <c r="T232">
        <v>0</v>
      </c>
      <c r="Z232" s="21" t="s">
        <v>133</v>
      </c>
      <c r="AA232" s="21" t="s">
        <v>145</v>
      </c>
    </row>
    <row r="233" spans="1:27" x14ac:dyDescent="0.2">
      <c r="A233" s="224"/>
      <c r="B233" s="172"/>
      <c r="D233" s="85"/>
      <c r="E233" s="85"/>
      <c r="H233" s="116"/>
      <c r="T233">
        <v>0</v>
      </c>
      <c r="Z233" s="21" t="s">
        <v>133</v>
      </c>
      <c r="AA233" s="21" t="s">
        <v>145</v>
      </c>
    </row>
    <row r="234" spans="1:27" x14ac:dyDescent="0.2">
      <c r="A234" s="224"/>
      <c r="B234" s="172"/>
      <c r="D234" s="85"/>
      <c r="E234" s="85"/>
      <c r="H234" s="116"/>
      <c r="T234">
        <v>0</v>
      </c>
      <c r="Z234" s="21" t="s">
        <v>133</v>
      </c>
      <c r="AA234" s="21" t="s">
        <v>145</v>
      </c>
    </row>
    <row r="235" spans="1:27" x14ac:dyDescent="0.2">
      <c r="A235" s="224"/>
      <c r="B235" s="172"/>
      <c r="D235" s="85"/>
      <c r="E235" s="85"/>
      <c r="H235" s="116"/>
      <c r="T235">
        <v>0</v>
      </c>
      <c r="Z235" s="21" t="s">
        <v>133</v>
      </c>
      <c r="AA235" s="21" t="s">
        <v>145</v>
      </c>
    </row>
    <row r="236" spans="1:27" x14ac:dyDescent="0.2">
      <c r="A236" s="224"/>
      <c r="B236" s="172"/>
      <c r="D236" s="85"/>
      <c r="E236" s="85"/>
      <c r="H236" s="116"/>
      <c r="T236">
        <v>0</v>
      </c>
      <c r="Z236" s="21" t="s">
        <v>133</v>
      </c>
      <c r="AA236" s="21" t="s">
        <v>145</v>
      </c>
    </row>
    <row r="237" spans="1:27" x14ac:dyDescent="0.2">
      <c r="A237" s="224"/>
      <c r="B237" s="172"/>
      <c r="D237" s="85"/>
      <c r="E237" s="85"/>
      <c r="H237" s="116"/>
      <c r="T237">
        <v>0</v>
      </c>
      <c r="Z237" s="21" t="s">
        <v>133</v>
      </c>
      <c r="AA237" s="21" t="s">
        <v>145</v>
      </c>
    </row>
    <row r="238" spans="1:27" x14ac:dyDescent="0.2">
      <c r="A238" s="224"/>
      <c r="B238" s="172"/>
      <c r="D238" s="85"/>
      <c r="E238" s="85"/>
      <c r="H238" s="116"/>
      <c r="T238">
        <v>0</v>
      </c>
      <c r="Z238" s="21" t="s">
        <v>133</v>
      </c>
      <c r="AA238" s="21" t="s">
        <v>145</v>
      </c>
    </row>
    <row r="239" spans="1:27" x14ac:dyDescent="0.2">
      <c r="A239" s="224"/>
      <c r="B239" s="172"/>
      <c r="D239" s="85"/>
      <c r="E239" s="85"/>
      <c r="H239" s="116"/>
      <c r="T239">
        <v>0</v>
      </c>
      <c r="Z239" s="21" t="s">
        <v>133</v>
      </c>
      <c r="AA239" s="21" t="s">
        <v>145</v>
      </c>
    </row>
    <row r="240" spans="1:27" x14ac:dyDescent="0.2">
      <c r="A240" s="224"/>
      <c r="B240" s="172"/>
      <c r="D240" s="85"/>
      <c r="E240" s="85"/>
      <c r="H240" s="116"/>
      <c r="T240">
        <v>0</v>
      </c>
      <c r="Z240" s="21" t="s">
        <v>133</v>
      </c>
      <c r="AA240" s="21" t="s">
        <v>145</v>
      </c>
    </row>
    <row r="241" spans="1:27" x14ac:dyDescent="0.2">
      <c r="A241" s="224"/>
      <c r="B241" s="172"/>
      <c r="D241" s="85"/>
      <c r="E241" s="85"/>
      <c r="H241" s="116"/>
      <c r="T241">
        <v>0</v>
      </c>
      <c r="Z241" s="21" t="s">
        <v>133</v>
      </c>
      <c r="AA241" s="21" t="s">
        <v>145</v>
      </c>
    </row>
    <row r="242" spans="1:27" x14ac:dyDescent="0.2">
      <c r="A242" s="224"/>
      <c r="B242" s="172"/>
      <c r="D242" s="85"/>
      <c r="E242" s="85"/>
      <c r="H242" s="116"/>
      <c r="T242">
        <v>0</v>
      </c>
      <c r="Z242" s="21" t="s">
        <v>133</v>
      </c>
      <c r="AA242" s="21" t="s">
        <v>145</v>
      </c>
    </row>
    <row r="243" spans="1:27" x14ac:dyDescent="0.2">
      <c r="A243" s="224"/>
      <c r="B243" s="172"/>
      <c r="D243" s="85"/>
      <c r="E243" s="85"/>
      <c r="H243" s="116"/>
      <c r="T243">
        <v>0</v>
      </c>
      <c r="Z243" s="21" t="s">
        <v>133</v>
      </c>
      <c r="AA243" s="21" t="s">
        <v>145</v>
      </c>
    </row>
    <row r="244" spans="1:27" x14ac:dyDescent="0.2">
      <c r="A244" s="224"/>
      <c r="B244" s="172"/>
      <c r="D244" s="85"/>
      <c r="E244" s="85"/>
      <c r="H244" s="116"/>
      <c r="T244">
        <v>0</v>
      </c>
      <c r="Z244" s="21" t="s">
        <v>133</v>
      </c>
      <c r="AA244" s="21" t="s">
        <v>145</v>
      </c>
    </row>
    <row r="245" spans="1:27" x14ac:dyDescent="0.2">
      <c r="A245" s="224"/>
      <c r="B245" s="172"/>
      <c r="D245" s="85"/>
      <c r="E245" s="85"/>
      <c r="H245" s="116"/>
      <c r="T245">
        <v>0</v>
      </c>
      <c r="Z245" s="21" t="s">
        <v>133</v>
      </c>
      <c r="AA245" s="21" t="s">
        <v>145</v>
      </c>
    </row>
    <row r="246" spans="1:27" x14ac:dyDescent="0.2">
      <c r="A246" s="224"/>
      <c r="B246" s="172"/>
      <c r="D246" s="85"/>
      <c r="E246" s="85"/>
      <c r="H246" s="116"/>
      <c r="T246">
        <v>0</v>
      </c>
      <c r="Z246" s="21" t="s">
        <v>133</v>
      </c>
      <c r="AA246" s="21" t="s">
        <v>145</v>
      </c>
    </row>
    <row r="247" spans="1:27" x14ac:dyDescent="0.2">
      <c r="A247" s="224"/>
      <c r="B247" s="172"/>
      <c r="D247" s="85"/>
      <c r="E247" s="85"/>
      <c r="H247" s="116"/>
      <c r="T247">
        <v>0</v>
      </c>
      <c r="Z247" s="21" t="s">
        <v>133</v>
      </c>
      <c r="AA247" s="21" t="s">
        <v>145</v>
      </c>
    </row>
    <row r="248" spans="1:27" x14ac:dyDescent="0.2">
      <c r="A248" s="224"/>
      <c r="B248" s="172"/>
      <c r="D248" s="85"/>
      <c r="E248" s="85"/>
      <c r="H248" s="116"/>
      <c r="T248">
        <v>0</v>
      </c>
      <c r="Z248" s="21" t="s">
        <v>133</v>
      </c>
      <c r="AA248" s="21" t="s">
        <v>145</v>
      </c>
    </row>
    <row r="249" spans="1:27" x14ac:dyDescent="0.2">
      <c r="A249" s="224"/>
      <c r="B249" s="172"/>
      <c r="D249" s="85"/>
      <c r="E249" s="85"/>
      <c r="H249" s="116"/>
      <c r="T249">
        <v>0</v>
      </c>
      <c r="Z249" s="21" t="s">
        <v>133</v>
      </c>
      <c r="AA249" s="21" t="s">
        <v>145</v>
      </c>
    </row>
    <row r="250" spans="1:27" x14ac:dyDescent="0.2">
      <c r="A250" s="224"/>
      <c r="B250" s="172"/>
      <c r="D250" s="85"/>
      <c r="E250" s="85"/>
      <c r="H250" s="116"/>
      <c r="T250">
        <v>0</v>
      </c>
      <c r="Z250" s="21" t="s">
        <v>133</v>
      </c>
      <c r="AA250" s="21" t="s">
        <v>145</v>
      </c>
    </row>
    <row r="251" spans="1:27" x14ac:dyDescent="0.2">
      <c r="A251" s="224"/>
      <c r="B251" s="172"/>
      <c r="D251" s="85"/>
      <c r="E251" s="85"/>
      <c r="H251" s="116"/>
      <c r="T251">
        <v>0</v>
      </c>
      <c r="Z251" s="21" t="s">
        <v>133</v>
      </c>
      <c r="AA251" s="21" t="s">
        <v>145</v>
      </c>
    </row>
    <row r="252" spans="1:27" x14ac:dyDescent="0.2">
      <c r="A252" s="224"/>
      <c r="B252" s="172"/>
      <c r="D252" s="85"/>
      <c r="E252" s="85"/>
      <c r="H252" s="116"/>
      <c r="T252">
        <v>0</v>
      </c>
      <c r="Z252" s="21" t="s">
        <v>133</v>
      </c>
      <c r="AA252" s="21" t="s">
        <v>145</v>
      </c>
    </row>
    <row r="253" spans="1:27" x14ac:dyDescent="0.2">
      <c r="A253" s="224"/>
      <c r="B253" s="172"/>
      <c r="D253" s="85"/>
      <c r="E253" s="85"/>
      <c r="H253" s="116"/>
      <c r="T253">
        <v>0</v>
      </c>
      <c r="Z253" s="21" t="s">
        <v>133</v>
      </c>
      <c r="AA253" s="21" t="s">
        <v>145</v>
      </c>
    </row>
    <row r="254" spans="1:27" x14ac:dyDescent="0.2">
      <c r="A254" s="224"/>
      <c r="B254" s="172"/>
      <c r="D254" s="85"/>
      <c r="E254" s="85"/>
      <c r="H254" s="116"/>
      <c r="T254">
        <v>0</v>
      </c>
      <c r="Z254" s="21" t="s">
        <v>133</v>
      </c>
      <c r="AA254" s="21" t="s">
        <v>145</v>
      </c>
    </row>
    <row r="255" spans="1:27" x14ac:dyDescent="0.2">
      <c r="A255" s="224"/>
      <c r="B255" s="172"/>
      <c r="D255" s="85"/>
      <c r="E255" s="85"/>
      <c r="H255" s="116"/>
      <c r="T255">
        <v>0</v>
      </c>
      <c r="Z255" s="21" t="s">
        <v>133</v>
      </c>
      <c r="AA255" s="21" t="s">
        <v>145</v>
      </c>
    </row>
    <row r="256" spans="1:27" x14ac:dyDescent="0.2">
      <c r="A256" s="224"/>
      <c r="B256" s="172"/>
      <c r="D256" s="85"/>
      <c r="E256" s="85"/>
      <c r="H256" s="116"/>
      <c r="T256">
        <v>0</v>
      </c>
      <c r="Z256" s="21" t="s">
        <v>133</v>
      </c>
      <c r="AA256" s="21" t="s">
        <v>145</v>
      </c>
    </row>
    <row r="257" spans="1:27" x14ac:dyDescent="0.2">
      <c r="A257" s="224"/>
      <c r="B257" s="172"/>
      <c r="D257" s="85"/>
      <c r="E257" s="85"/>
      <c r="H257" s="116"/>
      <c r="T257">
        <v>0</v>
      </c>
      <c r="Z257" s="21" t="s">
        <v>133</v>
      </c>
      <c r="AA257" s="21" t="s">
        <v>145</v>
      </c>
    </row>
    <row r="258" spans="1:27" x14ac:dyDescent="0.2">
      <c r="A258" s="224"/>
      <c r="B258" s="172"/>
      <c r="D258" s="85"/>
      <c r="E258" s="85"/>
      <c r="H258" s="116"/>
      <c r="T258">
        <v>0</v>
      </c>
      <c r="Z258" s="21" t="s">
        <v>133</v>
      </c>
      <c r="AA258" s="21" t="s">
        <v>145</v>
      </c>
    </row>
    <row r="259" spans="1:27" x14ac:dyDescent="0.2">
      <c r="A259" s="224"/>
      <c r="B259" s="172"/>
      <c r="D259" s="85"/>
      <c r="E259" s="85"/>
      <c r="H259" s="116"/>
      <c r="T259">
        <v>0</v>
      </c>
      <c r="Z259" s="21" t="s">
        <v>133</v>
      </c>
      <c r="AA259" s="21" t="s">
        <v>145</v>
      </c>
    </row>
    <row r="260" spans="1:27" x14ac:dyDescent="0.2">
      <c r="A260" s="224"/>
      <c r="B260" s="172"/>
      <c r="D260" s="85"/>
      <c r="E260" s="85"/>
      <c r="H260" s="116"/>
      <c r="T260">
        <v>0</v>
      </c>
      <c r="Z260" s="21" t="s">
        <v>133</v>
      </c>
      <c r="AA260" s="21" t="s">
        <v>145</v>
      </c>
    </row>
    <row r="261" spans="1:27" x14ac:dyDescent="0.2">
      <c r="A261" s="224"/>
      <c r="B261" s="172"/>
      <c r="D261" s="85"/>
      <c r="E261" s="85"/>
      <c r="H261" s="116"/>
      <c r="T261">
        <v>0</v>
      </c>
      <c r="Z261" s="21" t="s">
        <v>133</v>
      </c>
      <c r="AA261" s="21" t="s">
        <v>145</v>
      </c>
    </row>
    <row r="262" spans="1:27" x14ac:dyDescent="0.2">
      <c r="A262" s="224"/>
      <c r="B262" s="172"/>
      <c r="D262" s="85"/>
      <c r="E262" s="85"/>
      <c r="H262" s="116"/>
      <c r="T262">
        <v>0</v>
      </c>
      <c r="Z262" s="21" t="s">
        <v>133</v>
      </c>
      <c r="AA262" s="21" t="s">
        <v>145</v>
      </c>
    </row>
    <row r="263" spans="1:27" x14ac:dyDescent="0.2">
      <c r="A263" s="224"/>
      <c r="B263" s="172"/>
      <c r="D263" s="85"/>
      <c r="E263" s="85"/>
      <c r="H263" s="116"/>
    </row>
    <row r="264" spans="1:27" x14ac:dyDescent="0.2">
      <c r="A264" s="224"/>
      <c r="B264" s="172"/>
      <c r="D264" s="85"/>
      <c r="E264" s="85"/>
      <c r="H264" s="116"/>
    </row>
    <row r="265" spans="1:27" x14ac:dyDescent="0.2">
      <c r="A265" s="224"/>
      <c r="B265" s="172"/>
      <c r="D265" s="85"/>
      <c r="E265" s="85"/>
      <c r="H265" s="116"/>
    </row>
    <row r="266" spans="1:27" x14ac:dyDescent="0.2">
      <c r="A266" s="224"/>
      <c r="B266" s="172"/>
      <c r="D266" s="85"/>
      <c r="E266" s="85"/>
      <c r="H266" s="116"/>
    </row>
    <row r="267" spans="1:27" x14ac:dyDescent="0.2">
      <c r="A267" s="224"/>
      <c r="B267" s="172"/>
      <c r="D267" s="85"/>
      <c r="E267" s="85"/>
      <c r="H267" s="116"/>
    </row>
    <row r="268" spans="1:27" x14ac:dyDescent="0.2">
      <c r="A268" s="224"/>
      <c r="B268" s="172"/>
      <c r="D268" s="85"/>
      <c r="E268" s="85"/>
      <c r="H268" s="116"/>
    </row>
    <row r="269" spans="1:27" x14ac:dyDescent="0.2">
      <c r="A269" s="224"/>
      <c r="B269" s="172"/>
      <c r="D269" s="85"/>
      <c r="E269" s="85"/>
      <c r="H269" s="116"/>
    </row>
    <row r="270" spans="1:27" x14ac:dyDescent="0.2">
      <c r="A270" s="224"/>
      <c r="B270" s="172"/>
      <c r="D270" s="85"/>
      <c r="E270" s="85"/>
      <c r="H270" s="116"/>
    </row>
    <row r="271" spans="1:27" x14ac:dyDescent="0.2">
      <c r="A271" s="224"/>
      <c r="B271" s="172"/>
      <c r="D271" s="85"/>
      <c r="E271" s="85"/>
      <c r="H271" s="116"/>
    </row>
    <row r="272" spans="1:27" x14ac:dyDescent="0.2">
      <c r="A272" s="224"/>
      <c r="B272" s="172"/>
      <c r="D272" s="85"/>
      <c r="E272" s="85"/>
      <c r="H272" s="116"/>
    </row>
    <row r="273" spans="1:8" x14ac:dyDescent="0.2">
      <c r="A273" s="224"/>
      <c r="B273" s="172"/>
      <c r="D273" s="85"/>
      <c r="E273" s="85"/>
      <c r="H273" s="116"/>
    </row>
    <row r="274" spans="1:8" x14ac:dyDescent="0.2">
      <c r="A274" s="224"/>
      <c r="B274" s="172"/>
      <c r="D274" s="85"/>
      <c r="E274" s="85"/>
      <c r="H274" s="116"/>
    </row>
    <row r="275" spans="1:8" x14ac:dyDescent="0.2">
      <c r="A275" s="224"/>
      <c r="B275" s="172"/>
      <c r="D275" s="85"/>
      <c r="E275" s="85"/>
      <c r="H275" s="116"/>
    </row>
    <row r="276" spans="1:8" x14ac:dyDescent="0.2">
      <c r="A276" s="224"/>
      <c r="B276" s="172"/>
      <c r="D276" s="85"/>
      <c r="E276" s="85"/>
      <c r="H276" s="116"/>
    </row>
    <row r="277" spans="1:8" x14ac:dyDescent="0.2">
      <c r="A277" s="224"/>
      <c r="B277" s="172"/>
      <c r="D277" s="85"/>
      <c r="E277" s="85"/>
      <c r="H277" s="116"/>
    </row>
    <row r="278" spans="1:8" x14ac:dyDescent="0.2">
      <c r="A278" s="224"/>
      <c r="B278" s="172"/>
      <c r="D278" s="85"/>
      <c r="E278" s="85"/>
      <c r="H278" s="116"/>
    </row>
    <row r="279" spans="1:8" x14ac:dyDescent="0.2">
      <c r="A279" s="224"/>
      <c r="B279" s="172"/>
      <c r="D279" s="85"/>
      <c r="E279" s="85"/>
      <c r="H279" s="116"/>
    </row>
    <row r="280" spans="1:8" x14ac:dyDescent="0.2">
      <c r="A280" s="224"/>
      <c r="B280" s="172"/>
      <c r="D280" s="85"/>
      <c r="E280" s="85"/>
      <c r="H280" s="116"/>
    </row>
    <row r="281" spans="1:8" x14ac:dyDescent="0.2">
      <c r="A281" s="224"/>
      <c r="B281" s="172"/>
      <c r="D281" s="85"/>
      <c r="E281" s="85"/>
      <c r="H281" s="116"/>
    </row>
    <row r="282" spans="1:8" x14ac:dyDescent="0.2">
      <c r="A282" s="224"/>
      <c r="B282" s="172"/>
      <c r="D282" s="85"/>
      <c r="E282" s="85"/>
      <c r="H282" s="116"/>
    </row>
    <row r="283" spans="1:8" x14ac:dyDescent="0.2">
      <c r="A283" s="224"/>
      <c r="B283" s="172"/>
      <c r="D283" s="85"/>
      <c r="E283" s="85"/>
      <c r="H283" s="116"/>
    </row>
    <row r="284" spans="1:8" x14ac:dyDescent="0.2">
      <c r="A284" s="224"/>
      <c r="B284" s="172"/>
      <c r="D284" s="85"/>
      <c r="E284" s="85"/>
      <c r="H284" s="116"/>
    </row>
    <row r="285" spans="1:8" x14ac:dyDescent="0.2">
      <c r="A285" s="224"/>
      <c r="B285" s="172"/>
      <c r="D285" s="85"/>
      <c r="E285" s="85"/>
      <c r="H285" s="116"/>
    </row>
    <row r="286" spans="1:8" x14ac:dyDescent="0.2">
      <c r="A286" s="224"/>
      <c r="B286" s="172"/>
      <c r="D286" s="85"/>
      <c r="E286" s="85"/>
      <c r="H286" s="116"/>
    </row>
    <row r="287" spans="1:8" x14ac:dyDescent="0.2">
      <c r="A287" s="224"/>
      <c r="B287" s="172"/>
      <c r="D287" s="85"/>
      <c r="E287" s="85"/>
      <c r="H287" s="116"/>
    </row>
    <row r="288" spans="1:8" x14ac:dyDescent="0.2">
      <c r="A288" s="224"/>
      <c r="B288" s="172"/>
      <c r="D288" s="85"/>
      <c r="E288" s="85"/>
      <c r="H288" s="116"/>
    </row>
    <row r="289" spans="1:8" x14ac:dyDescent="0.2">
      <c r="A289" s="224"/>
      <c r="B289" s="172"/>
      <c r="D289" s="85"/>
      <c r="E289" s="85"/>
      <c r="H289" s="116"/>
    </row>
    <row r="290" spans="1:8" x14ac:dyDescent="0.2">
      <c r="A290" s="224"/>
      <c r="B290" s="172"/>
      <c r="D290" s="85"/>
      <c r="E290" s="85"/>
      <c r="H290" s="116"/>
    </row>
    <row r="291" spans="1:8" x14ac:dyDescent="0.2">
      <c r="A291" s="224"/>
      <c r="B291" s="172"/>
      <c r="D291" s="85"/>
      <c r="E291" s="85"/>
      <c r="H291" s="116"/>
    </row>
    <row r="292" spans="1:8" x14ac:dyDescent="0.2">
      <c r="A292" s="224"/>
      <c r="B292" s="172"/>
      <c r="D292" s="85"/>
      <c r="E292" s="85"/>
      <c r="H292" s="116"/>
    </row>
    <row r="293" spans="1:8" x14ac:dyDescent="0.2">
      <c r="A293" s="224"/>
      <c r="B293" s="172"/>
      <c r="D293" s="85"/>
      <c r="E293" s="85"/>
      <c r="H293" s="116"/>
    </row>
    <row r="294" spans="1:8" x14ac:dyDescent="0.2">
      <c r="A294" s="224"/>
      <c r="B294" s="172"/>
      <c r="D294" s="85"/>
      <c r="E294" s="85"/>
      <c r="H294" s="116"/>
    </row>
    <row r="295" spans="1:8" x14ac:dyDescent="0.2">
      <c r="A295" s="224"/>
      <c r="B295" s="172"/>
      <c r="D295" s="85"/>
      <c r="E295" s="85"/>
      <c r="H295" s="116"/>
    </row>
    <row r="296" spans="1:8" x14ac:dyDescent="0.2">
      <c r="A296" s="224"/>
      <c r="B296" s="172"/>
      <c r="D296" s="85"/>
      <c r="E296" s="85"/>
      <c r="H296" s="116"/>
    </row>
    <row r="297" spans="1:8" x14ac:dyDescent="0.2">
      <c r="A297" s="224"/>
      <c r="B297" s="172"/>
      <c r="D297" s="85"/>
      <c r="E297" s="85"/>
      <c r="H297" s="116"/>
    </row>
    <row r="298" spans="1:8" x14ac:dyDescent="0.2">
      <c r="A298" s="224"/>
      <c r="B298" s="172"/>
      <c r="D298" s="85"/>
      <c r="E298" s="85"/>
      <c r="H298" s="116"/>
    </row>
    <row r="299" spans="1:8" x14ac:dyDescent="0.2">
      <c r="A299" s="224"/>
      <c r="B299" s="172"/>
      <c r="D299" s="85"/>
      <c r="E299" s="85"/>
      <c r="H299" s="116"/>
    </row>
    <row r="300" spans="1:8" x14ac:dyDescent="0.2">
      <c r="A300" s="224"/>
      <c r="B300" s="172"/>
      <c r="D300" s="85"/>
      <c r="E300" s="85"/>
      <c r="H300" s="116"/>
    </row>
    <row r="301" spans="1:8" x14ac:dyDescent="0.2">
      <c r="A301" s="224"/>
      <c r="B301" s="172"/>
      <c r="D301" s="85"/>
      <c r="E301" s="85"/>
      <c r="H301" s="116"/>
    </row>
    <row r="302" spans="1:8" x14ac:dyDescent="0.2">
      <c r="A302" s="224"/>
      <c r="B302" s="172"/>
      <c r="D302" s="85"/>
      <c r="E302" s="85"/>
      <c r="H302" s="116"/>
    </row>
    <row r="303" spans="1:8" x14ac:dyDescent="0.2">
      <c r="A303" s="224"/>
      <c r="B303" s="172"/>
      <c r="D303" s="85"/>
      <c r="E303" s="85"/>
      <c r="H303" s="116"/>
    </row>
    <row r="304" spans="1:8" x14ac:dyDescent="0.2">
      <c r="A304" s="224"/>
      <c r="B304" s="172"/>
      <c r="D304" s="85"/>
      <c r="E304" s="85"/>
      <c r="H304" s="116"/>
    </row>
    <row r="305" spans="1:8" x14ac:dyDescent="0.2">
      <c r="A305" s="224"/>
      <c r="B305" s="172"/>
      <c r="D305" s="85"/>
      <c r="E305" s="85"/>
      <c r="H305" s="116"/>
    </row>
    <row r="306" spans="1:8" x14ac:dyDescent="0.2">
      <c r="A306" s="224"/>
      <c r="B306" s="172"/>
      <c r="D306" s="85"/>
      <c r="E306" s="85"/>
      <c r="H306" s="116"/>
    </row>
    <row r="307" spans="1:8" x14ac:dyDescent="0.2">
      <c r="A307" s="224"/>
      <c r="B307" s="172"/>
      <c r="D307" s="85"/>
      <c r="E307" s="85"/>
      <c r="H307" s="116"/>
    </row>
    <row r="308" spans="1:8" x14ac:dyDescent="0.2">
      <c r="A308" s="224"/>
      <c r="B308" s="172"/>
      <c r="D308" s="85"/>
      <c r="E308" s="85"/>
      <c r="H308" s="116"/>
    </row>
    <row r="309" spans="1:8" x14ac:dyDescent="0.2">
      <c r="A309" s="224"/>
      <c r="B309" s="172"/>
      <c r="D309" s="85"/>
      <c r="E309" s="85"/>
      <c r="H309" s="116"/>
    </row>
    <row r="310" spans="1:8" x14ac:dyDescent="0.2">
      <c r="A310" s="224"/>
      <c r="B310" s="172"/>
      <c r="D310" s="85"/>
      <c r="E310" s="85"/>
      <c r="H310" s="116"/>
    </row>
    <row r="311" spans="1:8" x14ac:dyDescent="0.2">
      <c r="A311" s="224"/>
      <c r="B311" s="172"/>
      <c r="D311" s="85"/>
      <c r="E311" s="85"/>
      <c r="H311" s="116"/>
    </row>
    <row r="312" spans="1:8" x14ac:dyDescent="0.2">
      <c r="A312" s="224"/>
      <c r="B312" s="172"/>
      <c r="D312" s="85"/>
      <c r="E312" s="85"/>
      <c r="H312" s="116"/>
    </row>
    <row r="313" spans="1:8" x14ac:dyDescent="0.2">
      <c r="A313" s="224"/>
      <c r="B313" s="172"/>
      <c r="D313" s="85"/>
      <c r="E313" s="85"/>
      <c r="H313" s="116"/>
    </row>
    <row r="314" spans="1:8" x14ac:dyDescent="0.2">
      <c r="A314" s="224"/>
      <c r="B314" s="172"/>
      <c r="D314" s="85"/>
      <c r="E314" s="85"/>
      <c r="H314" s="116"/>
    </row>
    <row r="315" spans="1:8" x14ac:dyDescent="0.2">
      <c r="A315" s="224"/>
      <c r="B315" s="172"/>
      <c r="D315" s="85"/>
      <c r="E315" s="85"/>
      <c r="H315" s="116"/>
    </row>
    <row r="316" spans="1:8" x14ac:dyDescent="0.2">
      <c r="A316" s="224"/>
      <c r="B316" s="172"/>
      <c r="D316" s="85"/>
      <c r="E316" s="85"/>
      <c r="H316" s="116"/>
    </row>
    <row r="317" spans="1:8" x14ac:dyDescent="0.2">
      <c r="A317" s="224"/>
      <c r="B317" s="172"/>
      <c r="D317" s="85"/>
      <c r="E317" s="85"/>
      <c r="H317" s="116"/>
    </row>
    <row r="318" spans="1:8" x14ac:dyDescent="0.2">
      <c r="A318" s="224"/>
      <c r="B318" s="172"/>
      <c r="D318" s="85"/>
      <c r="E318" s="85"/>
      <c r="H318" s="116"/>
    </row>
    <row r="319" spans="1:8" x14ac:dyDescent="0.2">
      <c r="A319" s="224"/>
      <c r="B319" s="172"/>
      <c r="D319" s="85"/>
      <c r="E319" s="85"/>
      <c r="H319" s="116"/>
    </row>
    <row r="320" spans="1:8" x14ac:dyDescent="0.2">
      <c r="A320" s="224"/>
      <c r="B320" s="172"/>
      <c r="D320" s="85"/>
      <c r="E320" s="85"/>
      <c r="H320" s="116"/>
    </row>
    <row r="321" spans="1:25" s="21" customFormat="1" x14ac:dyDescent="0.2">
      <c r="A321" s="224"/>
      <c r="B321" s="172"/>
      <c r="C321" s="80"/>
      <c r="D321" s="85"/>
      <c r="E321" s="85"/>
      <c r="F321"/>
      <c r="G321"/>
      <c r="H321" s="116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x14ac:dyDescent="0.2">
      <c r="A322" s="224"/>
      <c r="H322" s="116"/>
    </row>
    <row r="323" spans="1:25" x14ac:dyDescent="0.2">
      <c r="A323" s="224"/>
      <c r="H323" s="116"/>
    </row>
    <row r="324" spans="1:25" x14ac:dyDescent="0.2">
      <c r="A324" s="224"/>
      <c r="H324" s="116"/>
    </row>
    <row r="325" spans="1:25" x14ac:dyDescent="0.2">
      <c r="A325" s="224"/>
      <c r="H325" s="116"/>
    </row>
    <row r="326" spans="1:25" x14ac:dyDescent="0.2">
      <c r="A326" s="224"/>
      <c r="H326" s="116"/>
    </row>
    <row r="327" spans="1:25" x14ac:dyDescent="0.2">
      <c r="A327" s="224"/>
      <c r="H327" s="116"/>
    </row>
    <row r="328" spans="1:25" x14ac:dyDescent="0.2">
      <c r="A328" s="224"/>
      <c r="H328" s="116"/>
    </row>
    <row r="329" spans="1:25" x14ac:dyDescent="0.2">
      <c r="A329" s="224"/>
      <c r="H329" s="116"/>
    </row>
    <row r="330" spans="1:25" x14ac:dyDescent="0.2">
      <c r="A330" s="224"/>
      <c r="H330" s="116"/>
    </row>
    <row r="331" spans="1:25" x14ac:dyDescent="0.2">
      <c r="A331" s="224"/>
      <c r="H331" s="116"/>
    </row>
    <row r="332" spans="1:25" x14ac:dyDescent="0.2">
      <c r="A332" s="224"/>
      <c r="H332" s="116"/>
    </row>
    <row r="333" spans="1:25" x14ac:dyDescent="0.2">
      <c r="A333" s="224"/>
      <c r="H333" s="116"/>
    </row>
    <row r="334" spans="1:25" x14ac:dyDescent="0.2">
      <c r="A334" s="224"/>
      <c r="H334" s="116"/>
    </row>
    <row r="335" spans="1:25" x14ac:dyDescent="0.2">
      <c r="A335" s="224"/>
      <c r="H335" s="116"/>
    </row>
    <row r="336" spans="1:25" x14ac:dyDescent="0.2">
      <c r="A336" s="224"/>
      <c r="H336" s="116"/>
    </row>
    <row r="337" spans="1:8" x14ac:dyDescent="0.2">
      <c r="A337" s="224"/>
      <c r="H337" s="116"/>
    </row>
    <row r="338" spans="1:8" x14ac:dyDescent="0.2">
      <c r="A338" s="224"/>
      <c r="H338" s="116"/>
    </row>
    <row r="339" spans="1:8" x14ac:dyDescent="0.2">
      <c r="A339" s="224"/>
      <c r="H339" s="116"/>
    </row>
    <row r="340" spans="1:8" x14ac:dyDescent="0.2">
      <c r="A340" s="224"/>
      <c r="H340" s="116"/>
    </row>
    <row r="341" spans="1:8" x14ac:dyDescent="0.2">
      <c r="A341" s="224"/>
    </row>
    <row r="342" spans="1:8" x14ac:dyDescent="0.2">
      <c r="A342" s="224"/>
    </row>
    <row r="343" spans="1:8" x14ac:dyDescent="0.2">
      <c r="A343" s="224"/>
    </row>
    <row r="344" spans="1:8" x14ac:dyDescent="0.2">
      <c r="A344" s="224"/>
    </row>
    <row r="345" spans="1:8" x14ac:dyDescent="0.2">
      <c r="A345" s="224"/>
    </row>
    <row r="346" spans="1:8" x14ac:dyDescent="0.2">
      <c r="A346" s="224"/>
    </row>
    <row r="347" spans="1:8" x14ac:dyDescent="0.2">
      <c r="A347" s="224"/>
    </row>
    <row r="348" spans="1:8" x14ac:dyDescent="0.2">
      <c r="A348" s="224"/>
    </row>
    <row r="349" spans="1:8" x14ac:dyDescent="0.2">
      <c r="A349" s="224"/>
    </row>
    <row r="350" spans="1:8" x14ac:dyDescent="0.2">
      <c r="A350" s="224"/>
    </row>
    <row r="351" spans="1:8" x14ac:dyDescent="0.2">
      <c r="A351" s="224"/>
    </row>
    <row r="352" spans="1:8" x14ac:dyDescent="0.2">
      <c r="A352" s="224"/>
    </row>
    <row r="353" spans="1:1" x14ac:dyDescent="0.2">
      <c r="A353" s="224"/>
    </row>
    <row r="354" spans="1:1" x14ac:dyDescent="0.2">
      <c r="A354" s="224"/>
    </row>
    <row r="355" spans="1:1" x14ac:dyDescent="0.2">
      <c r="A355" s="224"/>
    </row>
    <row r="356" spans="1:1" x14ac:dyDescent="0.2">
      <c r="A356" s="224"/>
    </row>
    <row r="357" spans="1:1" x14ac:dyDescent="0.2">
      <c r="A357" s="224"/>
    </row>
    <row r="358" spans="1:1" x14ac:dyDescent="0.2">
      <c r="A358" s="224"/>
    </row>
    <row r="359" spans="1:1" x14ac:dyDescent="0.2">
      <c r="A359" s="224"/>
    </row>
    <row r="360" spans="1:1" x14ac:dyDescent="0.2">
      <c r="A360" s="224"/>
    </row>
    <row r="361" spans="1:1" x14ac:dyDescent="0.2">
      <c r="A361" s="224"/>
    </row>
    <row r="362" spans="1:1" x14ac:dyDescent="0.2">
      <c r="A362" s="224"/>
    </row>
    <row r="363" spans="1:1" x14ac:dyDescent="0.2">
      <c r="A363" s="224"/>
    </row>
    <row r="364" spans="1:1" x14ac:dyDescent="0.2">
      <c r="A364" s="224"/>
    </row>
    <row r="365" spans="1:1" x14ac:dyDescent="0.2">
      <c r="A365" s="224"/>
    </row>
    <row r="366" spans="1:1" x14ac:dyDescent="0.2">
      <c r="A366" s="224"/>
    </row>
    <row r="367" spans="1:1" x14ac:dyDescent="0.2">
      <c r="A367" s="224"/>
    </row>
    <row r="368" spans="1:1" x14ac:dyDescent="0.2">
      <c r="A368" s="224"/>
    </row>
    <row r="369" spans="1:1" x14ac:dyDescent="0.2">
      <c r="A369" s="224"/>
    </row>
    <row r="370" spans="1:1" x14ac:dyDescent="0.2">
      <c r="A370" s="224"/>
    </row>
    <row r="371" spans="1:1" x14ac:dyDescent="0.2">
      <c r="A371" s="224"/>
    </row>
    <row r="372" spans="1:1" x14ac:dyDescent="0.2">
      <c r="A372" s="224"/>
    </row>
    <row r="373" spans="1:1" x14ac:dyDescent="0.2">
      <c r="A373" s="224"/>
    </row>
    <row r="374" spans="1:1" x14ac:dyDescent="0.2">
      <c r="A374" s="224"/>
    </row>
    <row r="375" spans="1:1" x14ac:dyDescent="0.2">
      <c r="A375" s="224"/>
    </row>
    <row r="376" spans="1:1" x14ac:dyDescent="0.2">
      <c r="A376" s="224"/>
    </row>
    <row r="377" spans="1:1" x14ac:dyDescent="0.2">
      <c r="A377" s="224"/>
    </row>
    <row r="378" spans="1:1" x14ac:dyDescent="0.2">
      <c r="A378" s="224"/>
    </row>
    <row r="379" spans="1:1" x14ac:dyDescent="0.2">
      <c r="A379" s="224"/>
    </row>
    <row r="380" spans="1:1" x14ac:dyDescent="0.2">
      <c r="A380" s="224"/>
    </row>
    <row r="381" spans="1:1" x14ac:dyDescent="0.2">
      <c r="A381" s="224"/>
    </row>
    <row r="382" spans="1:1" x14ac:dyDescent="0.2">
      <c r="A382" s="224"/>
    </row>
    <row r="383" spans="1:1" x14ac:dyDescent="0.2">
      <c r="A383" s="224"/>
    </row>
    <row r="384" spans="1:1" x14ac:dyDescent="0.2">
      <c r="A384" s="224"/>
    </row>
    <row r="385" spans="1:1" x14ac:dyDescent="0.2">
      <c r="A385" s="224"/>
    </row>
    <row r="386" spans="1:1" x14ac:dyDescent="0.2">
      <c r="A386" s="224"/>
    </row>
    <row r="387" spans="1:1" x14ac:dyDescent="0.2">
      <c r="A387" s="224"/>
    </row>
    <row r="388" spans="1:1" x14ac:dyDescent="0.2">
      <c r="A388" s="224"/>
    </row>
    <row r="389" spans="1:1" x14ac:dyDescent="0.2">
      <c r="A389" s="224"/>
    </row>
    <row r="390" spans="1:1" x14ac:dyDescent="0.2">
      <c r="A390" s="224"/>
    </row>
    <row r="391" spans="1:1" x14ac:dyDescent="0.2">
      <c r="A391" s="224"/>
    </row>
    <row r="392" spans="1:1" x14ac:dyDescent="0.2">
      <c r="A392" s="224"/>
    </row>
    <row r="393" spans="1:1" x14ac:dyDescent="0.2">
      <c r="A393" s="224"/>
    </row>
    <row r="394" spans="1:1" x14ac:dyDescent="0.2">
      <c r="A394" s="224"/>
    </row>
    <row r="395" spans="1:1" x14ac:dyDescent="0.2">
      <c r="A395" s="224"/>
    </row>
    <row r="396" spans="1:1" x14ac:dyDescent="0.2">
      <c r="A396" s="224"/>
    </row>
    <row r="397" spans="1:1" x14ac:dyDescent="0.2">
      <c r="A397" s="224"/>
    </row>
    <row r="398" spans="1:1" x14ac:dyDescent="0.2">
      <c r="A398" s="224"/>
    </row>
    <row r="399" spans="1:1" x14ac:dyDescent="0.2">
      <c r="A399" s="224"/>
    </row>
    <row r="400" spans="1:1" x14ac:dyDescent="0.2">
      <c r="A400" s="224"/>
    </row>
    <row r="401" spans="1:1" x14ac:dyDescent="0.2">
      <c r="A401" s="224"/>
    </row>
    <row r="402" spans="1:1" x14ac:dyDescent="0.2">
      <c r="A402" s="224"/>
    </row>
    <row r="403" spans="1:1" x14ac:dyDescent="0.2">
      <c r="A403" s="224"/>
    </row>
    <row r="404" spans="1:1" x14ac:dyDescent="0.2">
      <c r="A404" s="224"/>
    </row>
    <row r="405" spans="1:1" x14ac:dyDescent="0.2">
      <c r="A405" s="224"/>
    </row>
    <row r="406" spans="1:1" x14ac:dyDescent="0.2">
      <c r="A406" s="224"/>
    </row>
    <row r="407" spans="1:1" x14ac:dyDescent="0.2">
      <c r="A407" s="224"/>
    </row>
    <row r="408" spans="1:1" x14ac:dyDescent="0.2">
      <c r="A408" s="224"/>
    </row>
    <row r="409" spans="1:1" x14ac:dyDescent="0.2">
      <c r="A409" s="224"/>
    </row>
    <row r="410" spans="1:1" x14ac:dyDescent="0.2">
      <c r="A410" s="224"/>
    </row>
    <row r="411" spans="1:1" x14ac:dyDescent="0.2">
      <c r="A411" s="224"/>
    </row>
    <row r="412" spans="1:1" x14ac:dyDescent="0.2">
      <c r="A412" s="224"/>
    </row>
    <row r="413" spans="1:1" x14ac:dyDescent="0.2">
      <c r="A413" s="224"/>
    </row>
    <row r="414" spans="1:1" x14ac:dyDescent="0.2">
      <c r="A414" s="224"/>
    </row>
    <row r="415" spans="1:1" x14ac:dyDescent="0.2">
      <c r="A415" s="224"/>
    </row>
    <row r="416" spans="1:1" x14ac:dyDescent="0.2">
      <c r="A416" s="224"/>
    </row>
    <row r="417" spans="1:1" x14ac:dyDescent="0.2">
      <c r="A417" s="224"/>
    </row>
    <row r="418" spans="1:1" x14ac:dyDescent="0.2">
      <c r="A418" s="224"/>
    </row>
    <row r="419" spans="1:1" x14ac:dyDescent="0.2">
      <c r="A419" s="224"/>
    </row>
    <row r="420" spans="1:1" x14ac:dyDescent="0.2">
      <c r="A420" s="224"/>
    </row>
    <row r="421" spans="1:1" x14ac:dyDescent="0.2">
      <c r="A421" s="224"/>
    </row>
    <row r="422" spans="1:1" x14ac:dyDescent="0.2">
      <c r="A422" s="224"/>
    </row>
    <row r="423" spans="1:1" x14ac:dyDescent="0.2">
      <c r="A423" s="224"/>
    </row>
    <row r="424" spans="1:1" x14ac:dyDescent="0.2">
      <c r="A424" s="224"/>
    </row>
    <row r="425" spans="1:1" x14ac:dyDescent="0.2">
      <c r="A425" s="224"/>
    </row>
    <row r="426" spans="1:1" x14ac:dyDescent="0.2">
      <c r="A426" s="224"/>
    </row>
    <row r="427" spans="1:1" x14ac:dyDescent="0.2">
      <c r="A427" s="224"/>
    </row>
    <row r="428" spans="1:1" x14ac:dyDescent="0.2">
      <c r="A428" s="224"/>
    </row>
    <row r="429" spans="1:1" x14ac:dyDescent="0.2">
      <c r="A429" s="224"/>
    </row>
    <row r="430" spans="1:1" x14ac:dyDescent="0.2">
      <c r="A430" s="224"/>
    </row>
    <row r="431" spans="1:1" x14ac:dyDescent="0.2">
      <c r="A431" s="224"/>
    </row>
    <row r="432" spans="1:1" x14ac:dyDescent="0.2">
      <c r="A432" s="224"/>
    </row>
    <row r="433" spans="1:1" x14ac:dyDescent="0.2">
      <c r="A433" s="224"/>
    </row>
    <row r="434" spans="1:1" x14ac:dyDescent="0.2">
      <c r="A434" s="224"/>
    </row>
    <row r="435" spans="1:1" x14ac:dyDescent="0.2">
      <c r="A435" s="224"/>
    </row>
    <row r="436" spans="1:1" x14ac:dyDescent="0.2">
      <c r="A436" s="224"/>
    </row>
    <row r="437" spans="1:1" x14ac:dyDescent="0.2">
      <c r="A437" s="224"/>
    </row>
    <row r="438" spans="1:1" x14ac:dyDescent="0.2">
      <c r="A438" s="224"/>
    </row>
    <row r="439" spans="1:1" x14ac:dyDescent="0.2">
      <c r="A439" s="224"/>
    </row>
    <row r="440" spans="1:1" x14ac:dyDescent="0.2">
      <c r="A440" s="224"/>
    </row>
    <row r="441" spans="1:1" x14ac:dyDescent="0.2">
      <c r="A441" s="224"/>
    </row>
    <row r="442" spans="1:1" x14ac:dyDescent="0.2">
      <c r="A442" s="224"/>
    </row>
    <row r="443" spans="1:1" x14ac:dyDescent="0.2">
      <c r="A443" s="224"/>
    </row>
    <row r="444" spans="1:1" x14ac:dyDescent="0.2">
      <c r="A444" s="224"/>
    </row>
    <row r="445" spans="1:1" x14ac:dyDescent="0.2">
      <c r="A445" s="224"/>
    </row>
    <row r="446" spans="1:1" x14ac:dyDescent="0.2">
      <c r="A446" s="224"/>
    </row>
    <row r="447" spans="1:1" x14ac:dyDescent="0.2">
      <c r="A447" s="224"/>
    </row>
    <row r="448" spans="1:1" x14ac:dyDescent="0.2">
      <c r="A448" s="224"/>
    </row>
    <row r="449" spans="1:1" x14ac:dyDescent="0.2">
      <c r="A449" s="224"/>
    </row>
    <row r="450" spans="1:1" x14ac:dyDescent="0.2">
      <c r="A450" s="224"/>
    </row>
    <row r="451" spans="1:1" x14ac:dyDescent="0.2">
      <c r="A451" s="224"/>
    </row>
    <row r="452" spans="1:1" x14ac:dyDescent="0.2">
      <c r="A452" s="224"/>
    </row>
    <row r="453" spans="1:1" x14ac:dyDescent="0.2">
      <c r="A453" s="224"/>
    </row>
    <row r="454" spans="1:1" x14ac:dyDescent="0.2">
      <c r="A454" s="224"/>
    </row>
    <row r="455" spans="1:1" x14ac:dyDescent="0.2">
      <c r="A455" s="224"/>
    </row>
    <row r="456" spans="1:1" x14ac:dyDescent="0.2">
      <c r="A456" s="224"/>
    </row>
    <row r="457" spans="1:1" x14ac:dyDescent="0.2">
      <c r="A457" s="224"/>
    </row>
    <row r="458" spans="1:1" x14ac:dyDescent="0.2">
      <c r="A458" s="224"/>
    </row>
    <row r="459" spans="1:1" x14ac:dyDescent="0.2">
      <c r="A459" s="224"/>
    </row>
    <row r="460" spans="1:1" x14ac:dyDescent="0.2">
      <c r="A460" s="224"/>
    </row>
    <row r="461" spans="1:1" x14ac:dyDescent="0.2">
      <c r="A461" s="224"/>
    </row>
    <row r="462" spans="1:1" x14ac:dyDescent="0.2">
      <c r="A462" s="224"/>
    </row>
    <row r="463" spans="1:1" x14ac:dyDescent="0.2">
      <c r="A463" s="224"/>
    </row>
    <row r="464" spans="1:1" x14ac:dyDescent="0.2">
      <c r="A464" s="224"/>
    </row>
    <row r="465" spans="1:1" x14ac:dyDescent="0.2">
      <c r="A465" s="224"/>
    </row>
    <row r="466" spans="1:1" x14ac:dyDescent="0.2">
      <c r="A466" s="224"/>
    </row>
    <row r="467" spans="1:1" x14ac:dyDescent="0.2">
      <c r="A467" s="224"/>
    </row>
    <row r="468" spans="1:1" x14ac:dyDescent="0.2">
      <c r="A468" s="224"/>
    </row>
    <row r="469" spans="1:1" x14ac:dyDescent="0.2">
      <c r="A469" s="224"/>
    </row>
    <row r="470" spans="1:1" x14ac:dyDescent="0.2">
      <c r="A470" s="224"/>
    </row>
    <row r="471" spans="1:1" x14ac:dyDescent="0.2">
      <c r="A471" s="224"/>
    </row>
    <row r="472" spans="1:1" x14ac:dyDescent="0.2">
      <c r="A472" s="224"/>
    </row>
    <row r="473" spans="1:1" x14ac:dyDescent="0.2">
      <c r="A473" s="224"/>
    </row>
    <row r="474" spans="1:1" x14ac:dyDescent="0.2">
      <c r="A474" s="224"/>
    </row>
    <row r="475" spans="1:1" x14ac:dyDescent="0.2">
      <c r="A475" s="224"/>
    </row>
    <row r="476" spans="1:1" x14ac:dyDescent="0.2">
      <c r="A476" s="224"/>
    </row>
    <row r="477" spans="1:1" x14ac:dyDescent="0.2">
      <c r="A477" s="224"/>
    </row>
    <row r="478" spans="1:1" x14ac:dyDescent="0.2">
      <c r="A478" s="224"/>
    </row>
    <row r="479" spans="1:1" x14ac:dyDescent="0.2">
      <c r="A479" s="224"/>
    </row>
    <row r="480" spans="1:1" x14ac:dyDescent="0.2">
      <c r="A480" s="224"/>
    </row>
    <row r="481" spans="1:1" x14ac:dyDescent="0.2">
      <c r="A481" s="224"/>
    </row>
    <row r="482" spans="1:1" x14ac:dyDescent="0.2">
      <c r="A482" s="224"/>
    </row>
    <row r="483" spans="1:1" x14ac:dyDescent="0.2">
      <c r="A483" s="224"/>
    </row>
    <row r="484" spans="1:1" x14ac:dyDescent="0.2">
      <c r="A484" s="224"/>
    </row>
    <row r="485" spans="1:1" x14ac:dyDescent="0.2">
      <c r="A485" s="224"/>
    </row>
    <row r="486" spans="1:1" x14ac:dyDescent="0.2">
      <c r="A486" s="224"/>
    </row>
    <row r="487" spans="1:1" x14ac:dyDescent="0.2">
      <c r="A487" s="224"/>
    </row>
    <row r="488" spans="1:1" x14ac:dyDescent="0.2">
      <c r="A488" s="224"/>
    </row>
    <row r="489" spans="1:1" x14ac:dyDescent="0.2">
      <c r="A489" s="224"/>
    </row>
    <row r="490" spans="1:1" x14ac:dyDescent="0.2">
      <c r="A490" s="224"/>
    </row>
    <row r="491" spans="1:1" x14ac:dyDescent="0.2">
      <c r="A491" s="224"/>
    </row>
    <row r="492" spans="1:1" x14ac:dyDescent="0.2">
      <c r="A492" s="224"/>
    </row>
    <row r="493" spans="1:1" x14ac:dyDescent="0.2">
      <c r="A493" s="224"/>
    </row>
    <row r="494" spans="1:1" x14ac:dyDescent="0.2">
      <c r="A494" s="224"/>
    </row>
    <row r="495" spans="1:1" x14ac:dyDescent="0.2">
      <c r="A495" s="224"/>
    </row>
    <row r="496" spans="1:1" x14ac:dyDescent="0.2">
      <c r="A496" s="224"/>
    </row>
    <row r="497" spans="1:1" x14ac:dyDescent="0.2">
      <c r="A497" s="224"/>
    </row>
    <row r="498" spans="1:1" x14ac:dyDescent="0.2">
      <c r="A498" s="224"/>
    </row>
    <row r="499" spans="1:1" x14ac:dyDescent="0.2">
      <c r="A499" s="224"/>
    </row>
    <row r="500" spans="1:1" x14ac:dyDescent="0.2">
      <c r="A500" s="224"/>
    </row>
    <row r="501" spans="1:1" x14ac:dyDescent="0.2">
      <c r="A501" s="224"/>
    </row>
    <row r="502" spans="1:1" x14ac:dyDescent="0.2">
      <c r="A502" s="224"/>
    </row>
    <row r="503" spans="1:1" x14ac:dyDescent="0.2">
      <c r="A503" s="224"/>
    </row>
    <row r="504" spans="1:1" x14ac:dyDescent="0.2">
      <c r="A504" s="224"/>
    </row>
    <row r="505" spans="1:1" x14ac:dyDescent="0.2">
      <c r="A505" s="224"/>
    </row>
    <row r="506" spans="1:1" x14ac:dyDescent="0.2">
      <c r="A506" s="224"/>
    </row>
    <row r="507" spans="1:1" x14ac:dyDescent="0.2">
      <c r="A507" s="224"/>
    </row>
    <row r="508" spans="1:1" x14ac:dyDescent="0.2">
      <c r="A508" s="224"/>
    </row>
    <row r="509" spans="1:1" x14ac:dyDescent="0.2">
      <c r="A509" s="224"/>
    </row>
  </sheetData>
  <conditionalFormatting sqref="C72:C1048576 C53 C1:C6 D7:E8 D15:D16 D10:E10 D12:E12 D14:E14 D20:D21 D23:D24 D54:D71 D26 D28:D29 D35 D37 D39:D41 D43 D45:D46 D48:D49 D31:D33 D51:D52">
    <cfRule type="duplicateValues" dxfId="373" priority="50"/>
  </conditionalFormatting>
  <conditionalFormatting sqref="E1:E8 E10 E12 E14:E16 E18 E20:E21 E23:E24 E26 E28:E29 E31:E33 E35 E37 E39:E41 E43 E45:E46 E48:E49 E51:E1048576">
    <cfRule type="cellIs" dxfId="372" priority="17" operator="equal">
      <formula>"1$E$14"</formula>
    </cfRule>
  </conditionalFormatting>
  <conditionalFormatting sqref="E14:E16 E18 E20:E21 E2:E8 E10 E12">
    <cfRule type="cellIs" dxfId="371" priority="48" operator="equal">
      <formula>$E$7</formula>
    </cfRule>
  </conditionalFormatting>
  <conditionalFormatting sqref="E23:E24 E26 E28">
    <cfRule type="cellIs" dxfId="370" priority="39" operator="equal">
      <formula>$E$7</formula>
    </cfRule>
    <cfRule type="duplicateValues" dxfId="369" priority="40"/>
  </conditionalFormatting>
  <conditionalFormatting sqref="E28:E29 E31:E33 E35 E37 E39:E41 E43 E51:E1048576 E23:E24 E26 E45:E46 E48:E49">
    <cfRule type="cellIs" dxfId="368" priority="49" operator="equal">
      <formula>$E$7</formula>
    </cfRule>
  </conditionalFormatting>
  <conditionalFormatting sqref="E29 E31:E33 E35 E37 E39:E41 E43 E15:E16 E18 E20:E21 E54">
    <cfRule type="cellIs" dxfId="367" priority="47" operator="equal">
      <formula>$E$15</formula>
    </cfRule>
  </conditionalFormatting>
  <conditionalFormatting sqref="E31:E33 E29">
    <cfRule type="cellIs" dxfId="366" priority="28" operator="equal">
      <formula>$E$15</formula>
    </cfRule>
  </conditionalFormatting>
  <conditionalFormatting sqref="E32">
    <cfRule type="cellIs" dxfId="365" priority="21" operator="equal">
      <formula>$E$7</formula>
    </cfRule>
    <cfRule type="duplicateValues" dxfId="364" priority="22"/>
  </conditionalFormatting>
  <conditionalFormatting sqref="E37 E39">
    <cfRule type="cellIs" dxfId="363" priority="23" operator="equal">
      <formula>$E$15</formula>
    </cfRule>
  </conditionalFormatting>
  <conditionalFormatting sqref="E39:E41 E1:E8 E10 E12 E14:E16 E18 E20:E21 E23:E24 E26 E28:E29 E31:E33 E35 E37 E43 E45:E46 E48:E49 E51:E1048576">
    <cfRule type="cellIs" dxfId="362" priority="16" operator="equal">
      <formula>"1$E$7"</formula>
    </cfRule>
  </conditionalFormatting>
  <conditionalFormatting sqref="E39:E41">
    <cfRule type="cellIs" dxfId="361" priority="30" operator="equal">
      <formula>$E$7</formula>
    </cfRule>
    <cfRule type="duplicateValues" dxfId="360" priority="31"/>
  </conditionalFormatting>
  <conditionalFormatting sqref="E41 E43">
    <cfRule type="cellIs" dxfId="359" priority="24" operator="equal">
      <formula>$E$15</formula>
    </cfRule>
  </conditionalFormatting>
  <conditionalFormatting sqref="E41">
    <cfRule type="cellIs" dxfId="358" priority="1" operator="equal">
      <formula>$E$15</formula>
    </cfRule>
  </conditionalFormatting>
  <conditionalFormatting sqref="E55:E56">
    <cfRule type="cellIs" dxfId="357" priority="41" operator="equal">
      <formula>$E$7</formula>
    </cfRule>
    <cfRule type="duplicateValues" dxfId="356" priority="42"/>
    <cfRule type="cellIs" dxfId="355" priority="45" operator="equal">
      <formula>$E$7</formula>
    </cfRule>
    <cfRule type="duplicateValues" dxfId="354" priority="46"/>
  </conditionalFormatting>
  <conditionalFormatting sqref="E57:E58">
    <cfRule type="cellIs" dxfId="353" priority="29" operator="equal">
      <formula>$E$15</formula>
    </cfRule>
  </conditionalFormatting>
  <conditionalFormatting sqref="E57:E71">
    <cfRule type="cellIs" dxfId="352" priority="44" operator="equal">
      <formula>$E$15</formula>
    </cfRule>
  </conditionalFormatting>
  <conditionalFormatting sqref="E59">
    <cfRule type="cellIs" dxfId="351" priority="37" operator="equal">
      <formula>$E$7</formula>
    </cfRule>
    <cfRule type="duplicateValues" dxfId="350" priority="38"/>
  </conditionalFormatting>
  <conditionalFormatting sqref="E59:E71 E23:E24 E26 E28:E29 E35 E37 E43 E31:E33 E39:E41">
    <cfRule type="duplicateValues" dxfId="349" priority="43"/>
  </conditionalFormatting>
  <conditionalFormatting sqref="E60:E61">
    <cfRule type="cellIs" dxfId="348" priority="27" operator="equal">
      <formula>$E$15</formula>
    </cfRule>
  </conditionalFormatting>
  <conditionalFormatting sqref="E62:E64">
    <cfRule type="cellIs" dxfId="347" priority="35" operator="equal">
      <formula>$E$7</formula>
    </cfRule>
    <cfRule type="duplicateValues" dxfId="346" priority="36"/>
  </conditionalFormatting>
  <conditionalFormatting sqref="E65:E66">
    <cfRule type="cellIs" dxfId="345" priority="26" operator="equal">
      <formula>$E$15</formula>
    </cfRule>
  </conditionalFormatting>
  <conditionalFormatting sqref="E67:E68">
    <cfRule type="cellIs" dxfId="344" priority="33" operator="equal">
      <formula>$E$7</formula>
    </cfRule>
    <cfRule type="duplicateValues" dxfId="343" priority="34"/>
  </conditionalFormatting>
  <conditionalFormatting sqref="E69:E70">
    <cfRule type="cellIs" dxfId="342" priority="25" operator="equal">
      <formula>$E$15</formula>
    </cfRule>
  </conditionalFormatting>
  <conditionalFormatting sqref="E71 E35">
    <cfRule type="duplicateValues" dxfId="341" priority="32"/>
  </conditionalFormatting>
  <conditionalFormatting sqref="AB9">
    <cfRule type="duplicateValues" dxfId="340" priority="20"/>
  </conditionalFormatting>
  <conditionalFormatting sqref="AB11">
    <cfRule type="duplicateValues" dxfId="339" priority="19"/>
  </conditionalFormatting>
  <conditionalFormatting sqref="AB13">
    <cfRule type="duplicateValues" dxfId="338" priority="15"/>
  </conditionalFormatting>
  <conditionalFormatting sqref="AB17">
    <cfRule type="duplicateValues" dxfId="337" priority="14"/>
  </conditionalFormatting>
  <conditionalFormatting sqref="AB19">
    <cfRule type="duplicateValues" dxfId="336" priority="13"/>
  </conditionalFormatting>
  <conditionalFormatting sqref="AB22">
    <cfRule type="duplicateValues" dxfId="335" priority="12"/>
  </conditionalFormatting>
  <conditionalFormatting sqref="AB27">
    <cfRule type="duplicateValues" dxfId="334" priority="10"/>
  </conditionalFormatting>
  <conditionalFormatting sqref="AB30">
    <cfRule type="duplicateValues" dxfId="333" priority="2"/>
  </conditionalFormatting>
  <conditionalFormatting sqref="AB34">
    <cfRule type="duplicateValues" dxfId="332" priority="9"/>
  </conditionalFormatting>
  <conditionalFormatting sqref="AB36">
    <cfRule type="duplicateValues" dxfId="331" priority="8"/>
  </conditionalFormatting>
  <conditionalFormatting sqref="AB38">
    <cfRule type="duplicateValues" dxfId="330" priority="7"/>
  </conditionalFormatting>
  <conditionalFormatting sqref="AB42">
    <cfRule type="duplicateValues" dxfId="329" priority="6"/>
  </conditionalFormatting>
  <conditionalFormatting sqref="AB44">
    <cfRule type="duplicateValues" dxfId="328" priority="5"/>
  </conditionalFormatting>
  <conditionalFormatting sqref="AB47">
    <cfRule type="duplicateValues" dxfId="327" priority="4"/>
  </conditionalFormatting>
  <conditionalFormatting sqref="AB50">
    <cfRule type="duplicateValues" dxfId="326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D212-E2A1-434E-8F89-FA98D080020E}">
  <dimension ref="A1:V288"/>
  <sheetViews>
    <sheetView workbookViewId="0">
      <selection activeCell="I278" sqref="I278:I279 I281:I282 I284:I285 I287:I288 I260:I261 I264:I267 I269:I270 I272:I273 I275:I276 I242:I243 I245:I246 I248:I249 I251:I252 I254:I255 I257:I258 I224:I225 I227:I228 I230:I231 I233:I234 I236:I237 I239:I240 I206:I207 I209:I210 I212:I213 I215:I216 I218:I219 I221:I222 I189:I191 I193:I194 I196:I198 I200:I201 I203:I204 I171:I172 I174:I175 I177:I178 I180:I181 I183:I184 I186:I187 I155:I157 I159:I160 I162:I163 I165:I166 I168:I169 I138:I139 I141:I144 I146:I147 I149:I150 I152:I153 I119:I120 I122:I123 I125:I127 I129:I130 I132:I133 I135:I136 I101:I102 I104:I105 I107:I108 I110:I111 I113:I114 I116:I117 I77:I78 I80:I81 I83:I84 I86:I87 I89:I90 I92:I93 I95:I96 I98:I99 I54:I56 I58:I59 I61:I63 I65:I66 I68:I69 I71:I72 I74:I75 I30:I31 I33:I34 I36:I37 I39:I40 I42:I43 I45:I46 I48:I49 I51:I52 I6:I7 I9:I12 I14:I15 I17:I18 I20:I21 I23:I25 I27:I28"/>
    </sheetView>
  </sheetViews>
  <sheetFormatPr defaultRowHeight="12.75" x14ac:dyDescent="0.2"/>
  <cols>
    <col min="1" max="1" width="8.85546875" style="218"/>
    <col min="4" max="4" width="11.42578125" bestFit="1" customWidth="1"/>
    <col min="5" max="5" width="24.5703125" bestFit="1" customWidth="1"/>
    <col min="7" max="7" width="9.140625" style="116"/>
    <col min="8" max="8" width="13.140625" bestFit="1" customWidth="1"/>
  </cols>
  <sheetData>
    <row r="1" spans="1:22" x14ac:dyDescent="0.2">
      <c r="A1" s="223" t="s">
        <v>1</v>
      </c>
      <c r="B1" s="7" t="s">
        <v>18</v>
      </c>
      <c r="C1" s="7" t="s">
        <v>2</v>
      </c>
      <c r="D1" s="14"/>
      <c r="E1" s="14"/>
      <c r="F1" s="42"/>
      <c r="G1" s="126"/>
      <c r="H1" s="9"/>
      <c r="I1" s="10"/>
      <c r="J1" s="11"/>
      <c r="K1" s="11"/>
      <c r="L1" s="12"/>
      <c r="M1" s="117"/>
      <c r="N1" s="25"/>
      <c r="O1" s="12"/>
      <c r="P1" s="12"/>
      <c r="Q1" s="12"/>
      <c r="R1" s="12"/>
      <c r="S1" s="13"/>
      <c r="T1" s="14"/>
      <c r="U1" s="48"/>
      <c r="V1" s="47"/>
    </row>
    <row r="2" spans="1:22" x14ac:dyDescent="0.2">
      <c r="A2" s="224" t="s">
        <v>19</v>
      </c>
      <c r="B2" s="81">
        <v>71090</v>
      </c>
      <c r="C2" s="12" t="s">
        <v>193</v>
      </c>
      <c r="D2" s="14"/>
      <c r="E2" s="14"/>
      <c r="F2" s="42"/>
      <c r="G2" s="126"/>
      <c r="H2" s="9"/>
      <c r="I2" s="10"/>
      <c r="J2" s="11"/>
      <c r="K2" s="11"/>
      <c r="L2" s="12"/>
      <c r="M2" s="117"/>
      <c r="N2" s="25"/>
      <c r="O2" s="12"/>
      <c r="P2" s="12"/>
      <c r="Q2" s="12"/>
      <c r="R2" s="12"/>
      <c r="S2" s="13"/>
      <c r="T2" s="14"/>
      <c r="U2" s="48"/>
      <c r="V2" s="47"/>
    </row>
    <row r="3" spans="1:22" ht="15" x14ac:dyDescent="0.25">
      <c r="A3" s="224"/>
      <c r="B3" s="14"/>
      <c r="C3" s="12"/>
      <c r="D3" s="15"/>
      <c r="E3" s="84"/>
      <c r="F3" s="50"/>
      <c r="G3" s="126"/>
      <c r="H3" s="9"/>
      <c r="I3" s="10"/>
      <c r="J3" s="11"/>
      <c r="K3" s="11"/>
      <c r="L3" s="12"/>
      <c r="M3" s="117"/>
      <c r="N3" s="25"/>
      <c r="O3" s="12"/>
      <c r="P3" s="12"/>
      <c r="Q3" s="12"/>
      <c r="R3" s="12"/>
      <c r="S3" s="118" t="s">
        <v>189</v>
      </c>
      <c r="T3" s="118" t="s">
        <v>190</v>
      </c>
      <c r="U3" s="118" t="s">
        <v>191</v>
      </c>
      <c r="V3" s="14"/>
    </row>
    <row r="4" spans="1:22" x14ac:dyDescent="0.2">
      <c r="A4" s="211" t="s">
        <v>1</v>
      </c>
      <c r="B4" s="16" t="s">
        <v>18</v>
      </c>
      <c r="C4" s="16" t="s">
        <v>2</v>
      </c>
      <c r="D4" s="16" t="s">
        <v>14</v>
      </c>
      <c r="E4" s="119" t="s">
        <v>9</v>
      </c>
      <c r="F4" s="120" t="s">
        <v>40</v>
      </c>
      <c r="G4" s="127" t="s">
        <v>13</v>
      </c>
      <c r="H4" s="17" t="s">
        <v>10</v>
      </c>
      <c r="I4" s="18" t="s">
        <v>7</v>
      </c>
      <c r="J4" s="19" t="s">
        <v>28</v>
      </c>
      <c r="K4" s="19" t="s">
        <v>6</v>
      </c>
      <c r="L4" s="16" t="s">
        <v>15</v>
      </c>
      <c r="M4" s="16" t="s">
        <v>20</v>
      </c>
      <c r="N4" s="121" t="s">
        <v>21</v>
      </c>
      <c r="O4" s="28" t="s">
        <v>22</v>
      </c>
      <c r="P4" s="16" t="s">
        <v>23</v>
      </c>
      <c r="Q4" s="16" t="s">
        <v>24</v>
      </c>
      <c r="R4" s="16" t="s">
        <v>25</v>
      </c>
      <c r="S4" s="122"/>
      <c r="T4" s="123"/>
      <c r="U4" s="124"/>
      <c r="V4" s="21"/>
    </row>
    <row r="5" spans="1:22" x14ac:dyDescent="0.2">
      <c r="A5" s="224"/>
      <c r="G5" s="126"/>
      <c r="H5" s="125"/>
      <c r="I5" s="6"/>
      <c r="L5" s="12"/>
    </row>
    <row r="6" spans="1:22" ht="15" x14ac:dyDescent="0.25">
      <c r="A6" s="224" t="s">
        <v>129</v>
      </c>
      <c r="B6">
        <v>71000</v>
      </c>
      <c r="C6" t="s">
        <v>194</v>
      </c>
      <c r="D6" t="s">
        <v>192</v>
      </c>
      <c r="E6" s="115" t="s">
        <v>188</v>
      </c>
      <c r="G6" s="126">
        <v>-505.9</v>
      </c>
      <c r="H6" s="116">
        <f t="shared" ref="H6:H7" si="0">G6+F6</f>
        <v>-505.9</v>
      </c>
      <c r="I6" s="231">
        <f>IF("generated"=1, "Path=MMRBEM_7_DOWN, Scaled Offset=-505.89999999999997726263245567679405", 19.7164162292984)</f>
        <v>19.7164162292984</v>
      </c>
      <c r="L6" s="12" t="s">
        <v>64</v>
      </c>
    </row>
    <row r="7" spans="1:22" ht="15" x14ac:dyDescent="0.25">
      <c r="A7" s="224" t="s">
        <v>129</v>
      </c>
      <c r="B7">
        <v>71000</v>
      </c>
      <c r="C7" t="s">
        <v>194</v>
      </c>
      <c r="D7" t="s">
        <v>192</v>
      </c>
      <c r="E7" s="115" t="s">
        <v>188</v>
      </c>
      <c r="G7" s="126">
        <v>-290.69</v>
      </c>
      <c r="H7" s="116">
        <f t="shared" si="0"/>
        <v>-290.69</v>
      </c>
      <c r="I7" s="231">
        <f>IF("generated"=1, "Path=MMRBEM_7_DOWN, Scaled Offset=-290.68999999999999772626324556767941", 231.874913064664)</f>
        <v>231.87491306466401</v>
      </c>
      <c r="L7" s="12" t="s">
        <v>64</v>
      </c>
    </row>
    <row r="8" spans="1:22" x14ac:dyDescent="0.2">
      <c r="A8" s="224"/>
      <c r="G8" s="126"/>
      <c r="H8" s="125"/>
      <c r="I8" s="6"/>
      <c r="L8" s="12"/>
    </row>
    <row r="9" spans="1:22" ht="15" x14ac:dyDescent="0.25">
      <c r="A9" s="224" t="s">
        <v>129</v>
      </c>
      <c r="B9">
        <v>71001</v>
      </c>
      <c r="C9" t="s">
        <v>195</v>
      </c>
      <c r="D9" t="s">
        <v>192</v>
      </c>
      <c r="E9" s="115" t="s">
        <v>188</v>
      </c>
      <c r="G9" s="126">
        <v>-290.69</v>
      </c>
      <c r="H9" s="116">
        <f t="shared" ref="H9:H15" si="1">G9+F9</f>
        <v>-290.69</v>
      </c>
      <c r="I9" s="231">
        <f>IF("generated"=1, "Path=MMRBEM_7_DOWN, Scaled Offset=-290.68999999999999772626324556767941", 231.874913064664)</f>
        <v>231.87491306466401</v>
      </c>
      <c r="L9" s="12" t="s">
        <v>64</v>
      </c>
    </row>
    <row r="10" spans="1:22" ht="15" x14ac:dyDescent="0.25">
      <c r="A10" s="224" t="s">
        <v>129</v>
      </c>
      <c r="B10">
        <v>71001</v>
      </c>
      <c r="C10" t="s">
        <v>195</v>
      </c>
      <c r="D10" t="s">
        <v>192</v>
      </c>
      <c r="E10" s="115" t="s">
        <v>188</v>
      </c>
      <c r="G10" s="126">
        <v>-184</v>
      </c>
      <c r="H10" s="116">
        <f t="shared" si="1"/>
        <v>-184</v>
      </c>
      <c r="I10" s="230">
        <f>IF("generated"=1, "Path=MMRBEM_7_DOWN, Scaled Offset=-184", 335.87608559772)</f>
        <v>335.87608559772002</v>
      </c>
      <c r="L10" s="12" t="s">
        <v>64</v>
      </c>
    </row>
    <row r="11" spans="1:22" ht="15" x14ac:dyDescent="0.25">
      <c r="A11" s="224" t="s">
        <v>129</v>
      </c>
      <c r="B11">
        <v>71001</v>
      </c>
      <c r="C11" t="s">
        <v>195</v>
      </c>
      <c r="D11" t="s">
        <v>192</v>
      </c>
      <c r="E11" s="115" t="s">
        <v>196</v>
      </c>
      <c r="G11" s="126">
        <v>35</v>
      </c>
      <c r="H11" s="116">
        <f t="shared" si="1"/>
        <v>35</v>
      </c>
      <c r="I11" s="230">
        <f>IF("generated"=1, "Path=Track_8, Scaled Offset=35", 35)</f>
        <v>35</v>
      </c>
      <c r="L11" s="12" t="s">
        <v>64</v>
      </c>
    </row>
    <row r="12" spans="1:22" ht="15" x14ac:dyDescent="0.25">
      <c r="A12" s="224" t="s">
        <v>129</v>
      </c>
      <c r="B12">
        <v>71001</v>
      </c>
      <c r="C12" t="s">
        <v>195</v>
      </c>
      <c r="D12" t="s">
        <v>192</v>
      </c>
      <c r="E12" s="115" t="s">
        <v>197</v>
      </c>
      <c r="G12" s="126">
        <v>45</v>
      </c>
      <c r="H12" s="116">
        <f t="shared" si="1"/>
        <v>45</v>
      </c>
      <c r="I12" s="230">
        <f>IF("generated"=1, "Path=Track_9, Scaled Offset=45", 45)</f>
        <v>45</v>
      </c>
      <c r="L12" s="12" t="s">
        <v>64</v>
      </c>
    </row>
    <row r="14" spans="1:22" ht="15" x14ac:dyDescent="0.25">
      <c r="A14" s="224" t="s">
        <v>129</v>
      </c>
      <c r="B14">
        <v>71002</v>
      </c>
      <c r="C14" t="s">
        <v>198</v>
      </c>
      <c r="D14" t="s">
        <v>192</v>
      </c>
      <c r="E14" s="115" t="s">
        <v>188</v>
      </c>
      <c r="G14" s="126">
        <v>-184</v>
      </c>
      <c r="H14" s="116">
        <f t="shared" si="1"/>
        <v>-184</v>
      </c>
      <c r="I14" s="230">
        <f>IF("generated"=1, "Path=MMRBEM_7_DOWN, Scaled Offset=-184", 335.87608559772)</f>
        <v>335.87608559772002</v>
      </c>
      <c r="L14" s="12" t="s">
        <v>64</v>
      </c>
    </row>
    <row r="15" spans="1:22" ht="15" x14ac:dyDescent="0.25">
      <c r="A15" s="224" t="s">
        <v>129</v>
      </c>
      <c r="B15">
        <v>71002</v>
      </c>
      <c r="C15" t="s">
        <v>198</v>
      </c>
      <c r="D15" t="s">
        <v>192</v>
      </c>
      <c r="E15" s="115" t="s">
        <v>188</v>
      </c>
      <c r="G15" s="126">
        <v>-134</v>
      </c>
      <c r="H15" s="116">
        <f t="shared" si="1"/>
        <v>-134</v>
      </c>
      <c r="I15" s="230">
        <f>IF("generated"=1, "Path=MMRBEM_7_DOWN, Scaled Offset=-134", 385.17955442938)</f>
        <v>385.17955442938</v>
      </c>
      <c r="L15" s="12" t="s">
        <v>64</v>
      </c>
    </row>
    <row r="17" spans="1:12" ht="15" x14ac:dyDescent="0.25">
      <c r="A17" s="224" t="s">
        <v>129</v>
      </c>
      <c r="B17">
        <v>71003</v>
      </c>
      <c r="C17" t="s">
        <v>199</v>
      </c>
      <c r="D17" t="s">
        <v>192</v>
      </c>
      <c r="E17" s="115" t="s">
        <v>188</v>
      </c>
      <c r="G17" s="126">
        <v>-134</v>
      </c>
      <c r="H17" s="116">
        <f t="shared" ref="H17:H18" si="2">G17+F17</f>
        <v>-134</v>
      </c>
      <c r="I17" s="230">
        <f>IF("generated"=1, "Path=MMRBEM_7_DOWN, Scaled Offset=-134", 385.17955442938)</f>
        <v>385.17955442938</v>
      </c>
      <c r="L17" s="12" t="s">
        <v>64</v>
      </c>
    </row>
    <row r="18" spans="1:12" ht="15" x14ac:dyDescent="0.25">
      <c r="A18" s="224" t="s">
        <v>129</v>
      </c>
      <c r="B18">
        <v>71003</v>
      </c>
      <c r="C18" t="s">
        <v>199</v>
      </c>
      <c r="D18" t="s">
        <v>192</v>
      </c>
      <c r="E18" s="115" t="s">
        <v>188</v>
      </c>
      <c r="F18">
        <v>24</v>
      </c>
      <c r="G18" s="126">
        <v>61.16</v>
      </c>
      <c r="H18" s="116">
        <f t="shared" si="2"/>
        <v>85.16</v>
      </c>
      <c r="I18" s="230">
        <f>IF("generated"=1, "Path=MMRBEM_7_DOWN, Scaled Offset=85.159999999999996589394868351519108", 601.286519012314)</f>
        <v>601.28651901231399</v>
      </c>
      <c r="L18" s="12" t="s">
        <v>64</v>
      </c>
    </row>
    <row r="20" spans="1:12" ht="15" x14ac:dyDescent="0.25">
      <c r="A20" s="224" t="s">
        <v>129</v>
      </c>
      <c r="B20">
        <v>71004</v>
      </c>
      <c r="C20" t="s">
        <v>200</v>
      </c>
      <c r="D20" t="s">
        <v>192</v>
      </c>
      <c r="E20" s="115" t="s">
        <v>188</v>
      </c>
      <c r="F20">
        <v>24</v>
      </c>
      <c r="G20" s="126">
        <v>61.16</v>
      </c>
      <c r="H20" s="116">
        <f t="shared" ref="H20:H21" si="3">G20+F20</f>
        <v>85.16</v>
      </c>
      <c r="I20" s="230">
        <f>IF("generated"=1, "Path=MMRBEM_7_DOWN, Scaled Offset=85.159999999999996589394868351519108", 601.286519012314)</f>
        <v>601.28651901231399</v>
      </c>
      <c r="L20" s="12" t="s">
        <v>64</v>
      </c>
    </row>
    <row r="21" spans="1:12" ht="15" x14ac:dyDescent="0.25">
      <c r="A21" s="224" t="s">
        <v>129</v>
      </c>
      <c r="B21">
        <v>71004</v>
      </c>
      <c r="C21" t="s">
        <v>200</v>
      </c>
      <c r="D21" t="s">
        <v>192</v>
      </c>
      <c r="E21" s="115" t="s">
        <v>188</v>
      </c>
      <c r="F21">
        <v>20</v>
      </c>
      <c r="G21" s="126">
        <v>111.21</v>
      </c>
      <c r="H21" s="116">
        <f t="shared" si="3"/>
        <v>131.20999999999998</v>
      </c>
      <c r="I21" s="230">
        <f>IF("generated"=1, "Path=MMRBEM_7_DOWN, Scaled Offset=131.20999999999997953636921010911465", 646.695013806273)</f>
        <v>646.69501380627298</v>
      </c>
      <c r="L21" s="12" t="s">
        <v>64</v>
      </c>
    </row>
    <row r="23" spans="1:12" ht="15" x14ac:dyDescent="0.25">
      <c r="A23" s="224" t="s">
        <v>129</v>
      </c>
      <c r="B23">
        <v>71005</v>
      </c>
      <c r="C23" t="s">
        <v>201</v>
      </c>
      <c r="D23" t="s">
        <v>192</v>
      </c>
      <c r="E23" s="115" t="s">
        <v>188</v>
      </c>
      <c r="F23">
        <v>20</v>
      </c>
      <c r="G23" s="126">
        <v>111.21</v>
      </c>
      <c r="H23" s="116">
        <f t="shared" ref="H23:H25" si="4">G23+F23</f>
        <v>131.20999999999998</v>
      </c>
      <c r="I23" s="230">
        <f>IF("generated"=1, "Path=MMRBEM_7_DOWN, Scaled Offset=131.20999999999997953636921010911465", 646.695013806273)</f>
        <v>646.69501380627298</v>
      </c>
      <c r="L23" s="12" t="s">
        <v>64</v>
      </c>
    </row>
    <row r="24" spans="1:12" ht="15" x14ac:dyDescent="0.25">
      <c r="A24" s="224" t="s">
        <v>129</v>
      </c>
      <c r="B24">
        <v>71005</v>
      </c>
      <c r="C24" t="s">
        <v>201</v>
      </c>
      <c r="D24" t="s">
        <v>192</v>
      </c>
      <c r="E24" s="115" t="s">
        <v>202</v>
      </c>
      <c r="G24" s="126">
        <v>39.79</v>
      </c>
      <c r="H24" s="116">
        <f t="shared" si="4"/>
        <v>39.79</v>
      </c>
      <c r="I24" s="230">
        <f>IF("generated"=1, "Path=Track_7, Scaled Offset=39.789999999999999147348717087879777", 39.7899999999999)</f>
        <v>39.7899999999999</v>
      </c>
      <c r="L24" s="12" t="s">
        <v>64</v>
      </c>
    </row>
    <row r="25" spans="1:12" ht="15" x14ac:dyDescent="0.25">
      <c r="A25" s="224" t="s">
        <v>129</v>
      </c>
      <c r="B25">
        <v>71005</v>
      </c>
      <c r="C25" t="s">
        <v>201</v>
      </c>
      <c r="D25" t="s">
        <v>192</v>
      </c>
      <c r="E25" s="115" t="s">
        <v>188</v>
      </c>
      <c r="F25">
        <v>-2</v>
      </c>
      <c r="G25" s="126">
        <v>261.95</v>
      </c>
      <c r="H25" s="116">
        <f t="shared" si="4"/>
        <v>259.95</v>
      </c>
      <c r="I25" s="230">
        <f>IF("generated"=1, "Path=MMRBEM_7_DOWN, Scaled Offset=259.94999999999998863131622783839703", 773.46407929949)</f>
        <v>773.46407929948998</v>
      </c>
      <c r="L25" s="12" t="s">
        <v>64</v>
      </c>
    </row>
    <row r="27" spans="1:12" ht="15" x14ac:dyDescent="0.25">
      <c r="A27" s="224" t="s">
        <v>129</v>
      </c>
      <c r="B27">
        <v>71006</v>
      </c>
      <c r="C27" t="s">
        <v>209</v>
      </c>
      <c r="D27" t="s">
        <v>192</v>
      </c>
      <c r="E27" s="115" t="s">
        <v>188</v>
      </c>
      <c r="F27">
        <v>-2</v>
      </c>
      <c r="G27" s="126">
        <v>261.95</v>
      </c>
      <c r="H27" s="116">
        <f t="shared" ref="H27:H28" si="5">G27+F27</f>
        <v>259.95</v>
      </c>
      <c r="I27" s="230">
        <f>IF("generated"=1, "Path=MMRBEM_7_DOWN, Scaled Offset=259.94999999999998863131622783839703", 773.46407929949)</f>
        <v>773.46407929948998</v>
      </c>
      <c r="L27" s="12" t="s">
        <v>64</v>
      </c>
    </row>
    <row r="28" spans="1:12" ht="15" x14ac:dyDescent="0.25">
      <c r="A28" s="224" t="s">
        <v>129</v>
      </c>
      <c r="B28">
        <v>71006</v>
      </c>
      <c r="C28" t="s">
        <v>209</v>
      </c>
      <c r="D28" t="s">
        <v>192</v>
      </c>
      <c r="E28" s="115" t="s">
        <v>188</v>
      </c>
      <c r="G28" s="126">
        <v>1466.06</v>
      </c>
      <c r="H28" s="116">
        <f t="shared" si="5"/>
        <v>1466.06</v>
      </c>
      <c r="I28" s="230">
        <f>IF("generated"=1, "Path=MMRBEM_7_DOWN, Scaled Offset=1466.0599999999999454303178936243057", 1959.87477534215)</f>
        <v>1959.8747753421501</v>
      </c>
      <c r="L28" s="12" t="s">
        <v>64</v>
      </c>
    </row>
    <row r="30" spans="1:12" ht="15" x14ac:dyDescent="0.25">
      <c r="A30" s="224" t="s">
        <v>129</v>
      </c>
      <c r="B30">
        <v>71007</v>
      </c>
      <c r="C30" t="s">
        <v>210</v>
      </c>
      <c r="D30" t="s">
        <v>192</v>
      </c>
      <c r="E30" s="115" t="s">
        <v>188</v>
      </c>
      <c r="G30" s="126">
        <v>1466.06</v>
      </c>
      <c r="H30" s="116">
        <f t="shared" ref="H30:H31" si="6">G30+F30</f>
        <v>1466.06</v>
      </c>
      <c r="I30" s="230">
        <f>IF("generated"=1, "Path=MMRBEM_7_DOWN, Scaled Offset=1466.0599999999999454303178936243057", 1959.87477534215)</f>
        <v>1959.8747753421501</v>
      </c>
      <c r="L30" s="12" t="s">
        <v>64</v>
      </c>
    </row>
    <row r="31" spans="1:12" ht="15" x14ac:dyDescent="0.25">
      <c r="A31" s="224" t="s">
        <v>129</v>
      </c>
      <c r="B31">
        <v>71007</v>
      </c>
      <c r="C31" t="s">
        <v>210</v>
      </c>
      <c r="D31" t="s">
        <v>192</v>
      </c>
      <c r="E31" s="115" t="s">
        <v>188</v>
      </c>
      <c r="G31" s="126">
        <v>1663.28</v>
      </c>
      <c r="H31" s="116">
        <f t="shared" si="6"/>
        <v>1663.28</v>
      </c>
      <c r="I31" s="230">
        <f>IF("generated"=1, "Path=MMRBEM_7_DOWN, Scaled Offset=1663.2799999999999727151589468121529", 2153.87359590871)</f>
        <v>2153.8735959087098</v>
      </c>
      <c r="L31" s="12" t="s">
        <v>64</v>
      </c>
    </row>
    <row r="33" spans="1:12" ht="15" x14ac:dyDescent="0.25">
      <c r="A33" s="224" t="s">
        <v>129</v>
      </c>
      <c r="B33">
        <v>71008</v>
      </c>
      <c r="C33" t="s">
        <v>211</v>
      </c>
      <c r="D33" t="s">
        <v>192</v>
      </c>
      <c r="E33" s="115" t="s">
        <v>188</v>
      </c>
      <c r="G33" s="126">
        <v>1663.28</v>
      </c>
      <c r="H33" s="116">
        <f t="shared" ref="H33:H34" si="7">G33+F33</f>
        <v>1663.28</v>
      </c>
      <c r="I33" s="230">
        <f>IF("generated"=1, "Path=MMRBEM_7_DOWN, Scaled Offset=1663.2799999999999727151589468121529", 2153.87359590871)</f>
        <v>2153.8735959087098</v>
      </c>
      <c r="L33" s="12" t="s">
        <v>64</v>
      </c>
    </row>
    <row r="34" spans="1:12" ht="15" x14ac:dyDescent="0.25">
      <c r="A34" s="224" t="s">
        <v>129</v>
      </c>
      <c r="B34">
        <v>71008</v>
      </c>
      <c r="C34" t="s">
        <v>211</v>
      </c>
      <c r="D34" t="s">
        <v>192</v>
      </c>
      <c r="E34" s="115" t="s">
        <v>188</v>
      </c>
      <c r="G34" s="126">
        <v>3058.66</v>
      </c>
      <c r="H34" s="116">
        <f t="shared" si="7"/>
        <v>3058.66</v>
      </c>
      <c r="I34" s="230">
        <f>IF("generated"=1, "Path=MMRBEM_7_DOWN, Scaled Offset=3058.6599999999998544808477163314819", 3526.46295927028)</f>
        <v>3526.46295927028</v>
      </c>
      <c r="L34" s="12" t="s">
        <v>64</v>
      </c>
    </row>
    <row r="36" spans="1:12" ht="15" x14ac:dyDescent="0.25">
      <c r="A36" s="224" t="s">
        <v>129</v>
      </c>
      <c r="B36">
        <v>71009</v>
      </c>
      <c r="C36" t="s">
        <v>212</v>
      </c>
      <c r="D36" t="s">
        <v>192</v>
      </c>
      <c r="E36" s="115" t="s">
        <v>188</v>
      </c>
      <c r="G36" s="126">
        <v>3058.66</v>
      </c>
      <c r="H36" s="116">
        <f t="shared" ref="H36:H37" si="8">G36+F36</f>
        <v>3058.66</v>
      </c>
      <c r="I36" s="230">
        <f>IF("generated"=1, "Path=MMRBEM_7_DOWN, Scaled Offset=3058.6599999999998544808477163314819", 3526.46295927028)</f>
        <v>3526.46295927028</v>
      </c>
      <c r="L36" s="12" t="s">
        <v>64</v>
      </c>
    </row>
    <row r="37" spans="1:12" ht="15" x14ac:dyDescent="0.25">
      <c r="A37" s="224" t="s">
        <v>129</v>
      </c>
      <c r="B37">
        <v>71009</v>
      </c>
      <c r="C37" t="s">
        <v>212</v>
      </c>
      <c r="D37" t="s">
        <v>192</v>
      </c>
      <c r="E37" s="115" t="s">
        <v>188</v>
      </c>
      <c r="G37" s="126">
        <v>3254.88</v>
      </c>
      <c r="H37" s="116">
        <f t="shared" si="8"/>
        <v>3254.88</v>
      </c>
      <c r="I37" s="230">
        <f>IF("generated"=1, "Path=MMRBEM_7_DOWN, Scaled Offset=3254.8800000000001091393642127513885", 3719.47811276166)</f>
        <v>3719.4781127616602</v>
      </c>
      <c r="L37" s="12" t="s">
        <v>64</v>
      </c>
    </row>
    <row r="39" spans="1:12" ht="15" x14ac:dyDescent="0.25">
      <c r="A39" s="224" t="s">
        <v>129</v>
      </c>
      <c r="B39">
        <v>71010</v>
      </c>
      <c r="C39" t="s">
        <v>228</v>
      </c>
      <c r="D39" t="s">
        <v>192</v>
      </c>
      <c r="E39" s="115" t="s">
        <v>188</v>
      </c>
      <c r="G39" s="126">
        <v>3254.88</v>
      </c>
      <c r="H39" s="116">
        <f t="shared" ref="H39:H40" si="9">G39+F39</f>
        <v>3254.88</v>
      </c>
      <c r="I39" s="230">
        <f>IF("generated"=1, "Path=MMRBEM_7_DOWN, Scaled Offset=3254.8800000000001091393642127513885", 3719.47811276166)</f>
        <v>3719.4781127616602</v>
      </c>
      <c r="L39" s="12" t="s">
        <v>64</v>
      </c>
    </row>
    <row r="40" spans="1:12" ht="15" x14ac:dyDescent="0.25">
      <c r="A40" s="224" t="s">
        <v>129</v>
      </c>
      <c r="B40">
        <v>71010</v>
      </c>
      <c r="C40" t="s">
        <v>228</v>
      </c>
      <c r="D40" t="s">
        <v>192</v>
      </c>
      <c r="E40" s="115" t="s">
        <v>188</v>
      </c>
      <c r="G40" s="126">
        <v>3256.88</v>
      </c>
      <c r="H40" s="116">
        <f t="shared" si="9"/>
        <v>3256.88</v>
      </c>
      <c r="I40" s="230">
        <f>IF("generated"=1, "Path=MMRBEM_7_DOWN, Scaled Offset=3256.8800000000001091393642127513885", 3721.44544691202)</f>
        <v>3721.4454469120201</v>
      </c>
      <c r="L40" s="12" t="s">
        <v>64</v>
      </c>
    </row>
    <row r="42" spans="1:12" ht="15" x14ac:dyDescent="0.25">
      <c r="A42" s="224" t="s">
        <v>129</v>
      </c>
      <c r="B42">
        <v>71011</v>
      </c>
      <c r="C42" t="s">
        <v>213</v>
      </c>
      <c r="D42" t="s">
        <v>192</v>
      </c>
      <c r="E42" s="115" t="s">
        <v>188</v>
      </c>
      <c r="G42" s="126">
        <v>3256.88</v>
      </c>
      <c r="H42" s="116">
        <f t="shared" ref="H42:H43" si="10">G42+F42</f>
        <v>3256.88</v>
      </c>
      <c r="I42" s="230">
        <f>IF("generated"=1, "Path=MMRBEM_7_DOWN, Scaled Offset=3256.8800000000001091393642127513885", 3721.44544691202)</f>
        <v>3721.4454469120201</v>
      </c>
      <c r="L42" s="12" t="s">
        <v>64</v>
      </c>
    </row>
    <row r="43" spans="1:12" ht="15" x14ac:dyDescent="0.25">
      <c r="A43" s="224" t="s">
        <v>129</v>
      </c>
      <c r="B43">
        <v>71011</v>
      </c>
      <c r="C43" t="s">
        <v>213</v>
      </c>
      <c r="D43" t="s">
        <v>192</v>
      </c>
      <c r="E43" s="115" t="s">
        <v>188</v>
      </c>
      <c r="G43" s="126">
        <v>4119.7299999999996</v>
      </c>
      <c r="H43" s="116">
        <f t="shared" si="10"/>
        <v>4119.7299999999996</v>
      </c>
      <c r="I43" s="230">
        <f>IF("generated"=1, "Path=MMRBEM_7_DOWN, Scaled Offset=4119.7299999999995634425431489944458", 4570.20258272916)</f>
        <v>4570.20258272916</v>
      </c>
      <c r="L43" s="12" t="s">
        <v>64</v>
      </c>
    </row>
    <row r="45" spans="1:12" ht="15" x14ac:dyDescent="0.25">
      <c r="A45" s="224" t="s">
        <v>129</v>
      </c>
      <c r="B45">
        <v>71012</v>
      </c>
      <c r="C45" t="s">
        <v>214</v>
      </c>
      <c r="D45" t="s">
        <v>192</v>
      </c>
      <c r="E45" s="115" t="s">
        <v>188</v>
      </c>
      <c r="G45" s="126">
        <v>4119.7299999999996</v>
      </c>
      <c r="H45" s="116">
        <f t="shared" ref="H45:H46" si="11">G45+F45</f>
        <v>4119.7299999999996</v>
      </c>
      <c r="I45" s="230">
        <f>IF("generated"=1, "Path=MMRBEM_7_DOWN, Scaled Offset=4119.7299999999995634425431489944458", 4570.20258272916)</f>
        <v>4570.20258272916</v>
      </c>
      <c r="L45" s="12" t="s">
        <v>64</v>
      </c>
    </row>
    <row r="46" spans="1:12" ht="15" x14ac:dyDescent="0.25">
      <c r="A46" s="224" t="s">
        <v>129</v>
      </c>
      <c r="B46">
        <v>71012</v>
      </c>
      <c r="C46" t="s">
        <v>214</v>
      </c>
      <c r="D46" t="s">
        <v>192</v>
      </c>
      <c r="E46" s="115" t="s">
        <v>188</v>
      </c>
      <c r="G46" s="126">
        <v>4316.95</v>
      </c>
      <c r="H46" s="116">
        <f t="shared" si="11"/>
        <v>4316.95</v>
      </c>
      <c r="I46" s="230">
        <f>IF("generated"=1, "Path=MMRBEM_7_DOWN, Scaled Offset=4316.9499999999998181010596454143524", 4764.20140329572)</f>
        <v>4764.2014032957204</v>
      </c>
      <c r="L46" s="12" t="s">
        <v>64</v>
      </c>
    </row>
    <row r="48" spans="1:12" ht="15" x14ac:dyDescent="0.25">
      <c r="A48" s="224" t="s">
        <v>129</v>
      </c>
      <c r="B48">
        <v>71013</v>
      </c>
      <c r="C48" t="s">
        <v>215</v>
      </c>
      <c r="D48" t="s">
        <v>192</v>
      </c>
      <c r="E48" s="115" t="s">
        <v>188</v>
      </c>
      <c r="G48" s="126">
        <v>4316.95</v>
      </c>
      <c r="H48" s="116">
        <f t="shared" ref="H48:H49" si="12">G48+F48</f>
        <v>4316.95</v>
      </c>
      <c r="I48" s="230">
        <f>IF("generated"=1, "Path=MMRBEM_7_DOWN, Scaled Offset=4316.9499999999998181010596454143524", 4764.20140329572)</f>
        <v>4764.2014032957204</v>
      </c>
      <c r="L48" s="12" t="s">
        <v>64</v>
      </c>
    </row>
    <row r="49" spans="1:12" ht="15" x14ac:dyDescent="0.25">
      <c r="A49" s="224" t="s">
        <v>129</v>
      </c>
      <c r="B49">
        <v>71013</v>
      </c>
      <c r="C49" t="s">
        <v>215</v>
      </c>
      <c r="D49" t="s">
        <v>192</v>
      </c>
      <c r="E49" s="115" t="s">
        <v>188</v>
      </c>
      <c r="F49">
        <v>15</v>
      </c>
      <c r="G49" s="126">
        <v>5849.59</v>
      </c>
      <c r="H49" s="116">
        <f t="shared" si="12"/>
        <v>5864.59</v>
      </c>
      <c r="I49" s="230">
        <f>IF("generated"=1, "Path=MMRBEM_7_DOWN, Scaled Offset=5864.5900000000001455191522836685181", 6286.56391552386)</f>
        <v>6286.5639155238596</v>
      </c>
      <c r="L49" s="12" t="s">
        <v>64</v>
      </c>
    </row>
    <row r="51" spans="1:12" ht="15" x14ac:dyDescent="0.25">
      <c r="A51" s="224" t="s">
        <v>129</v>
      </c>
      <c r="B51">
        <v>71014</v>
      </c>
      <c r="C51" t="s">
        <v>216</v>
      </c>
      <c r="D51" t="s">
        <v>192</v>
      </c>
      <c r="E51" s="115" t="s">
        <v>188</v>
      </c>
      <c r="F51">
        <v>15</v>
      </c>
      <c r="G51" s="126">
        <v>5849.59</v>
      </c>
      <c r="H51" s="116">
        <f t="shared" ref="H51:H52" si="13">G51+F51</f>
        <v>5864.59</v>
      </c>
      <c r="I51" s="230">
        <f>IF("generated"=1, "Path=MMRBEM_7_DOWN, Scaled Offset=5864.5900000000001455191522836685181", 6286.56391552386)</f>
        <v>6286.5639155238596</v>
      </c>
      <c r="L51" s="12" t="s">
        <v>64</v>
      </c>
    </row>
    <row r="52" spans="1:12" ht="15" x14ac:dyDescent="0.25">
      <c r="A52" s="224" t="s">
        <v>129</v>
      </c>
      <c r="B52">
        <v>71014</v>
      </c>
      <c r="C52" t="s">
        <v>216</v>
      </c>
      <c r="D52" t="s">
        <v>192</v>
      </c>
      <c r="E52" s="115" t="s">
        <v>188</v>
      </c>
      <c r="G52" s="126">
        <v>5899.59</v>
      </c>
      <c r="H52" s="116">
        <f t="shared" si="13"/>
        <v>5899.59</v>
      </c>
      <c r="I52" s="230">
        <f>IF("generated"=1, "Path=MMRBEM_7_DOWN, Scaled Offset=5899.5900000000001455191522836685181", 6320.99226315508)</f>
        <v>6320.9922631550799</v>
      </c>
      <c r="L52" s="12" t="s">
        <v>64</v>
      </c>
    </row>
    <row r="54" spans="1:12" ht="15" x14ac:dyDescent="0.25">
      <c r="A54" s="224" t="s">
        <v>129</v>
      </c>
      <c r="B54">
        <v>71015</v>
      </c>
      <c r="C54" t="s">
        <v>217</v>
      </c>
      <c r="D54" t="s">
        <v>192</v>
      </c>
      <c r="E54" s="115" t="s">
        <v>188</v>
      </c>
      <c r="G54" s="126">
        <v>5899.59</v>
      </c>
      <c r="H54" s="116">
        <f t="shared" ref="H54:H56" si="14">G54+F54</f>
        <v>5899.59</v>
      </c>
      <c r="I54" s="230">
        <f>IF("generated"=1, "Path=MMRBEM_7_DOWN, Scaled Offset=5899.5900000000001455191522836685181", 6320.99226315508)</f>
        <v>6320.9922631550799</v>
      </c>
      <c r="L54" s="12" t="s">
        <v>64</v>
      </c>
    </row>
    <row r="55" spans="1:12" ht="15" x14ac:dyDescent="0.25">
      <c r="A55" s="224" t="s">
        <v>129</v>
      </c>
      <c r="B55">
        <v>71015</v>
      </c>
      <c r="C55" t="s">
        <v>217</v>
      </c>
      <c r="D55" t="s">
        <v>192</v>
      </c>
      <c r="E55" s="115" t="s">
        <v>188</v>
      </c>
      <c r="F55">
        <v>-5</v>
      </c>
      <c r="G55" s="126">
        <v>6020.11</v>
      </c>
      <c r="H55" s="116">
        <f t="shared" si="14"/>
        <v>6015.11</v>
      </c>
      <c r="I55" s="230">
        <f>IF("generated"=1, "Path=MMRBEM_7_DOWN, Scaled Offset=6015.1099999999996725819073617458344", 6434.7252356465)</f>
        <v>6434.7252356464996</v>
      </c>
      <c r="L55" s="12" t="s">
        <v>64</v>
      </c>
    </row>
    <row r="56" spans="1:12" ht="15" x14ac:dyDescent="0.25">
      <c r="A56" s="224" t="s">
        <v>129</v>
      </c>
      <c r="B56">
        <v>71015</v>
      </c>
      <c r="C56" t="s">
        <v>217</v>
      </c>
      <c r="D56" t="s">
        <v>192</v>
      </c>
      <c r="E56" s="115" t="s">
        <v>218</v>
      </c>
      <c r="G56" s="126">
        <v>39.79</v>
      </c>
      <c r="H56" s="116">
        <f t="shared" si="14"/>
        <v>39.79</v>
      </c>
      <c r="I56" s="230">
        <f>IF("generated"=1, "Path=Track_6, Scaled Offset=39.789999999999999147348717087879777", 39.7899999999999)</f>
        <v>39.7899999999999</v>
      </c>
      <c r="L56" s="12" t="s">
        <v>64</v>
      </c>
    </row>
    <row r="58" spans="1:12" ht="15" x14ac:dyDescent="0.25">
      <c r="A58" s="224" t="s">
        <v>129</v>
      </c>
      <c r="B58">
        <v>71016</v>
      </c>
      <c r="C58" t="s">
        <v>219</v>
      </c>
      <c r="D58" t="s">
        <v>192</v>
      </c>
      <c r="E58" s="115" t="s">
        <v>188</v>
      </c>
      <c r="F58">
        <v>-5</v>
      </c>
      <c r="G58" s="126">
        <v>6020.11</v>
      </c>
      <c r="H58" s="116">
        <f t="shared" ref="H58:H59" si="15">G58+F58</f>
        <v>6015.11</v>
      </c>
      <c r="I58" s="230">
        <f>IF("generated"=1, "Path=MMRBEM_7_DOWN, Scaled Offset=6015.1099999999996725819073617458344", 6434.7252356465)</f>
        <v>6434.7252356464996</v>
      </c>
      <c r="L58" s="12" t="s">
        <v>64</v>
      </c>
    </row>
    <row r="59" spans="1:12" ht="15" x14ac:dyDescent="0.25">
      <c r="A59" s="224" t="s">
        <v>129</v>
      </c>
      <c r="B59">
        <v>71016</v>
      </c>
      <c r="C59" t="s">
        <v>219</v>
      </c>
      <c r="D59" t="s">
        <v>192</v>
      </c>
      <c r="E59" s="115" t="s">
        <v>188</v>
      </c>
      <c r="F59">
        <v>2</v>
      </c>
      <c r="G59" s="126">
        <v>6217.33</v>
      </c>
      <c r="H59" s="116">
        <f t="shared" si="15"/>
        <v>6219.33</v>
      </c>
      <c r="I59" s="230">
        <f>IF("generated"=1, "Path=MMRBEM_7_DOWN, Scaled Offset=6219.329999999999927240423858165741", 6636.56210286305)</f>
        <v>6636.5621028630503</v>
      </c>
      <c r="L59" s="12" t="s">
        <v>64</v>
      </c>
    </row>
    <row r="61" spans="1:12" ht="15" x14ac:dyDescent="0.25">
      <c r="A61" s="224" t="s">
        <v>129</v>
      </c>
      <c r="B61">
        <v>71017</v>
      </c>
      <c r="C61" t="s">
        <v>220</v>
      </c>
      <c r="D61" t="s">
        <v>192</v>
      </c>
      <c r="E61" s="115" t="s">
        <v>188</v>
      </c>
      <c r="F61">
        <v>2</v>
      </c>
      <c r="G61" s="126">
        <v>6217.33</v>
      </c>
      <c r="H61" s="116">
        <f t="shared" ref="H61:H63" si="16">G61+F61</f>
        <v>6219.33</v>
      </c>
      <c r="I61" s="230">
        <f>IF("generated"=1, "Path=MMRBEM_7_DOWN, Scaled Offset=6219.329999999999927240423858165741", 6636.56210286305)</f>
        <v>6636.5621028630503</v>
      </c>
      <c r="L61" s="12" t="s">
        <v>64</v>
      </c>
    </row>
    <row r="62" spans="1:12" ht="15" x14ac:dyDescent="0.25">
      <c r="A62" s="224" t="s">
        <v>129</v>
      </c>
      <c r="B62">
        <v>71017</v>
      </c>
      <c r="C62" t="s">
        <v>220</v>
      </c>
      <c r="D62" t="s">
        <v>192</v>
      </c>
      <c r="E62" s="115" t="s">
        <v>188</v>
      </c>
      <c r="G62" s="126">
        <v>6319.69</v>
      </c>
      <c r="H62" s="116">
        <f t="shared" si="16"/>
        <v>6319.69</v>
      </c>
      <c r="I62" s="230">
        <f>IF("generated"=1, "Path=MMRBEM_7_DOWN, Scaled Offset=6319.6899999999995998223312199115753", 6736.54241483982)</f>
        <v>6736.5424148398197</v>
      </c>
      <c r="L62" s="12" t="s">
        <v>64</v>
      </c>
    </row>
    <row r="63" spans="1:12" ht="15" x14ac:dyDescent="0.25">
      <c r="A63" s="224" t="s">
        <v>129</v>
      </c>
      <c r="B63">
        <v>71017</v>
      </c>
      <c r="C63" t="s">
        <v>220</v>
      </c>
      <c r="D63" t="s">
        <v>192</v>
      </c>
      <c r="E63" s="115" t="s">
        <v>221</v>
      </c>
      <c r="G63" s="126">
        <v>39.79</v>
      </c>
      <c r="H63" s="116">
        <f t="shared" si="16"/>
        <v>39.79</v>
      </c>
      <c r="I63" s="230">
        <f>IF("generated"=1, "Path=Track_5, Scaled Offset=39.789999999999999147348717087879777", 39.7899999999999)</f>
        <v>39.7899999999999</v>
      </c>
      <c r="L63" s="12" t="s">
        <v>64</v>
      </c>
    </row>
    <row r="65" spans="1:12" ht="15" x14ac:dyDescent="0.25">
      <c r="A65" s="224" t="s">
        <v>129</v>
      </c>
      <c r="B65">
        <v>71018</v>
      </c>
      <c r="C65" t="s">
        <v>222</v>
      </c>
      <c r="D65" t="s">
        <v>192</v>
      </c>
      <c r="E65" s="115" t="s">
        <v>188</v>
      </c>
      <c r="G65" s="126">
        <v>6319.69</v>
      </c>
      <c r="H65" s="116">
        <f t="shared" ref="H65:H66" si="17">G65+F65</f>
        <v>6319.69</v>
      </c>
      <c r="I65" s="230">
        <f>IF("generated"=1, "Path=MMRBEM_7_DOWN, Scaled Offset=6319.6899999999995998223312199115753", 6736.54241483982)</f>
        <v>6736.5424148398197</v>
      </c>
      <c r="L65" s="12" t="s">
        <v>64</v>
      </c>
    </row>
    <row r="66" spans="1:12" ht="15" x14ac:dyDescent="0.25">
      <c r="A66" s="224" t="s">
        <v>129</v>
      </c>
      <c r="B66">
        <v>71018</v>
      </c>
      <c r="C66" t="s">
        <v>222</v>
      </c>
      <c r="D66" t="s">
        <v>192</v>
      </c>
      <c r="E66" s="115" t="s">
        <v>188</v>
      </c>
      <c r="G66" s="126">
        <v>6369.69</v>
      </c>
      <c r="H66" s="116">
        <f t="shared" si="17"/>
        <v>6369.69</v>
      </c>
      <c r="I66" s="230">
        <f>IF("generated"=1, "Path=MMRBEM_7_DOWN, Scaled Offset=6369.6899999999995998223312199115753", 6786.47984381713)</f>
        <v>6786.4798438171301</v>
      </c>
      <c r="L66" s="12" t="s">
        <v>64</v>
      </c>
    </row>
    <row r="68" spans="1:12" ht="15" x14ac:dyDescent="0.25">
      <c r="A68" s="224" t="s">
        <v>129</v>
      </c>
      <c r="B68">
        <v>71019</v>
      </c>
      <c r="C68" t="s">
        <v>223</v>
      </c>
      <c r="D68" t="s">
        <v>192</v>
      </c>
      <c r="E68" s="115" t="s">
        <v>188</v>
      </c>
      <c r="G68" s="126">
        <v>6369.69</v>
      </c>
      <c r="H68" s="116">
        <f t="shared" ref="H68:H69" si="18">G68+F68</f>
        <v>6369.69</v>
      </c>
      <c r="I68" s="230">
        <f>IF("generated"=1, "Path=MMRBEM_7_DOWN, Scaled Offset=6369.6899999999995998223312199115753", 6786.47984381713)</f>
        <v>6786.4798438171301</v>
      </c>
      <c r="L68" s="12" t="s">
        <v>64</v>
      </c>
    </row>
    <row r="69" spans="1:12" ht="15" x14ac:dyDescent="0.25">
      <c r="A69" s="224" t="s">
        <v>129</v>
      </c>
      <c r="B69">
        <v>71019</v>
      </c>
      <c r="C69" t="s">
        <v>223</v>
      </c>
      <c r="D69" t="s">
        <v>192</v>
      </c>
      <c r="E69" s="115" t="s">
        <v>188</v>
      </c>
      <c r="G69" s="126">
        <v>7173.94</v>
      </c>
      <c r="H69" s="116">
        <f t="shared" si="18"/>
        <v>7173.94</v>
      </c>
      <c r="I69" s="230">
        <f>IF("generated"=1, "Path=MMRBEM_7_DOWN, Scaled Offset=7173.9399999999995998223312199115753", 7589.72338891709)</f>
        <v>7589.7233889170902</v>
      </c>
      <c r="L69" s="12" t="s">
        <v>64</v>
      </c>
    </row>
    <row r="71" spans="1:12" ht="15" x14ac:dyDescent="0.25">
      <c r="A71" s="224" t="s">
        <v>129</v>
      </c>
      <c r="B71">
        <v>71020</v>
      </c>
      <c r="C71" t="s">
        <v>224</v>
      </c>
      <c r="D71" t="s">
        <v>192</v>
      </c>
      <c r="E71" s="115" t="s">
        <v>188</v>
      </c>
      <c r="G71" s="126">
        <v>7173.94</v>
      </c>
      <c r="H71" s="116">
        <f t="shared" ref="H71:H72" si="19">G71+F71</f>
        <v>7173.94</v>
      </c>
      <c r="I71" s="230">
        <f>IF("generated"=1, "Path=MMRBEM_7_DOWN, Scaled Offset=7173.9399999999995998223312199115753", 7589.72338891709)</f>
        <v>7589.7233889170902</v>
      </c>
      <c r="L71" s="12" t="s">
        <v>64</v>
      </c>
    </row>
    <row r="72" spans="1:12" ht="15" x14ac:dyDescent="0.25">
      <c r="A72" s="224" t="s">
        <v>129</v>
      </c>
      <c r="B72">
        <v>71020</v>
      </c>
      <c r="C72" t="s">
        <v>224</v>
      </c>
      <c r="D72" t="s">
        <v>192</v>
      </c>
      <c r="E72" s="115" t="s">
        <v>188</v>
      </c>
      <c r="G72" s="126">
        <v>7371.16</v>
      </c>
      <c r="H72" s="116">
        <f t="shared" si="19"/>
        <v>7371.16</v>
      </c>
      <c r="I72" s="230">
        <f>IF("generated"=1, "Path=MMRBEM_7_DOWN, Scaled Offset=7371.1599999999998544808477163314819", 7786.69658377517)</f>
        <v>7786.6965837751704</v>
      </c>
      <c r="L72" s="12" t="s">
        <v>64</v>
      </c>
    </row>
    <row r="74" spans="1:12" ht="15" x14ac:dyDescent="0.25">
      <c r="A74" s="224" t="s">
        <v>129</v>
      </c>
      <c r="B74">
        <v>71021</v>
      </c>
      <c r="C74" t="s">
        <v>225</v>
      </c>
      <c r="D74" t="s">
        <v>192</v>
      </c>
      <c r="E74" s="115" t="s">
        <v>188</v>
      </c>
      <c r="G74" s="126">
        <v>7371.16</v>
      </c>
      <c r="H74" s="116">
        <f t="shared" ref="H74:H75" si="20">G74+F74</f>
        <v>7371.16</v>
      </c>
      <c r="I74" s="230">
        <f>IF("generated"=1, "Path=MMRBEM_7_DOWN, Scaled Offset=7371.1599999999998544808477163314819", 7786.69658377517)</f>
        <v>7786.6965837751704</v>
      </c>
      <c r="L74" s="12" t="s">
        <v>64</v>
      </c>
    </row>
    <row r="75" spans="1:12" ht="15" x14ac:dyDescent="0.25">
      <c r="A75" s="224" t="s">
        <v>129</v>
      </c>
      <c r="B75">
        <v>71021</v>
      </c>
      <c r="C75" t="s">
        <v>225</v>
      </c>
      <c r="D75" t="s">
        <v>192</v>
      </c>
      <c r="E75" s="115" t="s">
        <v>188</v>
      </c>
      <c r="G75" s="126">
        <v>8006.82</v>
      </c>
      <c r="H75" s="116">
        <f t="shared" si="20"/>
        <v>8006.82</v>
      </c>
      <c r="I75" s="230">
        <f>IF("generated"=1, "Path=MMRBEM_7_DOWN, Scaled Offset=8006.8199999999997089616954326629639", 8414.33911659182)</f>
        <v>8414.3391165918201</v>
      </c>
      <c r="L75" s="12" t="s">
        <v>64</v>
      </c>
    </row>
    <row r="77" spans="1:12" ht="15" x14ac:dyDescent="0.25">
      <c r="A77" s="224" t="s">
        <v>129</v>
      </c>
      <c r="B77">
        <v>71022</v>
      </c>
      <c r="C77" t="s">
        <v>226</v>
      </c>
      <c r="D77" t="s">
        <v>192</v>
      </c>
      <c r="E77" s="115" t="s">
        <v>188</v>
      </c>
      <c r="G77" s="126">
        <v>8006.82</v>
      </c>
      <c r="H77" s="116">
        <f t="shared" ref="H77:H78" si="21">G77+F77</f>
        <v>8006.82</v>
      </c>
      <c r="I77" s="230">
        <f>IF("generated"=1, "Path=MMRBEM_7_DOWN, Scaled Offset=8006.8199999999997089616954326629639", 8414.33911659182)</f>
        <v>8414.3391165918201</v>
      </c>
      <c r="L77" s="12" t="s">
        <v>64</v>
      </c>
    </row>
    <row r="78" spans="1:12" ht="15" x14ac:dyDescent="0.25">
      <c r="A78" s="224" t="s">
        <v>129</v>
      </c>
      <c r="B78">
        <v>71022</v>
      </c>
      <c r="C78" t="s">
        <v>226</v>
      </c>
      <c r="D78" t="s">
        <v>192</v>
      </c>
      <c r="E78" s="115" t="s">
        <v>188</v>
      </c>
      <c r="G78" s="126">
        <v>8203.0400000000009</v>
      </c>
      <c r="H78" s="116">
        <f t="shared" si="21"/>
        <v>8203.0400000000009</v>
      </c>
      <c r="I78" s="230">
        <f>IF("generated"=1, "Path=MMRBEM_7_DOWN, Scaled Offset=8203.0400000000008731149137020111084", 8606.83020725329)</f>
        <v>8606.8302072532897</v>
      </c>
      <c r="L78" s="12" t="s">
        <v>64</v>
      </c>
    </row>
    <row r="80" spans="1:12" ht="15" x14ac:dyDescent="0.25">
      <c r="A80" s="224" t="s">
        <v>129</v>
      </c>
      <c r="B80">
        <v>71023</v>
      </c>
      <c r="C80" t="s">
        <v>227</v>
      </c>
      <c r="D80" t="s">
        <v>192</v>
      </c>
      <c r="E80" s="115" t="s">
        <v>188</v>
      </c>
      <c r="G80" s="126">
        <v>8203.0400000000009</v>
      </c>
      <c r="H80" s="116">
        <f t="shared" ref="H80:H81" si="22">G80+F80</f>
        <v>8203.0400000000009</v>
      </c>
      <c r="I80" s="230">
        <f>IF("generated"=1, "Path=MMRBEM_7_DOWN, Scaled Offset=8203.0400000000008731149137020111084", 8606.83020725329)</f>
        <v>8606.8302072532897</v>
      </c>
      <c r="L80" s="12" t="s">
        <v>64</v>
      </c>
    </row>
    <row r="81" spans="1:12" ht="15" x14ac:dyDescent="0.25">
      <c r="A81" s="224" t="s">
        <v>129</v>
      </c>
      <c r="B81">
        <v>71023</v>
      </c>
      <c r="C81" t="s">
        <v>227</v>
      </c>
      <c r="D81" t="s">
        <v>192</v>
      </c>
      <c r="E81" s="115" t="s">
        <v>188</v>
      </c>
      <c r="G81" s="126">
        <v>8205.0400000000009</v>
      </c>
      <c r="H81" s="116">
        <f t="shared" si="22"/>
        <v>8205.0400000000009</v>
      </c>
      <c r="I81" s="230">
        <f>IF("generated"=1, "Path=MMRBEM_7_DOWN, Scaled Offset=8205.0400000000008731149137020111084", 8608.79219981941)</f>
        <v>8608.7921998194106</v>
      </c>
      <c r="L81" s="12" t="s">
        <v>64</v>
      </c>
    </row>
    <row r="83" spans="1:12" ht="15" x14ac:dyDescent="0.25">
      <c r="A83" s="224" t="s">
        <v>129</v>
      </c>
      <c r="B83">
        <v>71024</v>
      </c>
      <c r="C83" t="s">
        <v>229</v>
      </c>
      <c r="D83" t="s">
        <v>192</v>
      </c>
      <c r="E83" s="115" t="s">
        <v>188</v>
      </c>
      <c r="G83" s="126">
        <v>8205.0400000000009</v>
      </c>
      <c r="H83" s="116">
        <f t="shared" ref="H83:H84" si="23">G83+F83</f>
        <v>8205.0400000000009</v>
      </c>
      <c r="I83" s="230">
        <f>IF("generated"=1, "Path=MMRBEM_7_DOWN, Scaled Offset=8205.0400000000008731149137020111084", 8608.79219981941)</f>
        <v>8608.7921998194106</v>
      </c>
      <c r="L83" s="12" t="s">
        <v>64</v>
      </c>
    </row>
    <row r="84" spans="1:12" ht="15" x14ac:dyDescent="0.25">
      <c r="A84" s="224" t="s">
        <v>129</v>
      </c>
      <c r="B84">
        <v>71024</v>
      </c>
      <c r="C84" t="s">
        <v>229</v>
      </c>
      <c r="D84" t="s">
        <v>192</v>
      </c>
      <c r="E84" s="115" t="s">
        <v>188</v>
      </c>
      <c r="G84" s="126">
        <v>9277.33</v>
      </c>
      <c r="H84" s="116">
        <f t="shared" si="23"/>
        <v>9277.33</v>
      </c>
      <c r="I84" s="230">
        <f>IF("generated"=1, "Path=MMRBEM_7_DOWN, Scaled Offset=9277.329999999999927240423858165741", 9660.70470417876)</f>
        <v>9660.7047041787591</v>
      </c>
      <c r="L84" s="12" t="s">
        <v>64</v>
      </c>
    </row>
    <row r="86" spans="1:12" ht="15" x14ac:dyDescent="0.25">
      <c r="A86" s="224" t="s">
        <v>129</v>
      </c>
      <c r="B86">
        <v>71025</v>
      </c>
      <c r="C86" t="s">
        <v>230</v>
      </c>
      <c r="D86" t="s">
        <v>192</v>
      </c>
      <c r="E86" s="115" t="s">
        <v>188</v>
      </c>
      <c r="G86" s="126">
        <v>9277.33</v>
      </c>
      <c r="H86" s="116">
        <f t="shared" ref="H86:H87" si="24">G86+F86</f>
        <v>9277.33</v>
      </c>
      <c r="I86" s="230">
        <f>IF("generated"=1, "Path=MMRBEM_7_DOWN, Scaled Offset=9277.329999999999927240423858165741", 9660.70470417876)</f>
        <v>9660.7047041787591</v>
      </c>
      <c r="L86" s="12" t="s">
        <v>64</v>
      </c>
    </row>
    <row r="87" spans="1:12" ht="15" x14ac:dyDescent="0.25">
      <c r="A87" s="224" t="s">
        <v>129</v>
      </c>
      <c r="B87">
        <v>71025</v>
      </c>
      <c r="C87" t="s">
        <v>230</v>
      </c>
      <c r="D87" t="s">
        <v>192</v>
      </c>
      <c r="E87" s="115" t="s">
        <v>188</v>
      </c>
      <c r="G87" s="126">
        <v>9474.5499999999993</v>
      </c>
      <c r="H87" s="116">
        <f t="shared" si="24"/>
        <v>9474.5499999999993</v>
      </c>
      <c r="I87" s="230">
        <f>IF("generated"=1, "Path=MMRBEM_7_DOWN, Scaled Offset=9474.5499999999992724042385816574097", 9854.17679112329)</f>
        <v>9854.1767911232891</v>
      </c>
      <c r="L87" s="12" t="s">
        <v>64</v>
      </c>
    </row>
    <row r="89" spans="1:12" ht="15" x14ac:dyDescent="0.25">
      <c r="A89" s="224" t="s">
        <v>129</v>
      </c>
      <c r="B89">
        <v>71026</v>
      </c>
      <c r="C89" t="s">
        <v>231</v>
      </c>
      <c r="D89" t="s">
        <v>192</v>
      </c>
      <c r="E89" s="115" t="s">
        <v>188</v>
      </c>
      <c r="G89" s="126">
        <v>9474.5499999999993</v>
      </c>
      <c r="H89" s="116">
        <f t="shared" ref="H89:H90" si="25">G89+F89</f>
        <v>9474.5499999999993</v>
      </c>
      <c r="I89" s="230">
        <f>IF("generated"=1, "Path=MMRBEM_7_DOWN, Scaled Offset=9474.5499999999992724042385816574097", 9854.17679112329)</f>
        <v>9854.1767911232891</v>
      </c>
      <c r="L89" s="12" t="s">
        <v>64</v>
      </c>
    </row>
    <row r="90" spans="1:12" ht="15" x14ac:dyDescent="0.25">
      <c r="A90" s="224" t="s">
        <v>129</v>
      </c>
      <c r="B90">
        <v>71026</v>
      </c>
      <c r="C90" t="s">
        <v>231</v>
      </c>
      <c r="D90" t="s">
        <v>192</v>
      </c>
      <c r="E90" s="115" t="s">
        <v>188</v>
      </c>
      <c r="G90" s="126">
        <v>9985.0400000000009</v>
      </c>
      <c r="H90" s="116">
        <f t="shared" si="25"/>
        <v>9985.0400000000009</v>
      </c>
      <c r="I90" s="230">
        <f>IF("generated"=1, "Path=MMRBEM_7_DOWN, Scaled Offset=9985.0400000000008731149137020111084", 10354.9655836611)</f>
        <v>10354.9655836611</v>
      </c>
      <c r="L90" s="12" t="s">
        <v>64</v>
      </c>
    </row>
    <row r="92" spans="1:12" ht="15" x14ac:dyDescent="0.25">
      <c r="A92" s="224" t="s">
        <v>129</v>
      </c>
      <c r="B92">
        <v>71027</v>
      </c>
      <c r="C92" t="s">
        <v>232</v>
      </c>
      <c r="D92" t="s">
        <v>192</v>
      </c>
      <c r="E92" s="115" t="s">
        <v>188</v>
      </c>
      <c r="G92" s="126">
        <v>9985.0400000000009</v>
      </c>
      <c r="H92" s="116">
        <f t="shared" ref="H92:H93" si="26">G92+F92</f>
        <v>9985.0400000000009</v>
      </c>
      <c r="I92" s="230">
        <f>IF("generated"=1, "Path=MMRBEM_7_DOWN, Scaled Offset=9985.0400000000008731149137020111084", 10354.9655836611)</f>
        <v>10354.9655836611</v>
      </c>
      <c r="L92" s="12" t="s">
        <v>64</v>
      </c>
    </row>
    <row r="93" spans="1:12" ht="15" x14ac:dyDescent="0.25">
      <c r="A93" s="224" t="s">
        <v>129</v>
      </c>
      <c r="B93">
        <v>71027</v>
      </c>
      <c r="C93" t="s">
        <v>232</v>
      </c>
      <c r="D93" t="s">
        <v>192</v>
      </c>
      <c r="E93" s="115" t="s">
        <v>188</v>
      </c>
      <c r="G93" s="126">
        <v>10182.26</v>
      </c>
      <c r="H93" s="116">
        <f t="shared" si="26"/>
        <v>10182.26</v>
      </c>
      <c r="I93" s="230">
        <f>IF("generated"=1, "Path=MMRBEM_7_DOWN, Scaled Offset=10182.260000000000218278728425502777", 10548.4376706056)</f>
        <v>10548.437670605599</v>
      </c>
      <c r="L93" s="12" t="s">
        <v>64</v>
      </c>
    </row>
    <row r="95" spans="1:12" ht="15" x14ac:dyDescent="0.25">
      <c r="A95" s="224" t="s">
        <v>129</v>
      </c>
      <c r="B95">
        <v>71028</v>
      </c>
      <c r="C95" t="s">
        <v>233</v>
      </c>
      <c r="D95" t="s">
        <v>192</v>
      </c>
      <c r="E95" s="115" t="s">
        <v>188</v>
      </c>
      <c r="G95" s="126">
        <v>10182.26</v>
      </c>
      <c r="H95" s="116">
        <f t="shared" ref="H95:H96" si="27">G95+F95</f>
        <v>10182.26</v>
      </c>
      <c r="I95" s="230">
        <f>IF("generated"=1, "Path=MMRBEM_7_DOWN, Scaled Offset=10182.260000000000218278728425502777", 10548.4376706056)</f>
        <v>10548.437670605599</v>
      </c>
      <c r="L95" s="12" t="s">
        <v>64</v>
      </c>
    </row>
    <row r="96" spans="1:12" ht="15" x14ac:dyDescent="0.25">
      <c r="A96" s="224" t="s">
        <v>129</v>
      </c>
      <c r="B96">
        <v>71028</v>
      </c>
      <c r="C96" t="s">
        <v>233</v>
      </c>
      <c r="D96" t="s">
        <v>192</v>
      </c>
      <c r="E96" s="115" t="s">
        <v>188</v>
      </c>
      <c r="G96" s="126">
        <v>11660.96</v>
      </c>
      <c r="H96" s="116">
        <f t="shared" si="27"/>
        <v>11660.96</v>
      </c>
      <c r="I96" s="230">
        <f>IF("generated"=1, "Path=MMRBEM_7_DOWN, Scaled Offset=11660.959999999999126885086297988892", 11999.0368743622)</f>
        <v>11999.0368743622</v>
      </c>
      <c r="L96" s="12" t="s">
        <v>64</v>
      </c>
    </row>
    <row r="98" spans="1:12" ht="15" x14ac:dyDescent="0.25">
      <c r="A98" s="224" t="s">
        <v>129</v>
      </c>
      <c r="B98">
        <v>71029</v>
      </c>
      <c r="C98" t="s">
        <v>234</v>
      </c>
      <c r="D98" t="s">
        <v>192</v>
      </c>
      <c r="E98" s="115" t="s">
        <v>188</v>
      </c>
      <c r="G98" s="126">
        <v>11660.96</v>
      </c>
      <c r="H98" s="116">
        <f t="shared" ref="H98:H99" si="28">G98+F98</f>
        <v>11660.96</v>
      </c>
      <c r="I98" s="230">
        <f>IF("generated"=1, "Path=MMRBEM_7_DOWN, Scaled Offset=11660.959999999999126885086297988892", 11999.0368743622)</f>
        <v>11999.0368743622</v>
      </c>
      <c r="L98" s="12" t="s">
        <v>64</v>
      </c>
    </row>
    <row r="99" spans="1:12" ht="15" x14ac:dyDescent="0.25">
      <c r="A99" s="224" t="s">
        <v>129</v>
      </c>
      <c r="B99">
        <v>71029</v>
      </c>
      <c r="C99" t="s">
        <v>234</v>
      </c>
      <c r="D99" t="s">
        <v>192</v>
      </c>
      <c r="E99" s="115" t="s">
        <v>188</v>
      </c>
      <c r="G99" s="126">
        <v>11858.21</v>
      </c>
      <c r="H99" s="116">
        <f t="shared" si="28"/>
        <v>11858.21</v>
      </c>
      <c r="I99" s="230">
        <f>IF("generated"=1, "Path=MMRBEM_7_DOWN, Scaled Offset=11858.209999999999126885086297988892", 12192.5383911952)</f>
        <v>12192.538391195199</v>
      </c>
      <c r="L99" s="12" t="s">
        <v>64</v>
      </c>
    </row>
    <row r="101" spans="1:12" ht="15" x14ac:dyDescent="0.25">
      <c r="A101" s="224" t="s">
        <v>129</v>
      </c>
      <c r="B101">
        <v>71030</v>
      </c>
      <c r="C101" t="s">
        <v>235</v>
      </c>
      <c r="D101" t="s">
        <v>192</v>
      </c>
      <c r="E101" s="115" t="s">
        <v>188</v>
      </c>
      <c r="G101" s="126">
        <v>11858.21</v>
      </c>
      <c r="H101" s="116">
        <f t="shared" ref="H101:H102" si="29">G101+F101</f>
        <v>11858.21</v>
      </c>
      <c r="I101" s="230">
        <f>IF("generated"=1, "Path=MMRBEM_7_DOWN, Scaled Offset=11858.209999999999126885086297988892", 12192.5383911952)</f>
        <v>12192.538391195199</v>
      </c>
      <c r="L101" s="12" t="s">
        <v>64</v>
      </c>
    </row>
    <row r="102" spans="1:12" ht="15" x14ac:dyDescent="0.25">
      <c r="A102" s="224" t="s">
        <v>129</v>
      </c>
      <c r="B102">
        <v>71030</v>
      </c>
      <c r="C102" t="s">
        <v>235</v>
      </c>
      <c r="D102" t="s">
        <v>192</v>
      </c>
      <c r="E102" s="115" t="s">
        <v>188</v>
      </c>
      <c r="G102" s="126">
        <v>12497.86</v>
      </c>
      <c r="H102" s="116">
        <f t="shared" si="29"/>
        <v>12497.86</v>
      </c>
      <c r="I102" s="230">
        <f>IF("generated"=1, "Path=MMRBEM_7_DOWN, Scaled Offset=12497.860000000000582076609134674072", 12820.0326636528)</f>
        <v>12820.032663652801</v>
      </c>
      <c r="L102" s="12" t="s">
        <v>64</v>
      </c>
    </row>
    <row r="104" spans="1:12" ht="15" x14ac:dyDescent="0.25">
      <c r="A104" s="224" t="s">
        <v>129</v>
      </c>
      <c r="B104">
        <v>71031</v>
      </c>
      <c r="C104" t="s">
        <v>236</v>
      </c>
      <c r="D104" t="s">
        <v>192</v>
      </c>
      <c r="E104" s="115" t="s">
        <v>188</v>
      </c>
      <c r="G104" s="126">
        <v>12497.86</v>
      </c>
      <c r="H104" s="116">
        <f t="shared" ref="H104:H105" si="30">G104+F104</f>
        <v>12497.86</v>
      </c>
      <c r="I104" s="230">
        <f>IF("generated"=1, "Path=MMRBEM_7_DOWN, Scaled Offset=12497.860000000000582076609134674072", 12820.0326636528)</f>
        <v>12820.032663652801</v>
      </c>
      <c r="L104" s="12" t="s">
        <v>64</v>
      </c>
    </row>
    <row r="105" spans="1:12" ht="15" x14ac:dyDescent="0.25">
      <c r="A105" s="224" t="s">
        <v>129</v>
      </c>
      <c r="B105">
        <v>71031</v>
      </c>
      <c r="C105" t="s">
        <v>236</v>
      </c>
      <c r="D105" t="s">
        <v>192</v>
      </c>
      <c r="E105" s="115" t="s">
        <v>188</v>
      </c>
      <c r="G105" s="126">
        <v>12694.08</v>
      </c>
      <c r="H105" s="116">
        <f t="shared" si="30"/>
        <v>12694.08</v>
      </c>
      <c r="I105" s="230">
        <f>IF("generated"=1, "Path=MMRBEM_7_DOWN, Scaled Offset=12694.079999999999927240423858165741", 13012.5237543142)</f>
        <v>13012.523754314199</v>
      </c>
      <c r="L105" s="12" t="s">
        <v>64</v>
      </c>
    </row>
    <row r="107" spans="1:12" ht="15" x14ac:dyDescent="0.25">
      <c r="A107" s="224" t="s">
        <v>129</v>
      </c>
      <c r="B107">
        <v>71032</v>
      </c>
      <c r="C107" t="s">
        <v>237</v>
      </c>
      <c r="D107" t="s">
        <v>192</v>
      </c>
      <c r="E107" s="115" t="s">
        <v>188</v>
      </c>
      <c r="G107" s="126">
        <v>12694.08</v>
      </c>
      <c r="H107" s="116">
        <f t="shared" ref="H107:H108" si="31">G107+F107</f>
        <v>12694.08</v>
      </c>
      <c r="I107" s="230">
        <f>IF("generated"=1, "Path=MMRBEM_7_DOWN, Scaled Offset=12694.079999999999927240423858165741", 13012.5237543142)</f>
        <v>13012.523754314199</v>
      </c>
      <c r="L107" s="12" t="s">
        <v>64</v>
      </c>
    </row>
    <row r="108" spans="1:12" ht="15" x14ac:dyDescent="0.25">
      <c r="A108" s="224" t="s">
        <v>129</v>
      </c>
      <c r="B108">
        <v>71032</v>
      </c>
      <c r="C108" t="s">
        <v>237</v>
      </c>
      <c r="D108" t="s">
        <v>192</v>
      </c>
      <c r="E108" s="115" t="s">
        <v>188</v>
      </c>
      <c r="G108" s="126">
        <v>12696.08</v>
      </c>
      <c r="H108" s="116">
        <f t="shared" si="31"/>
        <v>12696.08</v>
      </c>
      <c r="I108" s="230">
        <f>IF("generated"=1, "Path=MMRBEM_7_DOWN, Scaled Offset=12696.079999999999927240423858165741", 13014.4857468803)</f>
        <v>13014.4857468803</v>
      </c>
      <c r="L108" s="12" t="s">
        <v>64</v>
      </c>
    </row>
    <row r="110" spans="1:12" ht="15" x14ac:dyDescent="0.25">
      <c r="A110" s="224" t="s">
        <v>129</v>
      </c>
      <c r="B110">
        <v>71033</v>
      </c>
      <c r="C110" t="s">
        <v>238</v>
      </c>
      <c r="D110" t="s">
        <v>192</v>
      </c>
      <c r="E110" s="115" t="s">
        <v>188</v>
      </c>
      <c r="G110" s="126">
        <v>12696.08</v>
      </c>
      <c r="H110" s="116">
        <f t="shared" ref="H110:H111" si="32">G110+F110</f>
        <v>12696.08</v>
      </c>
      <c r="I110" s="230">
        <f>IF("generated"=1, "Path=MMRBEM_7_DOWN, Scaled Offset=12696.079999999999927240423858165741", 13014.4857468803)</f>
        <v>13014.4857468803</v>
      </c>
      <c r="L110" s="12" t="s">
        <v>64</v>
      </c>
    </row>
    <row r="111" spans="1:12" ht="15" x14ac:dyDescent="0.25">
      <c r="A111" s="224" t="s">
        <v>129</v>
      </c>
      <c r="B111">
        <v>71033</v>
      </c>
      <c r="C111" t="s">
        <v>238</v>
      </c>
      <c r="D111" t="s">
        <v>192</v>
      </c>
      <c r="E111" s="115" t="s">
        <v>188</v>
      </c>
      <c r="G111" s="126">
        <v>13661.65</v>
      </c>
      <c r="H111" s="116">
        <f t="shared" si="32"/>
        <v>13661.65</v>
      </c>
      <c r="I111" s="230">
        <f>IF("generated"=1, "Path=MMRBEM_7_DOWN, Scaled Offset=13661.649999999999636202119290828705", 13961.7063279118)</f>
        <v>13961.706327911799</v>
      </c>
      <c r="L111" s="12" t="s">
        <v>64</v>
      </c>
    </row>
    <row r="113" spans="1:12" ht="15" x14ac:dyDescent="0.25">
      <c r="A113" s="224" t="s">
        <v>129</v>
      </c>
      <c r="B113">
        <v>71034</v>
      </c>
      <c r="C113" t="s">
        <v>239</v>
      </c>
      <c r="D113" t="s">
        <v>192</v>
      </c>
      <c r="E113" s="115" t="s">
        <v>188</v>
      </c>
      <c r="G113" s="126">
        <v>13661.65</v>
      </c>
      <c r="H113" s="116">
        <f t="shared" ref="H113:H114" si="33">G113+F113</f>
        <v>13661.65</v>
      </c>
      <c r="I113" s="230">
        <f>IF("generated"=1, "Path=MMRBEM_7_DOWN, Scaled Offset=13661.649999999999636202119290828705", 13961.7063279118)</f>
        <v>13961.706327911799</v>
      </c>
      <c r="L113" s="12" t="s">
        <v>64</v>
      </c>
    </row>
    <row r="114" spans="1:12" ht="15" x14ac:dyDescent="0.25">
      <c r="A114" s="224" t="s">
        <v>129</v>
      </c>
      <c r="B114">
        <v>71034</v>
      </c>
      <c r="C114" t="s">
        <v>239</v>
      </c>
      <c r="D114" t="s">
        <v>192</v>
      </c>
      <c r="E114" s="115" t="s">
        <v>188</v>
      </c>
      <c r="G114" s="126">
        <v>13858.87</v>
      </c>
      <c r="H114" s="116">
        <f t="shared" si="33"/>
        <v>13858.87</v>
      </c>
      <c r="I114" s="230">
        <f>IF("generated"=1, "Path=MMRBEM_7_DOWN, Scaled Offset=13858.870000000000800355337560176849", 14155.1784148564)</f>
        <v>14155.1784148564</v>
      </c>
      <c r="L114" s="12" t="s">
        <v>64</v>
      </c>
    </row>
    <row r="116" spans="1:12" ht="15" x14ac:dyDescent="0.25">
      <c r="A116" s="224" t="s">
        <v>129</v>
      </c>
      <c r="B116">
        <v>71035</v>
      </c>
      <c r="C116" t="s">
        <v>240</v>
      </c>
      <c r="D116" t="s">
        <v>192</v>
      </c>
      <c r="E116" s="115" t="s">
        <v>188</v>
      </c>
      <c r="G116" s="126">
        <v>13858.87</v>
      </c>
      <c r="H116" s="116">
        <f t="shared" ref="H116:H117" si="34">G116+F116</f>
        <v>13858.87</v>
      </c>
      <c r="I116" s="230">
        <f>IF("generated"=1, "Path=MMRBEM_7_DOWN, Scaled Offset=13858.870000000000800355337560176849", 14155.1784148564)</f>
        <v>14155.1784148564</v>
      </c>
      <c r="L116" s="12" t="s">
        <v>64</v>
      </c>
    </row>
    <row r="117" spans="1:12" ht="15" x14ac:dyDescent="0.25">
      <c r="A117" s="224" t="s">
        <v>129</v>
      </c>
      <c r="B117">
        <v>71035</v>
      </c>
      <c r="C117" t="s">
        <v>240</v>
      </c>
      <c r="D117" t="s">
        <v>192</v>
      </c>
      <c r="E117" s="115" t="s">
        <v>188</v>
      </c>
      <c r="G117" s="126">
        <v>14622.04</v>
      </c>
      <c r="H117" s="116">
        <f t="shared" si="34"/>
        <v>14622.04</v>
      </c>
      <c r="I117" s="230">
        <f>IF("generated"=1, "Path=MMRBEM_7_DOWN, Scaled Offset=14622.040000000000873114913702011108", 14903.8453481971)</f>
        <v>14903.845348197099</v>
      </c>
      <c r="L117" s="12" t="s">
        <v>64</v>
      </c>
    </row>
    <row r="119" spans="1:12" ht="15" x14ac:dyDescent="0.25">
      <c r="A119" s="224" t="s">
        <v>129</v>
      </c>
      <c r="B119">
        <v>71036</v>
      </c>
      <c r="C119" t="s">
        <v>241</v>
      </c>
      <c r="D119" t="s">
        <v>192</v>
      </c>
      <c r="E119" s="115" t="s">
        <v>188</v>
      </c>
      <c r="G119" s="126">
        <v>14622.04</v>
      </c>
      <c r="H119" s="116">
        <f t="shared" ref="H119:H120" si="35">G119+F119</f>
        <v>14622.04</v>
      </c>
      <c r="I119" s="230">
        <f>IF("generated"=1, "Path=MMRBEM_7_DOWN, Scaled Offset=14622.040000000000873114913702011108", 14903.8453481971)</f>
        <v>14903.845348197099</v>
      </c>
      <c r="L119" s="12" t="s">
        <v>64</v>
      </c>
    </row>
    <row r="120" spans="1:12" ht="15" x14ac:dyDescent="0.25">
      <c r="A120" s="224" t="s">
        <v>129</v>
      </c>
      <c r="B120">
        <v>71036</v>
      </c>
      <c r="C120" t="s">
        <v>241</v>
      </c>
      <c r="D120" t="s">
        <v>192</v>
      </c>
      <c r="E120" s="115" t="s">
        <v>188</v>
      </c>
      <c r="F120">
        <v>7</v>
      </c>
      <c r="G120" s="126">
        <v>14819.26</v>
      </c>
      <c r="H120" s="116">
        <f t="shared" si="35"/>
        <v>14826.26</v>
      </c>
      <c r="I120" s="230">
        <f>IF("generated"=1, "Path=MMRBEM_7_DOWN, Scaled Offset=14826.260000000000218278728425502777", 15104.184409123)</f>
        <v>15104.184409123</v>
      </c>
      <c r="L120" s="12" t="s">
        <v>64</v>
      </c>
    </row>
    <row r="122" spans="1:12" ht="15" x14ac:dyDescent="0.25">
      <c r="A122" s="224" t="s">
        <v>129</v>
      </c>
      <c r="B122">
        <v>71037</v>
      </c>
      <c r="C122" t="s">
        <v>242</v>
      </c>
      <c r="D122" t="s">
        <v>192</v>
      </c>
      <c r="E122" s="115" t="s">
        <v>188</v>
      </c>
      <c r="F122">
        <v>7</v>
      </c>
      <c r="G122" s="126">
        <v>14819.26</v>
      </c>
      <c r="H122" s="116">
        <f t="shared" ref="H122:H123" si="36">G122+F122</f>
        <v>14826.26</v>
      </c>
      <c r="I122" s="230">
        <f>IF("generated"=1, "Path=MMRBEM_7_DOWN, Scaled Offset=14826.260000000000218278728425502777", 15104.184409123)</f>
        <v>15104.184409123</v>
      </c>
      <c r="L122" s="12" t="s">
        <v>64</v>
      </c>
    </row>
    <row r="123" spans="1:12" ht="15" x14ac:dyDescent="0.25">
      <c r="A123" s="224" t="s">
        <v>129</v>
      </c>
      <c r="B123">
        <v>71037</v>
      </c>
      <c r="C123" t="s">
        <v>242</v>
      </c>
      <c r="D123" t="s">
        <v>192</v>
      </c>
      <c r="E123" s="115" t="s">
        <v>188</v>
      </c>
      <c r="G123" s="126">
        <v>14869.26</v>
      </c>
      <c r="H123" s="116">
        <f t="shared" si="36"/>
        <v>14869.26</v>
      </c>
      <c r="I123" s="230">
        <f>IF("generated"=1, "Path=MMRBEM_7_DOWN, Scaled Offset=14869.260000000000218278728425502777", 15146.3672492945)</f>
        <v>15146.367249294501</v>
      </c>
      <c r="L123" s="12" t="s">
        <v>64</v>
      </c>
    </row>
    <row r="125" spans="1:12" ht="15" x14ac:dyDescent="0.25">
      <c r="A125" s="224" t="s">
        <v>129</v>
      </c>
      <c r="B125">
        <v>71038</v>
      </c>
      <c r="C125" t="s">
        <v>243</v>
      </c>
      <c r="D125" t="s">
        <v>192</v>
      </c>
      <c r="E125" s="115" t="s">
        <v>188</v>
      </c>
      <c r="G125" s="126">
        <v>14869.26</v>
      </c>
      <c r="H125" s="116">
        <f t="shared" ref="H125:H127" si="37">G125+F125</f>
        <v>14869.26</v>
      </c>
      <c r="I125" s="230">
        <f>IF("generated"=1, "Path=MMRBEM_7_DOWN, Scaled Offset=14869.260000000000218278728425502777", 15146.3672492945)</f>
        <v>15146.367249294501</v>
      </c>
      <c r="L125" s="12" t="s">
        <v>64</v>
      </c>
    </row>
    <row r="126" spans="1:12" ht="15" x14ac:dyDescent="0.25">
      <c r="A126" s="224" t="s">
        <v>129</v>
      </c>
      <c r="B126">
        <v>71038</v>
      </c>
      <c r="C126" t="s">
        <v>243</v>
      </c>
      <c r="D126" t="s">
        <v>192</v>
      </c>
      <c r="E126" s="115" t="s">
        <v>188</v>
      </c>
      <c r="G126" s="126">
        <v>15025.01</v>
      </c>
      <c r="H126" s="116">
        <f t="shared" si="37"/>
        <v>15025.01</v>
      </c>
      <c r="I126" s="230">
        <f>IF("generated"=1, "Path=MMRBEM_7_DOWN, Scaled Offset=15025.010000000000218278728425502777", 15294.6370472909)</f>
        <v>15294.6370472909</v>
      </c>
      <c r="L126" s="12" t="s">
        <v>64</v>
      </c>
    </row>
    <row r="127" spans="1:12" ht="15" x14ac:dyDescent="0.25">
      <c r="A127" s="224" t="s">
        <v>129</v>
      </c>
      <c r="B127">
        <v>71038</v>
      </c>
      <c r="C127" t="s">
        <v>243</v>
      </c>
      <c r="D127" t="s">
        <v>192</v>
      </c>
      <c r="E127" s="115" t="s">
        <v>244</v>
      </c>
      <c r="G127" s="126">
        <v>39.79</v>
      </c>
      <c r="H127" s="116">
        <f t="shared" si="37"/>
        <v>39.79</v>
      </c>
      <c r="I127" s="230">
        <f>IF("generated"=1, "Path=Track_3, Scaled Offset=39.789999999999999147348717087879777", 39.7899999999999)</f>
        <v>39.7899999999999</v>
      </c>
      <c r="L127" s="12" t="s">
        <v>64</v>
      </c>
    </row>
    <row r="129" spans="1:12" ht="15" x14ac:dyDescent="0.25">
      <c r="A129" s="224" t="s">
        <v>129</v>
      </c>
      <c r="B129">
        <v>71039</v>
      </c>
      <c r="C129" t="s">
        <v>245</v>
      </c>
      <c r="D129" t="s">
        <v>192</v>
      </c>
      <c r="E129" s="115" t="s">
        <v>188</v>
      </c>
      <c r="G129" s="126">
        <v>15025.01</v>
      </c>
      <c r="H129" s="116">
        <f t="shared" ref="H129:H130" si="38">G129+F129</f>
        <v>15025.01</v>
      </c>
      <c r="I129" s="230">
        <f>IF("generated"=1, "Path=MMRBEM_7_DOWN, Scaled Offset=15025.010000000000218278728425502777", 15294.6370472909)</f>
        <v>15294.6370472909</v>
      </c>
      <c r="L129" s="12" t="s">
        <v>64</v>
      </c>
    </row>
    <row r="130" spans="1:12" ht="15" x14ac:dyDescent="0.25">
      <c r="A130" s="224" t="s">
        <v>129</v>
      </c>
      <c r="B130">
        <v>71039</v>
      </c>
      <c r="C130" t="s">
        <v>245</v>
      </c>
      <c r="D130" t="s">
        <v>192</v>
      </c>
      <c r="E130" s="115" t="s">
        <v>188</v>
      </c>
      <c r="G130" s="126">
        <v>15412.84</v>
      </c>
      <c r="H130" s="116">
        <f t="shared" si="38"/>
        <v>15412.84</v>
      </c>
      <c r="I130" s="230">
        <f>IF("generated"=1, "Path=MMRBEM_7_DOWN, Scaled Offset=15412.840000000000145519152283668518", 15651.9836347548)</f>
        <v>15651.983634754801</v>
      </c>
      <c r="L130" s="12" t="s">
        <v>64</v>
      </c>
    </row>
    <row r="132" spans="1:12" ht="15" x14ac:dyDescent="0.25">
      <c r="A132" s="224" t="s">
        <v>129</v>
      </c>
      <c r="B132">
        <v>71040</v>
      </c>
      <c r="C132" t="s">
        <v>246</v>
      </c>
      <c r="D132" t="s">
        <v>192</v>
      </c>
      <c r="E132" s="115" t="s">
        <v>188</v>
      </c>
      <c r="G132" s="126">
        <v>15412.84</v>
      </c>
      <c r="H132" s="116">
        <f t="shared" ref="H132:H133" si="39">G132+F132</f>
        <v>15412.84</v>
      </c>
      <c r="I132" s="230">
        <f>IF("generated"=1, "Path=MMRBEM_7_DOWN, Scaled Offset=15412.840000000000145519152283668518", 15651.9836347548)</f>
        <v>15651.983634754801</v>
      </c>
      <c r="L132" s="12" t="s">
        <v>64</v>
      </c>
    </row>
    <row r="133" spans="1:12" ht="15" x14ac:dyDescent="0.25">
      <c r="A133" s="224" t="s">
        <v>129</v>
      </c>
      <c r="B133">
        <v>71040</v>
      </c>
      <c r="C133" t="s">
        <v>246</v>
      </c>
      <c r="D133" t="s">
        <v>192</v>
      </c>
      <c r="E133" s="115" t="s">
        <v>188</v>
      </c>
      <c r="F133">
        <v>-20</v>
      </c>
      <c r="G133" s="126">
        <v>15414.84</v>
      </c>
      <c r="H133" s="116">
        <f t="shared" si="39"/>
        <v>15394.84</v>
      </c>
      <c r="I133" s="230">
        <f>IF("generated"=1, "Path=MMRBEM_7_DOWN, Scaled Offset=15394.840000000000145519152283668518", 15635.398433573)</f>
        <v>15635.398433573</v>
      </c>
      <c r="L133" s="12" t="s">
        <v>64</v>
      </c>
    </row>
    <row r="135" spans="1:12" ht="15" x14ac:dyDescent="0.25">
      <c r="A135" s="224" t="s">
        <v>129</v>
      </c>
      <c r="B135">
        <v>71041</v>
      </c>
      <c r="C135" t="s">
        <v>247</v>
      </c>
      <c r="D135" t="s">
        <v>192</v>
      </c>
      <c r="E135" s="115" t="s">
        <v>188</v>
      </c>
      <c r="F135">
        <v>-20</v>
      </c>
      <c r="G135" s="126">
        <v>15414.84</v>
      </c>
      <c r="H135" s="116">
        <f t="shared" ref="H135:H136" si="40">G135+F135</f>
        <v>15394.84</v>
      </c>
      <c r="I135" s="230">
        <f>IF("generated"=1, "Path=MMRBEM_7_DOWN, Scaled Offset=15394.840000000000145519152283668518", 15635.398433573)</f>
        <v>15635.398433573</v>
      </c>
      <c r="L135" s="12" t="s">
        <v>64</v>
      </c>
    </row>
    <row r="136" spans="1:12" ht="15" x14ac:dyDescent="0.25">
      <c r="A136" s="224" t="s">
        <v>129</v>
      </c>
      <c r="B136">
        <v>71041</v>
      </c>
      <c r="C136" t="s">
        <v>247</v>
      </c>
      <c r="D136" t="s">
        <v>192</v>
      </c>
      <c r="E136" s="115" t="s">
        <v>188</v>
      </c>
      <c r="G136" s="126">
        <v>15463.84</v>
      </c>
      <c r="H136" s="116">
        <f t="shared" si="40"/>
        <v>15463.84</v>
      </c>
      <c r="I136" s="230">
        <f>IF("generated"=1, "Path=MMRBEM_7_DOWN, Scaled Offset=15463.840000000000145519152283668518", 15705.1427057671)</f>
        <v>15705.142705767101</v>
      </c>
      <c r="L136" s="12" t="s">
        <v>64</v>
      </c>
    </row>
    <row r="138" spans="1:12" x14ac:dyDescent="0.2">
      <c r="A138" s="224" t="s">
        <v>129</v>
      </c>
      <c r="B138">
        <v>71042</v>
      </c>
      <c r="C138" t="s">
        <v>203</v>
      </c>
      <c r="D138" t="s">
        <v>192</v>
      </c>
      <c r="E138" s="94" t="s">
        <v>187</v>
      </c>
      <c r="G138" s="126">
        <v>-505.9</v>
      </c>
      <c r="H138" s="116">
        <f t="shared" ref="H138:H139" si="41">G138+F138</f>
        <v>-505.9</v>
      </c>
      <c r="I138" s="230">
        <f>IF("generated"=1, "Path=MMRBEM_7_UP, Scaled Offset=-505.89999999999997726263245567679405", 19.7156338330615)</f>
        <v>19.715633833061499</v>
      </c>
      <c r="L138" s="12" t="s">
        <v>64</v>
      </c>
    </row>
    <row r="139" spans="1:12" x14ac:dyDescent="0.2">
      <c r="A139" s="224" t="s">
        <v>129</v>
      </c>
      <c r="B139">
        <v>71042</v>
      </c>
      <c r="C139" t="s">
        <v>203</v>
      </c>
      <c r="D139" t="s">
        <v>192</v>
      </c>
      <c r="E139" s="94" t="s">
        <v>187</v>
      </c>
      <c r="G139" s="126">
        <v>-290.69</v>
      </c>
      <c r="H139" s="116">
        <f t="shared" si="41"/>
        <v>-290.69</v>
      </c>
      <c r="I139" s="230">
        <f>IF("generated"=1, "Path=MMRBEM_7_UP, Scaled Offset=-290.68999999999999772626324556767941", 231.865711693719)</f>
        <v>231.86571169371899</v>
      </c>
      <c r="L139" s="12" t="s">
        <v>64</v>
      </c>
    </row>
    <row r="141" spans="1:12" x14ac:dyDescent="0.2">
      <c r="A141" s="224" t="s">
        <v>129</v>
      </c>
      <c r="B141">
        <v>71043</v>
      </c>
      <c r="C141" t="s">
        <v>204</v>
      </c>
      <c r="D141" t="s">
        <v>192</v>
      </c>
      <c r="E141" s="94" t="s">
        <v>187</v>
      </c>
      <c r="G141" s="126">
        <v>-290.69</v>
      </c>
      <c r="H141" s="116">
        <f t="shared" ref="H141:H144" si="42">G141+F141</f>
        <v>-290.69</v>
      </c>
      <c r="I141" s="230">
        <f>IF("generated"=1, "Path=MMRBEM_7_UP, Scaled Offset=-290.68999999999999772626324556767941", 231.865711693719)</f>
        <v>231.86571169371899</v>
      </c>
      <c r="L141" s="12" t="s">
        <v>64</v>
      </c>
    </row>
    <row r="142" spans="1:12" x14ac:dyDescent="0.2">
      <c r="A142" s="224" t="s">
        <v>129</v>
      </c>
      <c r="B142">
        <v>71043</v>
      </c>
      <c r="C142" t="s">
        <v>204</v>
      </c>
      <c r="D142" t="s">
        <v>192</v>
      </c>
      <c r="E142" s="94" t="s">
        <v>187</v>
      </c>
      <c r="G142" s="126">
        <v>-183.87</v>
      </c>
      <c r="H142" s="116">
        <f t="shared" si="42"/>
        <v>-183.87</v>
      </c>
      <c r="I142" s="230">
        <f>IF("generated"=1, "Path=MMRBEM_7_UP, Scaled Offset=-183.87000000000000454747350886464119", 335.97538884381)</f>
        <v>335.97538884380998</v>
      </c>
      <c r="L142" s="12" t="s">
        <v>64</v>
      </c>
    </row>
    <row r="143" spans="1:12" ht="15" x14ac:dyDescent="0.25">
      <c r="A143" s="224" t="s">
        <v>129</v>
      </c>
      <c r="B143">
        <v>71043</v>
      </c>
      <c r="C143" t="s">
        <v>204</v>
      </c>
      <c r="D143" t="s">
        <v>192</v>
      </c>
      <c r="E143" s="115" t="s">
        <v>197</v>
      </c>
      <c r="G143" s="126">
        <v>45</v>
      </c>
      <c r="H143" s="116">
        <f t="shared" si="42"/>
        <v>45</v>
      </c>
      <c r="I143" s="230">
        <f>IF("generated"=1, "Path=Track_9, Scaled Offset=45", 45)</f>
        <v>45</v>
      </c>
      <c r="L143" s="12" t="s">
        <v>64</v>
      </c>
    </row>
    <row r="144" spans="1:12" ht="15" x14ac:dyDescent="0.25">
      <c r="A144" s="224" t="s">
        <v>129</v>
      </c>
      <c r="B144">
        <v>71043</v>
      </c>
      <c r="C144" t="s">
        <v>204</v>
      </c>
      <c r="D144" t="s">
        <v>192</v>
      </c>
      <c r="E144" s="115" t="s">
        <v>196</v>
      </c>
      <c r="G144" s="126">
        <v>35</v>
      </c>
      <c r="H144" s="116">
        <f t="shared" si="42"/>
        <v>35</v>
      </c>
      <c r="I144" s="230">
        <f>IF("generated"=1, "Path=Track_8, Scaled Offset=35", 35)</f>
        <v>35</v>
      </c>
      <c r="L144" s="12" t="s">
        <v>64</v>
      </c>
    </row>
    <row r="146" spans="1:12" x14ac:dyDescent="0.2">
      <c r="A146" s="224" t="s">
        <v>129</v>
      </c>
      <c r="B146">
        <v>71044</v>
      </c>
      <c r="C146" t="s">
        <v>205</v>
      </c>
      <c r="D146" t="s">
        <v>192</v>
      </c>
      <c r="E146" s="94" t="s">
        <v>187</v>
      </c>
      <c r="G146" s="126">
        <v>-183.87</v>
      </c>
      <c r="H146" s="116">
        <f t="shared" ref="H146:H147" si="43">G146+F146</f>
        <v>-183.87</v>
      </c>
      <c r="I146" s="230">
        <f>IF("generated"=1, "Path=MMRBEM_7_UP, Scaled Offset=-183.87000000000000454747350886464119", 335.97538884381)</f>
        <v>335.97538884380998</v>
      </c>
      <c r="L146" s="12" t="s">
        <v>64</v>
      </c>
    </row>
    <row r="147" spans="1:12" x14ac:dyDescent="0.2">
      <c r="A147" s="224" t="s">
        <v>129</v>
      </c>
      <c r="B147">
        <v>71044</v>
      </c>
      <c r="C147" t="s">
        <v>205</v>
      </c>
      <c r="D147" t="s">
        <v>192</v>
      </c>
      <c r="E147" s="94" t="s">
        <v>187</v>
      </c>
      <c r="G147" s="126">
        <v>-133.87</v>
      </c>
      <c r="H147" s="116">
        <f t="shared" si="43"/>
        <v>-133.87</v>
      </c>
      <c r="I147" s="230">
        <f>IF("generated"=1, "Path=MMRBEM_7_UP, Scaled Offset=-133.87000000000000454747350886464119", 385.185300499261)</f>
        <v>385.18530049926102</v>
      </c>
      <c r="L147" s="12" t="s">
        <v>64</v>
      </c>
    </row>
    <row r="149" spans="1:12" x14ac:dyDescent="0.2">
      <c r="A149" s="224" t="s">
        <v>129</v>
      </c>
      <c r="B149">
        <v>71045</v>
      </c>
      <c r="C149" t="s">
        <v>206</v>
      </c>
      <c r="D149" t="s">
        <v>192</v>
      </c>
      <c r="E149" s="94" t="s">
        <v>187</v>
      </c>
      <c r="G149" s="126">
        <v>-133.87</v>
      </c>
      <c r="H149" s="116">
        <f t="shared" ref="H149:H150" si="44">G149+F149</f>
        <v>-133.87</v>
      </c>
      <c r="I149" s="230">
        <f>IF("generated"=1, "Path=MMRBEM_7_UP, Scaled Offset=-133.87000000000000454747350886464119", 385.185300499261)</f>
        <v>385.18530049926102</v>
      </c>
      <c r="L149" s="12" t="s">
        <v>64</v>
      </c>
    </row>
    <row r="150" spans="1:12" x14ac:dyDescent="0.2">
      <c r="A150" s="224" t="s">
        <v>129</v>
      </c>
      <c r="B150">
        <v>71045</v>
      </c>
      <c r="C150" t="s">
        <v>206</v>
      </c>
      <c r="D150" t="s">
        <v>192</v>
      </c>
      <c r="E150" s="94" t="s">
        <v>187</v>
      </c>
      <c r="F150">
        <v>25</v>
      </c>
      <c r="G150" s="126">
        <v>61.35</v>
      </c>
      <c r="H150" s="116">
        <f t="shared" si="44"/>
        <v>86.35</v>
      </c>
      <c r="I150" s="230">
        <f>IF("generated"=1, "Path=MMRBEM_7_UP, Scaled Offset=86.349999999999994315658113919198513", 601.92543539453)</f>
        <v>601.92543539453004</v>
      </c>
      <c r="L150" s="12" t="s">
        <v>64</v>
      </c>
    </row>
    <row r="152" spans="1:12" x14ac:dyDescent="0.2">
      <c r="A152" s="224" t="s">
        <v>129</v>
      </c>
      <c r="B152">
        <v>71046</v>
      </c>
      <c r="C152" t="s">
        <v>207</v>
      </c>
      <c r="D152" t="s">
        <v>192</v>
      </c>
      <c r="E152" s="94" t="s">
        <v>187</v>
      </c>
      <c r="F152">
        <v>25</v>
      </c>
      <c r="G152" s="126">
        <v>61.35</v>
      </c>
      <c r="H152" s="116">
        <f t="shared" ref="H152:H153" si="45">G152+F152</f>
        <v>86.35</v>
      </c>
      <c r="I152" s="230">
        <f>IF("generated"=1, "Path=MMRBEM_7_UP, Scaled Offset=86.349999999999994315658113919198513", 601.92543539453)</f>
        <v>601.92543539453004</v>
      </c>
      <c r="L152" s="12" t="s">
        <v>64</v>
      </c>
    </row>
    <row r="153" spans="1:12" x14ac:dyDescent="0.2">
      <c r="A153" s="224" t="s">
        <v>129</v>
      </c>
      <c r="B153">
        <v>71046</v>
      </c>
      <c r="C153" t="s">
        <v>207</v>
      </c>
      <c r="D153" t="s">
        <v>192</v>
      </c>
      <c r="E153" s="94" t="s">
        <v>187</v>
      </c>
      <c r="F153">
        <v>20</v>
      </c>
      <c r="G153" s="126">
        <v>111.21</v>
      </c>
      <c r="H153" s="116">
        <f t="shared" si="45"/>
        <v>131.20999999999998</v>
      </c>
      <c r="I153" s="230">
        <f>IF("generated"=1, "Path=MMRBEM_7_UP, Scaled Offset=131.20999999999997953636921010911465", 646.0765681318)</f>
        <v>646.07656813179995</v>
      </c>
      <c r="L153" s="12" t="s">
        <v>64</v>
      </c>
    </row>
    <row r="155" spans="1:12" x14ac:dyDescent="0.2">
      <c r="A155" s="224" t="s">
        <v>129</v>
      </c>
      <c r="B155">
        <v>71047</v>
      </c>
      <c r="C155" t="s">
        <v>208</v>
      </c>
      <c r="D155" t="s">
        <v>192</v>
      </c>
      <c r="E155" s="94" t="s">
        <v>187</v>
      </c>
      <c r="F155">
        <v>20</v>
      </c>
      <c r="G155" s="126">
        <v>111.21</v>
      </c>
      <c r="H155" s="116">
        <f t="shared" ref="H155:H157" si="46">G155+F155</f>
        <v>131.20999999999998</v>
      </c>
      <c r="I155" s="230">
        <f>IF("generated"=1, "Path=MMRBEM_7_UP, Scaled Offset=131.20999999999997953636921010911465", 646.0765681318)</f>
        <v>646.07656813179995</v>
      </c>
      <c r="L155" s="12" t="s">
        <v>64</v>
      </c>
    </row>
    <row r="156" spans="1:12" x14ac:dyDescent="0.2">
      <c r="A156" s="224" t="s">
        <v>129</v>
      </c>
      <c r="B156">
        <v>71047</v>
      </c>
      <c r="C156" t="s">
        <v>208</v>
      </c>
      <c r="D156" t="s">
        <v>192</v>
      </c>
      <c r="E156" s="94" t="s">
        <v>187</v>
      </c>
      <c r="G156" s="126">
        <v>281</v>
      </c>
      <c r="H156" s="116">
        <f t="shared" si="46"/>
        <v>281</v>
      </c>
      <c r="I156" s="230">
        <f>IF("generated"=1, "Path=MMRBEM_7_UP, Scaled Offset=281", 793.497367638644)</f>
        <v>793.49736763864405</v>
      </c>
      <c r="L156" s="12" t="s">
        <v>64</v>
      </c>
    </row>
    <row r="157" spans="1:12" ht="15" x14ac:dyDescent="0.25">
      <c r="A157" s="224" t="s">
        <v>129</v>
      </c>
      <c r="B157">
        <v>71047</v>
      </c>
      <c r="C157" t="s">
        <v>208</v>
      </c>
      <c r="D157" t="s">
        <v>192</v>
      </c>
      <c r="E157" s="115" t="s">
        <v>202</v>
      </c>
      <c r="G157" s="126">
        <v>39.79</v>
      </c>
      <c r="H157" s="116">
        <f t="shared" si="46"/>
        <v>39.79</v>
      </c>
      <c r="I157" s="230">
        <f>IF("generated"=1, "Path=Track_7, Scaled Offset=39.789999999999999147348717087879777", 39.7899999999999)</f>
        <v>39.7899999999999</v>
      </c>
      <c r="L157" s="12" t="s">
        <v>64</v>
      </c>
    </row>
    <row r="159" spans="1:12" x14ac:dyDescent="0.2">
      <c r="A159" s="224" t="s">
        <v>129</v>
      </c>
      <c r="B159">
        <v>71048</v>
      </c>
      <c r="C159" t="s">
        <v>249</v>
      </c>
      <c r="D159" t="s">
        <v>192</v>
      </c>
      <c r="E159" s="94" t="s">
        <v>187</v>
      </c>
      <c r="G159" s="126">
        <v>281</v>
      </c>
      <c r="H159" s="116">
        <f t="shared" ref="H159:H160" si="47">G159+F159</f>
        <v>281</v>
      </c>
      <c r="I159" s="230">
        <f>IF("generated"=1, "Path=MMRBEM_7_UP, Scaled Offset=281", 793.497367638644)</f>
        <v>793.49736763864405</v>
      </c>
      <c r="L159" s="12" t="s">
        <v>64</v>
      </c>
    </row>
    <row r="160" spans="1:12" x14ac:dyDescent="0.2">
      <c r="A160" s="224" t="s">
        <v>129</v>
      </c>
      <c r="B160">
        <v>71048</v>
      </c>
      <c r="C160" t="s">
        <v>249</v>
      </c>
      <c r="D160" t="s">
        <v>192</v>
      </c>
      <c r="E160" s="94" t="s">
        <v>187</v>
      </c>
      <c r="G160" s="126">
        <v>331.02</v>
      </c>
      <c r="H160" s="116">
        <f t="shared" si="47"/>
        <v>331.02</v>
      </c>
      <c r="I160" s="230">
        <f>IF("generated"=1, "Path=MMRBEM_7_UP, Scaled Offset=331.01999999999998181010596454143524", 842.719437450719)</f>
        <v>842.71943745071906</v>
      </c>
      <c r="L160" s="12" t="s">
        <v>64</v>
      </c>
    </row>
    <row r="162" spans="1:12" x14ac:dyDescent="0.2">
      <c r="A162" s="224" t="s">
        <v>129</v>
      </c>
      <c r="B162">
        <v>71049</v>
      </c>
      <c r="C162" t="s">
        <v>250</v>
      </c>
      <c r="D162" t="s">
        <v>192</v>
      </c>
      <c r="E162" s="94" t="s">
        <v>187</v>
      </c>
      <c r="G162" s="126">
        <v>331.02</v>
      </c>
      <c r="H162" s="116">
        <f t="shared" ref="H162:H163" si="48">G162+F162</f>
        <v>331.02</v>
      </c>
      <c r="I162" s="230">
        <f>IF("generated"=1, "Path=MMRBEM_7_UP, Scaled Offset=331.01999999999998181010596454143524", 842.719437450719)</f>
        <v>842.71943745071906</v>
      </c>
      <c r="L162" s="12" t="s">
        <v>64</v>
      </c>
    </row>
    <row r="163" spans="1:12" x14ac:dyDescent="0.2">
      <c r="A163" s="224" t="s">
        <v>129</v>
      </c>
      <c r="B163">
        <v>71049</v>
      </c>
      <c r="C163" t="s">
        <v>250</v>
      </c>
      <c r="D163" t="s">
        <v>192</v>
      </c>
      <c r="E163" s="94" t="s">
        <v>187</v>
      </c>
      <c r="G163" s="126">
        <v>1467.18</v>
      </c>
      <c r="H163" s="116">
        <f t="shared" si="48"/>
        <v>1467.18</v>
      </c>
      <c r="I163" s="230">
        <f>IF("generated"=1, "Path=MMRBEM_7_UP, Scaled Offset=1467.1800000000000636646291241049767", 1960.75515991546)</f>
        <v>1960.7551599154599</v>
      </c>
      <c r="L163" s="12" t="s">
        <v>64</v>
      </c>
    </row>
    <row r="165" spans="1:12" x14ac:dyDescent="0.2">
      <c r="A165" s="224" t="s">
        <v>129</v>
      </c>
      <c r="B165">
        <v>71050</v>
      </c>
      <c r="C165" t="s">
        <v>251</v>
      </c>
      <c r="D165" t="s">
        <v>192</v>
      </c>
      <c r="E165" s="94" t="s">
        <v>187</v>
      </c>
      <c r="G165" s="126">
        <v>1467.18</v>
      </c>
      <c r="H165" s="116">
        <f t="shared" ref="H165:H166" si="49">G165+F165</f>
        <v>1467.18</v>
      </c>
      <c r="I165" s="230">
        <f>IF("generated"=1, "Path=MMRBEM_7_UP, Scaled Offset=1467.1800000000000636646291241049767", 1960.75515991546)</f>
        <v>1960.7551599154599</v>
      </c>
      <c r="L165" s="12" t="s">
        <v>64</v>
      </c>
    </row>
    <row r="166" spans="1:12" x14ac:dyDescent="0.2">
      <c r="A166" s="224" t="s">
        <v>129</v>
      </c>
      <c r="B166">
        <v>71050</v>
      </c>
      <c r="C166" t="s">
        <v>251</v>
      </c>
      <c r="D166" t="s">
        <v>192</v>
      </c>
      <c r="E166" s="94" t="s">
        <v>187</v>
      </c>
      <c r="G166" s="126">
        <v>1664.4</v>
      </c>
      <c r="H166" s="116">
        <f t="shared" si="49"/>
        <v>1664.4</v>
      </c>
      <c r="I166" s="230">
        <f>IF("generated"=1, "Path=MMRBEM_7_UP, Scaled Offset=1664.4000000000000909494701772928238", 2154.82906252117)</f>
        <v>2154.8290625211698</v>
      </c>
      <c r="L166" s="12" t="s">
        <v>64</v>
      </c>
    </row>
    <row r="168" spans="1:12" x14ac:dyDescent="0.2">
      <c r="A168" s="224" t="s">
        <v>129</v>
      </c>
      <c r="B168">
        <v>71051</v>
      </c>
      <c r="C168" t="s">
        <v>252</v>
      </c>
      <c r="D168" t="s">
        <v>192</v>
      </c>
      <c r="E168" s="94" t="s">
        <v>187</v>
      </c>
      <c r="G168" s="126">
        <v>1664.4</v>
      </c>
      <c r="H168" s="116">
        <f t="shared" ref="H168:H169" si="50">G168+F168</f>
        <v>1664.4</v>
      </c>
      <c r="I168" s="230">
        <f>IF("generated"=1, "Path=MMRBEM_7_UP, Scaled Offset=1664.4000000000000909494701772928238", 2154.82906252117)</f>
        <v>2154.8290625211698</v>
      </c>
      <c r="L168" s="12" t="s">
        <v>64</v>
      </c>
    </row>
    <row r="169" spans="1:12" x14ac:dyDescent="0.2">
      <c r="A169" s="224" t="s">
        <v>129</v>
      </c>
      <c r="B169">
        <v>71051</v>
      </c>
      <c r="C169" t="s">
        <v>252</v>
      </c>
      <c r="D169" t="s">
        <v>192</v>
      </c>
      <c r="E169" s="94" t="s">
        <v>187</v>
      </c>
      <c r="G169" s="126">
        <v>3058.17</v>
      </c>
      <c r="H169" s="116">
        <f t="shared" si="50"/>
        <v>3058.17</v>
      </c>
      <c r="I169" s="230">
        <f>IF("generated"=1, "Path=MMRBEM_7_UP, Scaled Offset=3058.170000000000072759576141834259", 3526.36533285254)</f>
        <v>3526.3653328525402</v>
      </c>
      <c r="L169" s="12" t="s">
        <v>64</v>
      </c>
    </row>
    <row r="171" spans="1:12" x14ac:dyDescent="0.2">
      <c r="A171" s="224" t="s">
        <v>129</v>
      </c>
      <c r="B171">
        <v>71052</v>
      </c>
      <c r="C171" t="s">
        <v>253</v>
      </c>
      <c r="D171" t="s">
        <v>192</v>
      </c>
      <c r="E171" s="94" t="s">
        <v>187</v>
      </c>
      <c r="G171" s="126">
        <v>3058.17</v>
      </c>
      <c r="H171" s="116">
        <f t="shared" ref="H171:H172" si="51">G171+F171</f>
        <v>3058.17</v>
      </c>
      <c r="I171" s="230">
        <f>IF("generated"=1, "Path=MMRBEM_7_UP, Scaled Offset=3058.170000000000072759576141834259", 3526.36533285254)</f>
        <v>3526.3653328525402</v>
      </c>
      <c r="L171" s="12" t="s">
        <v>64</v>
      </c>
    </row>
    <row r="172" spans="1:12" x14ac:dyDescent="0.2">
      <c r="A172" s="224" t="s">
        <v>129</v>
      </c>
      <c r="B172">
        <v>71052</v>
      </c>
      <c r="C172" t="s">
        <v>253</v>
      </c>
      <c r="D172" t="s">
        <v>192</v>
      </c>
      <c r="E172" s="94" t="s">
        <v>187</v>
      </c>
      <c r="G172" s="126">
        <v>3254.39</v>
      </c>
      <c r="H172" s="116">
        <f t="shared" si="51"/>
        <v>3254.39</v>
      </c>
      <c r="I172" s="230">
        <f>IF("generated"=1, "Path=MMRBEM_7_UP, Scaled Offset=3254.3899999999998726707417517900467", 3719.45518768111)</f>
        <v>3719.4551876811101</v>
      </c>
      <c r="L172" s="12" t="s">
        <v>64</v>
      </c>
    </row>
    <row r="174" spans="1:12" x14ac:dyDescent="0.2">
      <c r="A174" s="224" t="s">
        <v>129</v>
      </c>
      <c r="B174">
        <v>71053</v>
      </c>
      <c r="C174" t="s">
        <v>254</v>
      </c>
      <c r="D174" t="s">
        <v>192</v>
      </c>
      <c r="E174" s="94" t="s">
        <v>187</v>
      </c>
      <c r="G174" s="126">
        <v>3254.39</v>
      </c>
      <c r="H174" s="116">
        <f t="shared" ref="H174:H175" si="52">G174+F174</f>
        <v>3254.39</v>
      </c>
      <c r="I174" s="230">
        <f>IF("generated"=1, "Path=MMRBEM_7_UP, Scaled Offset=3254.3899999999998726707417517900467", 3719.45518768111)</f>
        <v>3719.4551876811101</v>
      </c>
      <c r="L174" s="12" t="s">
        <v>64</v>
      </c>
    </row>
    <row r="175" spans="1:12" x14ac:dyDescent="0.2">
      <c r="A175" s="224" t="s">
        <v>129</v>
      </c>
      <c r="B175">
        <v>71053</v>
      </c>
      <c r="C175" t="s">
        <v>254</v>
      </c>
      <c r="D175" t="s">
        <v>192</v>
      </c>
      <c r="E175" s="94" t="s">
        <v>187</v>
      </c>
      <c r="G175" s="126">
        <v>3256.39</v>
      </c>
      <c r="H175" s="116">
        <f t="shared" si="52"/>
        <v>3256.39</v>
      </c>
      <c r="I175" s="230">
        <f>IF("generated"=1, "Path=MMRBEM_7_UP, Scaled Offset=3256.3899999999998726707417517900467", 3721.42328323538)</f>
        <v>3721.42328323538</v>
      </c>
      <c r="L175" s="12" t="s">
        <v>64</v>
      </c>
    </row>
    <row r="177" spans="1:12" x14ac:dyDescent="0.2">
      <c r="A177" s="224" t="s">
        <v>129</v>
      </c>
      <c r="B177">
        <v>71054</v>
      </c>
      <c r="C177" t="s">
        <v>255</v>
      </c>
      <c r="D177" t="s">
        <v>192</v>
      </c>
      <c r="E177" s="94" t="s">
        <v>187</v>
      </c>
      <c r="G177" s="126">
        <v>3256.39</v>
      </c>
      <c r="H177" s="116">
        <f t="shared" ref="H177:H178" si="53">G177+F177</f>
        <v>3256.39</v>
      </c>
      <c r="I177" s="230">
        <f>IF("generated"=1, "Path=MMRBEM_7_UP, Scaled Offset=3256.3899999999998726707417517900467", 3721.42328323538)</f>
        <v>3721.42328323538</v>
      </c>
      <c r="L177" s="12" t="s">
        <v>64</v>
      </c>
    </row>
    <row r="178" spans="1:12" x14ac:dyDescent="0.2">
      <c r="A178" s="224" t="s">
        <v>129</v>
      </c>
      <c r="B178">
        <v>71054</v>
      </c>
      <c r="C178" t="s">
        <v>255</v>
      </c>
      <c r="D178" t="s">
        <v>192</v>
      </c>
      <c r="E178" s="94" t="s">
        <v>187</v>
      </c>
      <c r="G178" s="126">
        <v>4120.32</v>
      </c>
      <c r="H178" s="116">
        <f t="shared" si="53"/>
        <v>4120.32</v>
      </c>
      <c r="I178" s="230">
        <f>IF("generated"=1, "Path=MMRBEM_7_UP, Scaled Offset=4120.3199999999997089616954326629639", 4571.57167933185)</f>
        <v>4571.5716793318497</v>
      </c>
      <c r="L178" s="12" t="s">
        <v>64</v>
      </c>
    </row>
    <row r="180" spans="1:12" x14ac:dyDescent="0.2">
      <c r="A180" s="224" t="s">
        <v>129</v>
      </c>
      <c r="B180">
        <v>71055</v>
      </c>
      <c r="C180" t="s">
        <v>256</v>
      </c>
      <c r="D180" t="s">
        <v>192</v>
      </c>
      <c r="E180" s="94" t="s">
        <v>187</v>
      </c>
      <c r="G180" s="126">
        <v>4120.32</v>
      </c>
      <c r="H180" s="116">
        <f t="shared" ref="H180:H181" si="54">G180+F180</f>
        <v>4120.32</v>
      </c>
      <c r="I180" s="230">
        <f>IF("generated"=1, "Path=MMRBEM_7_UP, Scaled Offset=4120.3199999999997089616954326629639", 4571.57167933185)</f>
        <v>4571.5716793318497</v>
      </c>
      <c r="L180" s="12" t="s">
        <v>64</v>
      </c>
    </row>
    <row r="181" spans="1:12" x14ac:dyDescent="0.2">
      <c r="A181" s="224" t="s">
        <v>129</v>
      </c>
      <c r="B181">
        <v>71055</v>
      </c>
      <c r="C181" t="s">
        <v>256</v>
      </c>
      <c r="D181" t="s">
        <v>192</v>
      </c>
      <c r="E181" s="94" t="s">
        <v>187</v>
      </c>
      <c r="G181" s="126">
        <v>4317.54</v>
      </c>
      <c r="H181" s="116">
        <f t="shared" si="54"/>
        <v>4317.54</v>
      </c>
      <c r="I181" s="230">
        <f>IF("generated"=1, "Path=MMRBEM_7_UP, Scaled Offset=4317.5399999999999636202119290828705", 4765.64558193756)</f>
        <v>4765.6455819375597</v>
      </c>
      <c r="L181" s="12" t="s">
        <v>64</v>
      </c>
    </row>
    <row r="183" spans="1:12" x14ac:dyDescent="0.2">
      <c r="A183" s="224" t="s">
        <v>129</v>
      </c>
      <c r="B183">
        <v>71056</v>
      </c>
      <c r="C183" t="s">
        <v>257</v>
      </c>
      <c r="D183" t="s">
        <v>192</v>
      </c>
      <c r="E183" s="94" t="s">
        <v>187</v>
      </c>
      <c r="G183" s="126">
        <v>4317.54</v>
      </c>
      <c r="H183" s="116">
        <f t="shared" ref="H183:H184" si="55">G183+F183</f>
        <v>4317.54</v>
      </c>
      <c r="I183" s="230">
        <f>IF("generated"=1, "Path=MMRBEM_7_UP, Scaled Offset=4317.5399999999999636202119290828705", 4765.64558193756)</f>
        <v>4765.6455819375597</v>
      </c>
      <c r="L183" s="12" t="s">
        <v>64</v>
      </c>
    </row>
    <row r="184" spans="1:12" x14ac:dyDescent="0.2">
      <c r="A184" s="224" t="s">
        <v>129</v>
      </c>
      <c r="B184">
        <v>71056</v>
      </c>
      <c r="C184" t="s">
        <v>257</v>
      </c>
      <c r="D184" t="s">
        <v>192</v>
      </c>
      <c r="E184" s="94" t="s">
        <v>187</v>
      </c>
      <c r="F184">
        <v>15</v>
      </c>
      <c r="G184" s="126">
        <v>5849.59</v>
      </c>
      <c r="H184" s="116">
        <f t="shared" si="55"/>
        <v>5864.59</v>
      </c>
      <c r="I184" s="230">
        <f>IF("generated"=1, "Path=MMRBEM_7_UP, Scaled Offset=5864.5900000000001455191522836685181", 6288.01669554751)</f>
        <v>6288.0166955475097</v>
      </c>
      <c r="L184" s="12" t="s">
        <v>64</v>
      </c>
    </row>
    <row r="186" spans="1:12" x14ac:dyDescent="0.2">
      <c r="A186" s="224" t="s">
        <v>129</v>
      </c>
      <c r="B186">
        <v>71057</v>
      </c>
      <c r="C186" t="s">
        <v>258</v>
      </c>
      <c r="D186" t="s">
        <v>192</v>
      </c>
      <c r="E186" s="94" t="s">
        <v>187</v>
      </c>
      <c r="F186">
        <v>15</v>
      </c>
      <c r="G186" s="126">
        <v>5849.59</v>
      </c>
      <c r="H186" s="116">
        <f t="shared" ref="H186:H187" si="56">G186+F186</f>
        <v>5864.59</v>
      </c>
      <c r="I186" s="230">
        <f>IF("generated"=1, "Path=MMRBEM_7_UP, Scaled Offset=5864.5900000000001455191522836685181", 6288.01669554751)</f>
        <v>6288.0166955475097</v>
      </c>
      <c r="L186" s="12" t="s">
        <v>64</v>
      </c>
    </row>
    <row r="187" spans="1:12" x14ac:dyDescent="0.2">
      <c r="A187" s="224" t="s">
        <v>129</v>
      </c>
      <c r="B187">
        <v>71057</v>
      </c>
      <c r="C187" t="s">
        <v>258</v>
      </c>
      <c r="D187" t="s">
        <v>192</v>
      </c>
      <c r="E187" s="94" t="s">
        <v>187</v>
      </c>
      <c r="G187" s="126">
        <v>5899.59</v>
      </c>
      <c r="H187" s="116">
        <f t="shared" si="56"/>
        <v>5899.59</v>
      </c>
      <c r="I187" s="230">
        <f>IF("generated"=1, "Path=MMRBEM_7_UP, Scaled Offset=5899.5900000000001455191522836685181", 6322.45836774708)</f>
        <v>6322.45836774708</v>
      </c>
      <c r="L187" s="12" t="s">
        <v>64</v>
      </c>
    </row>
    <row r="189" spans="1:12" x14ac:dyDescent="0.2">
      <c r="A189" s="224" t="s">
        <v>129</v>
      </c>
      <c r="B189">
        <v>71058</v>
      </c>
      <c r="C189" t="s">
        <v>259</v>
      </c>
      <c r="D189" t="s">
        <v>192</v>
      </c>
      <c r="E189" s="94" t="s">
        <v>187</v>
      </c>
      <c r="G189" s="126">
        <v>5899.59</v>
      </c>
      <c r="H189" s="116">
        <f t="shared" ref="H189:H191" si="57">G189+F189</f>
        <v>5899.59</v>
      </c>
      <c r="I189" s="230">
        <f>IF("generated"=1, "Path=MMRBEM_7_UP, Scaled Offset=5899.5900000000001455191522836685181", 6322.45836774708)</f>
        <v>6322.45836774708</v>
      </c>
      <c r="L189" s="12" t="s">
        <v>64</v>
      </c>
    </row>
    <row r="190" spans="1:12" x14ac:dyDescent="0.2">
      <c r="A190" s="224" t="s">
        <v>129</v>
      </c>
      <c r="B190">
        <v>71058</v>
      </c>
      <c r="C190" t="s">
        <v>259</v>
      </c>
      <c r="D190" t="s">
        <v>192</v>
      </c>
      <c r="E190" s="94" t="s">
        <v>187</v>
      </c>
      <c r="F190">
        <v>-8</v>
      </c>
      <c r="G190" s="126">
        <v>6020.56</v>
      </c>
      <c r="H190" s="116">
        <f t="shared" si="57"/>
        <v>6012.56</v>
      </c>
      <c r="I190" s="230">
        <f>IF("generated"=1, "Path=MMRBEM_7_UP, Scaled Offset=6012.5600000000004001776687800884247", 6433.29166604658)</f>
        <v>6433.2916660465798</v>
      </c>
      <c r="L190" s="12" t="s">
        <v>64</v>
      </c>
    </row>
    <row r="191" spans="1:12" x14ac:dyDescent="0.2">
      <c r="A191" s="224" t="s">
        <v>129</v>
      </c>
      <c r="B191">
        <v>71058</v>
      </c>
      <c r="C191" t="s">
        <v>259</v>
      </c>
      <c r="D191" t="s">
        <v>192</v>
      </c>
      <c r="E191" s="94" t="s">
        <v>218</v>
      </c>
      <c r="G191" s="126">
        <v>39.79</v>
      </c>
      <c r="H191" s="116">
        <f t="shared" si="57"/>
        <v>39.79</v>
      </c>
      <c r="I191" s="230">
        <f>IF("generated"=1, "Path=Track_6, Scaled Offset=39.789999999999999147348717087879777", 39.7899999999999)</f>
        <v>39.7899999999999</v>
      </c>
      <c r="L191" s="12" t="s">
        <v>64</v>
      </c>
    </row>
    <row r="193" spans="1:12" x14ac:dyDescent="0.2">
      <c r="A193" s="224" t="s">
        <v>129</v>
      </c>
      <c r="B193">
        <v>71059</v>
      </c>
      <c r="C193" t="s">
        <v>260</v>
      </c>
      <c r="D193" t="s">
        <v>192</v>
      </c>
      <c r="E193" s="94" t="s">
        <v>187</v>
      </c>
      <c r="F193">
        <v>-8</v>
      </c>
      <c r="G193" s="126">
        <v>6020.56</v>
      </c>
      <c r="H193" s="116">
        <f t="shared" ref="H193:H194" si="58">G193+F193</f>
        <v>6012.56</v>
      </c>
      <c r="I193" s="230">
        <f>IF("generated"=1, "Path=MMRBEM_7_UP, Scaled Offset=6012.5600000000004001776687800884247", 6433.29166604658)</f>
        <v>6433.2916660465798</v>
      </c>
      <c r="L193" s="12" t="s">
        <v>64</v>
      </c>
    </row>
    <row r="194" spans="1:12" x14ac:dyDescent="0.2">
      <c r="A194" s="224" t="s">
        <v>129</v>
      </c>
      <c r="B194">
        <v>71059</v>
      </c>
      <c r="C194" t="s">
        <v>260</v>
      </c>
      <c r="D194" t="s">
        <v>192</v>
      </c>
      <c r="E194" s="94" t="s">
        <v>187</v>
      </c>
      <c r="F194">
        <v>4</v>
      </c>
      <c r="G194" s="126">
        <v>6217.78</v>
      </c>
      <c r="H194" s="116">
        <f t="shared" si="58"/>
        <v>6221.78</v>
      </c>
      <c r="I194" s="230">
        <f>IF("generated"=1, "Path=MMRBEM_7_UP, Scaled Offset=6221.7799999999997453414835035800934", 6638.45963104865)</f>
        <v>6638.4596310486504</v>
      </c>
      <c r="L194" s="12" t="s">
        <v>64</v>
      </c>
    </row>
    <row r="196" spans="1:12" x14ac:dyDescent="0.2">
      <c r="A196" s="224" t="s">
        <v>129</v>
      </c>
      <c r="B196">
        <v>71060</v>
      </c>
      <c r="C196" t="s">
        <v>261</v>
      </c>
      <c r="D196" t="s">
        <v>192</v>
      </c>
      <c r="E196" s="94" t="s">
        <v>187</v>
      </c>
      <c r="F196">
        <v>4</v>
      </c>
      <c r="G196" s="126">
        <v>6217.78</v>
      </c>
      <c r="H196" s="116">
        <f t="shared" ref="H196:H198" si="59">G196+F196</f>
        <v>6221.78</v>
      </c>
      <c r="I196" s="230">
        <f>IF("generated"=1, "Path=MMRBEM_7_UP, Scaled Offset=6221.7799999999997453414835035800934", 6638.45963104865)</f>
        <v>6638.4596310486504</v>
      </c>
      <c r="L196" s="12" t="s">
        <v>64</v>
      </c>
    </row>
    <row r="197" spans="1:12" x14ac:dyDescent="0.2">
      <c r="A197" s="224" t="s">
        <v>129</v>
      </c>
      <c r="B197">
        <v>71060</v>
      </c>
      <c r="C197" t="s">
        <v>261</v>
      </c>
      <c r="D197" t="s">
        <v>192</v>
      </c>
      <c r="E197" s="94" t="s">
        <v>187</v>
      </c>
      <c r="G197" s="126">
        <v>6338.75</v>
      </c>
      <c r="H197" s="116">
        <f t="shared" si="59"/>
        <v>6338.75</v>
      </c>
      <c r="I197" s="230">
        <f>IF("generated"=1, "Path=MMRBEM_7_UP, Scaled Offset=6338.75", 6753.41635583254)</f>
        <v>6753.4163558325399</v>
      </c>
      <c r="L197" s="12" t="s">
        <v>64</v>
      </c>
    </row>
    <row r="198" spans="1:12" x14ac:dyDescent="0.2">
      <c r="A198" s="224" t="s">
        <v>129</v>
      </c>
      <c r="B198">
        <v>71060</v>
      </c>
      <c r="C198" t="s">
        <v>261</v>
      </c>
      <c r="D198" t="s">
        <v>192</v>
      </c>
      <c r="E198" s="94" t="s">
        <v>221</v>
      </c>
      <c r="G198" s="126">
        <v>39.79</v>
      </c>
      <c r="H198" s="116">
        <f t="shared" si="59"/>
        <v>39.79</v>
      </c>
      <c r="I198" s="230">
        <f>IF("generated"=1, "Path=Track_5, Scaled Offset=39.789999999999999147348717087879777", 39.7899999999999)</f>
        <v>39.7899999999999</v>
      </c>
      <c r="L198" s="12" t="s">
        <v>64</v>
      </c>
    </row>
    <row r="200" spans="1:12" x14ac:dyDescent="0.2">
      <c r="A200" s="224" t="s">
        <v>129</v>
      </c>
      <c r="B200">
        <v>71061</v>
      </c>
      <c r="C200" t="s">
        <v>262</v>
      </c>
      <c r="D200" t="s">
        <v>192</v>
      </c>
      <c r="E200" s="94" t="s">
        <v>187</v>
      </c>
      <c r="G200" s="126">
        <v>6338.75</v>
      </c>
      <c r="H200" s="116">
        <f t="shared" ref="H200:H201" si="60">G200+F200</f>
        <v>6338.75</v>
      </c>
      <c r="I200" s="230">
        <f>IF("generated"=1, "Path=MMRBEM_7_UP, Scaled Offset=6338.75", 6753.41635583254)</f>
        <v>6753.4163558325399</v>
      </c>
      <c r="L200" s="12" t="s">
        <v>64</v>
      </c>
    </row>
    <row r="201" spans="1:12" x14ac:dyDescent="0.2">
      <c r="A201" s="224" t="s">
        <v>129</v>
      </c>
      <c r="B201">
        <v>71061</v>
      </c>
      <c r="C201" t="s">
        <v>262</v>
      </c>
      <c r="D201" t="s">
        <v>192</v>
      </c>
      <c r="E201" s="94" t="s">
        <v>187</v>
      </c>
      <c r="G201" s="126">
        <v>6388.75</v>
      </c>
      <c r="H201" s="116">
        <f t="shared" si="60"/>
        <v>6388.75</v>
      </c>
      <c r="I201" s="230">
        <f>IF("generated"=1, "Path=MMRBEM_7_UP, Scaled Offset=6388.75", 6803.28839751156)</f>
        <v>6803.2883975115601</v>
      </c>
      <c r="L201" s="12" t="s">
        <v>64</v>
      </c>
    </row>
    <row r="203" spans="1:12" x14ac:dyDescent="0.2">
      <c r="A203" s="224" t="s">
        <v>129</v>
      </c>
      <c r="B203">
        <v>71062</v>
      </c>
      <c r="C203" t="s">
        <v>263</v>
      </c>
      <c r="D203" t="s">
        <v>192</v>
      </c>
      <c r="E203" s="94" t="s">
        <v>187</v>
      </c>
      <c r="G203" s="126">
        <v>6388.75</v>
      </c>
      <c r="H203" s="116">
        <f t="shared" ref="H203:H204" si="61">G203+F203</f>
        <v>6388.75</v>
      </c>
      <c r="I203" s="230">
        <f>IF("generated"=1, "Path=MMRBEM_7_UP, Scaled Offset=6388.75", 6803.28839751156)</f>
        <v>6803.2883975115601</v>
      </c>
      <c r="L203" s="12" t="s">
        <v>64</v>
      </c>
    </row>
    <row r="204" spans="1:12" x14ac:dyDescent="0.2">
      <c r="A204" s="224" t="s">
        <v>129</v>
      </c>
      <c r="B204">
        <v>71062</v>
      </c>
      <c r="C204" t="s">
        <v>263</v>
      </c>
      <c r="D204" t="s">
        <v>192</v>
      </c>
      <c r="E204" s="94" t="s">
        <v>187</v>
      </c>
      <c r="G204" s="126">
        <v>7175.02</v>
      </c>
      <c r="H204" s="116">
        <f t="shared" si="61"/>
        <v>7175.02</v>
      </c>
      <c r="I204" s="230">
        <f>IF("generated"=1, "Path=MMRBEM_7_UP, Scaled Offset=7175.0200000000004365574568510055542", 7587.54620173084)</f>
        <v>7587.54620173084</v>
      </c>
      <c r="L204" s="12" t="s">
        <v>64</v>
      </c>
    </row>
    <row r="206" spans="1:12" x14ac:dyDescent="0.2">
      <c r="A206" s="224" t="s">
        <v>129</v>
      </c>
      <c r="B206">
        <v>71063</v>
      </c>
      <c r="C206" t="s">
        <v>264</v>
      </c>
      <c r="D206" t="s">
        <v>192</v>
      </c>
      <c r="E206" s="94" t="s">
        <v>187</v>
      </c>
      <c r="G206" s="126">
        <v>7175.02</v>
      </c>
      <c r="H206" s="116">
        <f t="shared" ref="H206:H207" si="62">G206+F206</f>
        <v>7175.02</v>
      </c>
      <c r="I206" s="230">
        <f>IF("generated"=1, "Path=MMRBEM_7_UP, Scaled Offset=7175.0200000000004365574568510055542", 7587.54620173084)</f>
        <v>7587.54620173084</v>
      </c>
      <c r="L206" s="12" t="s">
        <v>64</v>
      </c>
    </row>
    <row r="207" spans="1:12" x14ac:dyDescent="0.2">
      <c r="A207" s="224" t="s">
        <v>129</v>
      </c>
      <c r="B207">
        <v>71063</v>
      </c>
      <c r="C207" t="s">
        <v>264</v>
      </c>
      <c r="D207" t="s">
        <v>192</v>
      </c>
      <c r="E207" s="94" t="s">
        <v>187</v>
      </c>
      <c r="G207" s="126">
        <v>7372.24</v>
      </c>
      <c r="H207" s="116">
        <f t="shared" si="62"/>
        <v>7372.24</v>
      </c>
      <c r="I207" s="230">
        <f>IF("generated"=1, "Path=MMRBEM_7_UP, Scaled Offset=7372.2399999999997817212715744972229", 7784.26148292957)</f>
        <v>7784.2614829295699</v>
      </c>
      <c r="L207" s="12" t="s">
        <v>64</v>
      </c>
    </row>
    <row r="209" spans="1:12" x14ac:dyDescent="0.2">
      <c r="A209" s="224" t="s">
        <v>129</v>
      </c>
      <c r="B209">
        <v>71064</v>
      </c>
      <c r="C209" t="s">
        <v>265</v>
      </c>
      <c r="D209" t="s">
        <v>192</v>
      </c>
      <c r="E209" s="94" t="s">
        <v>187</v>
      </c>
      <c r="G209" s="126">
        <v>7372.24</v>
      </c>
      <c r="H209" s="116">
        <f t="shared" ref="H209:H210" si="63">G209+F209</f>
        <v>7372.24</v>
      </c>
      <c r="I209" s="230">
        <f>IF("generated"=1, "Path=MMRBEM_7_UP, Scaled Offset=7372.2399999999997817212715744972229", 7784.26148292957)</f>
        <v>7784.2614829295699</v>
      </c>
      <c r="L209" s="12" t="s">
        <v>64</v>
      </c>
    </row>
    <row r="210" spans="1:12" x14ac:dyDescent="0.2">
      <c r="A210" s="224" t="s">
        <v>129</v>
      </c>
      <c r="B210">
        <v>71064</v>
      </c>
      <c r="C210" t="s">
        <v>265</v>
      </c>
      <c r="D210" t="s">
        <v>192</v>
      </c>
      <c r="E210" s="94" t="s">
        <v>187</v>
      </c>
      <c r="G210" s="126">
        <v>8007.91</v>
      </c>
      <c r="H210" s="116">
        <f t="shared" si="63"/>
        <v>8007.91</v>
      </c>
      <c r="I210" s="230">
        <f>IF("generated"=1, "Path=MMRBEM_7_UP, Scaled Offset=8007.9099999999998544808477163314819", 8411.90573606051)</f>
        <v>8411.9057360605093</v>
      </c>
      <c r="L210" s="12" t="s">
        <v>64</v>
      </c>
    </row>
    <row r="212" spans="1:12" x14ac:dyDescent="0.2">
      <c r="A212" s="224" t="s">
        <v>129</v>
      </c>
      <c r="B212">
        <v>71065</v>
      </c>
      <c r="C212" t="s">
        <v>266</v>
      </c>
      <c r="D212" t="s">
        <v>192</v>
      </c>
      <c r="E212" s="94" t="s">
        <v>187</v>
      </c>
      <c r="G212" s="126">
        <v>8007.91</v>
      </c>
      <c r="H212" s="116">
        <f t="shared" ref="H212:H213" si="64">G212+F212</f>
        <v>8007.91</v>
      </c>
      <c r="I212" s="230">
        <f>IF("generated"=1, "Path=MMRBEM_7_UP, Scaled Offset=8007.9099999999998544808477163314819", 8411.90573606051)</f>
        <v>8411.9057360605093</v>
      </c>
      <c r="L212" s="12" t="s">
        <v>64</v>
      </c>
    </row>
    <row r="213" spans="1:12" x14ac:dyDescent="0.2">
      <c r="A213" s="224" t="s">
        <v>129</v>
      </c>
      <c r="B213">
        <v>71065</v>
      </c>
      <c r="C213" t="s">
        <v>266</v>
      </c>
      <c r="D213" t="s">
        <v>192</v>
      </c>
      <c r="E213" s="94" t="s">
        <v>187</v>
      </c>
      <c r="G213" s="126">
        <v>8204.1299999999992</v>
      </c>
      <c r="H213" s="116">
        <f t="shared" si="64"/>
        <v>8204.1299999999992</v>
      </c>
      <c r="I213" s="230">
        <f>IF("generated"=1, "Path=MMRBEM_7_UP, Scaled Offset=8204.1299999999991996446624398231506", 8604.50723720458)</f>
        <v>8604.5072372045797</v>
      </c>
      <c r="L213" s="12" t="s">
        <v>64</v>
      </c>
    </row>
    <row r="215" spans="1:12" x14ac:dyDescent="0.2">
      <c r="A215" s="224" t="s">
        <v>129</v>
      </c>
      <c r="B215">
        <v>71066</v>
      </c>
      <c r="C215" t="s">
        <v>267</v>
      </c>
      <c r="D215" t="s">
        <v>192</v>
      </c>
      <c r="E215" s="94" t="s">
        <v>187</v>
      </c>
      <c r="G215" s="126">
        <v>8204.1299999999992</v>
      </c>
      <c r="H215" s="116">
        <f t="shared" ref="H215:H216" si="65">G215+F215</f>
        <v>8204.1299999999992</v>
      </c>
      <c r="I215" s="230">
        <f>IF("generated"=1, "Path=MMRBEM_7_UP, Scaled Offset=8204.1299999999991996446624398231506", 8604.50723720458)</f>
        <v>8604.5072372045797</v>
      </c>
      <c r="L215" s="12" t="s">
        <v>64</v>
      </c>
    </row>
    <row r="216" spans="1:12" x14ac:dyDescent="0.2">
      <c r="A216" s="224" t="s">
        <v>129</v>
      </c>
      <c r="B216">
        <v>71066</v>
      </c>
      <c r="C216" t="s">
        <v>267</v>
      </c>
      <c r="D216" t="s">
        <v>192</v>
      </c>
      <c r="E216" s="94" t="s">
        <v>187</v>
      </c>
      <c r="G216" s="126">
        <v>8206.1299999999992</v>
      </c>
      <c r="H216" s="116">
        <f t="shared" si="65"/>
        <v>8206.1299999999992</v>
      </c>
      <c r="I216" s="230">
        <f>IF("generated"=1, "Path=MMRBEM_7_UP, Scaled Offset=8206.1299999999991996446624398231506", 8606.4703551451)</f>
        <v>8606.4703551451003</v>
      </c>
      <c r="L216" s="12" t="s">
        <v>64</v>
      </c>
    </row>
    <row r="218" spans="1:12" x14ac:dyDescent="0.2">
      <c r="A218" s="224" t="s">
        <v>129</v>
      </c>
      <c r="B218">
        <v>71067</v>
      </c>
      <c r="C218" t="s">
        <v>268</v>
      </c>
      <c r="D218" t="s">
        <v>192</v>
      </c>
      <c r="E218" s="94" t="s">
        <v>187</v>
      </c>
      <c r="G218" s="126">
        <v>8206.1299999999992</v>
      </c>
      <c r="H218" s="116">
        <f t="shared" ref="H218:H219" si="66">G218+F218</f>
        <v>8206.1299999999992</v>
      </c>
      <c r="I218" s="230">
        <f>IF("generated"=1, "Path=MMRBEM_7_UP, Scaled Offset=8206.1299999999991996446624398231506", 8606.4703551451)</f>
        <v>8606.4703551451003</v>
      </c>
      <c r="L218" s="12" t="s">
        <v>64</v>
      </c>
    </row>
    <row r="219" spans="1:12" x14ac:dyDescent="0.2">
      <c r="A219" s="224" t="s">
        <v>129</v>
      </c>
      <c r="B219">
        <v>71067</v>
      </c>
      <c r="C219" t="s">
        <v>268</v>
      </c>
      <c r="D219" t="s">
        <v>192</v>
      </c>
      <c r="E219" s="94" t="s">
        <v>187</v>
      </c>
      <c r="G219" s="126">
        <v>9277.4500000000007</v>
      </c>
      <c r="H219" s="116">
        <f t="shared" si="66"/>
        <v>9277.4500000000007</v>
      </c>
      <c r="I219" s="230">
        <f>IF("generated"=1, "Path=MMRBEM_7_UP, Scaled Offset=9277.4500000000007275957614183425903", 9658.03411116217)</f>
        <v>9658.0341111621692</v>
      </c>
      <c r="L219" s="12" t="s">
        <v>64</v>
      </c>
    </row>
    <row r="221" spans="1:12" x14ac:dyDescent="0.2">
      <c r="A221" s="224" t="s">
        <v>129</v>
      </c>
      <c r="B221">
        <v>71068</v>
      </c>
      <c r="C221" t="s">
        <v>269</v>
      </c>
      <c r="D221" t="s">
        <v>192</v>
      </c>
      <c r="E221" s="94" t="s">
        <v>187</v>
      </c>
      <c r="G221" s="126">
        <v>9277.4500000000007</v>
      </c>
      <c r="H221" s="116">
        <f t="shared" ref="H221:H222" si="67">G221+F221</f>
        <v>9277.4500000000007</v>
      </c>
      <c r="I221" s="230">
        <f>IF("generated"=1, "Path=MMRBEM_7_UP, Scaled Offset=9277.4500000000007275957614183425903", 9658.03411116217)</f>
        <v>9658.0341111621692</v>
      </c>
      <c r="L221" s="12" t="s">
        <v>64</v>
      </c>
    </row>
    <row r="222" spans="1:12" x14ac:dyDescent="0.2">
      <c r="A222" s="224" t="s">
        <v>129</v>
      </c>
      <c r="B222">
        <v>71068</v>
      </c>
      <c r="C222" t="s">
        <v>269</v>
      </c>
      <c r="D222" t="s">
        <v>192</v>
      </c>
      <c r="E222" s="94" t="s">
        <v>187</v>
      </c>
      <c r="G222" s="126">
        <v>9474.67</v>
      </c>
      <c r="H222" s="116">
        <f t="shared" si="67"/>
        <v>9474.67</v>
      </c>
      <c r="I222" s="230">
        <f>IF("generated"=1, "Path=MMRBEM_7_UP, Scaled Offset=9474.670000000000072759576141834259", 9851.6171712765)</f>
        <v>9851.6171712765008</v>
      </c>
      <c r="L222" s="12" t="s">
        <v>64</v>
      </c>
    </row>
    <row r="224" spans="1:12" x14ac:dyDescent="0.2">
      <c r="A224" s="224" t="s">
        <v>129</v>
      </c>
      <c r="B224">
        <v>71069</v>
      </c>
      <c r="C224" t="s">
        <v>270</v>
      </c>
      <c r="D224" t="s">
        <v>192</v>
      </c>
      <c r="E224" s="94" t="s">
        <v>187</v>
      </c>
      <c r="G224" s="126">
        <v>9474.67</v>
      </c>
      <c r="H224" s="116">
        <f t="shared" ref="H224:H225" si="68">G224+F224</f>
        <v>9474.67</v>
      </c>
      <c r="I224" s="230">
        <f>IF("generated"=1, "Path=MMRBEM_7_UP, Scaled Offset=9474.670000000000072759576141834259", 9851.6171712765)</f>
        <v>9851.6171712765008</v>
      </c>
      <c r="L224" s="12" t="s">
        <v>64</v>
      </c>
    </row>
    <row r="225" spans="1:12" x14ac:dyDescent="0.2">
      <c r="A225" s="224" t="s">
        <v>129</v>
      </c>
      <c r="B225">
        <v>71069</v>
      </c>
      <c r="C225" t="s">
        <v>270</v>
      </c>
      <c r="D225" t="s">
        <v>192</v>
      </c>
      <c r="E225" s="94" t="s">
        <v>187</v>
      </c>
      <c r="G225" s="126">
        <v>9982.2999999999993</v>
      </c>
      <c r="H225" s="116">
        <f t="shared" si="68"/>
        <v>9982.2999999999993</v>
      </c>
      <c r="I225" s="230">
        <f>IF("generated"=1, "Path=MMRBEM_7_UP, Scaled Offset=9982.2999999999992724042385816574097", 10349.8859513487)</f>
        <v>10349.8859513487</v>
      </c>
      <c r="L225" s="12" t="s">
        <v>64</v>
      </c>
    </row>
    <row r="227" spans="1:12" x14ac:dyDescent="0.2">
      <c r="A227" s="224" t="s">
        <v>129</v>
      </c>
      <c r="B227">
        <v>71070</v>
      </c>
      <c r="C227" t="s">
        <v>271</v>
      </c>
      <c r="D227" t="s">
        <v>192</v>
      </c>
      <c r="E227" s="94" t="s">
        <v>187</v>
      </c>
      <c r="G227" s="126">
        <v>9982.2999999999993</v>
      </c>
      <c r="H227" s="116">
        <f t="shared" ref="H227:H228" si="69">G227+F227</f>
        <v>9982.2999999999993</v>
      </c>
      <c r="I227" s="230">
        <f>IF("generated"=1, "Path=MMRBEM_7_UP, Scaled Offset=9982.2999999999992724042385816574097", 10349.8859513487)</f>
        <v>10349.8859513487</v>
      </c>
      <c r="L227" s="12" t="s">
        <v>64</v>
      </c>
    </row>
    <row r="228" spans="1:12" x14ac:dyDescent="0.2">
      <c r="A228" s="224" t="s">
        <v>129</v>
      </c>
      <c r="B228">
        <v>71070</v>
      </c>
      <c r="C228" t="s">
        <v>271</v>
      </c>
      <c r="D228" t="s">
        <v>192</v>
      </c>
      <c r="E228" s="94" t="s">
        <v>187</v>
      </c>
      <c r="G228" s="126">
        <v>10179.52</v>
      </c>
      <c r="H228" s="116">
        <f t="shared" si="69"/>
        <v>10179.52</v>
      </c>
      <c r="I228" s="230">
        <f>IF("generated"=1, "Path=MMRBEM_7_UP, Scaled Offset=10179.520000000000436557456851005554", 10543.469011463)</f>
        <v>10543.469011462999</v>
      </c>
      <c r="L228" s="12" t="s">
        <v>64</v>
      </c>
    </row>
    <row r="230" spans="1:12" x14ac:dyDescent="0.2">
      <c r="A230" s="224" t="s">
        <v>129</v>
      </c>
      <c r="B230">
        <v>71071</v>
      </c>
      <c r="C230" t="s">
        <v>272</v>
      </c>
      <c r="D230" t="s">
        <v>192</v>
      </c>
      <c r="E230" s="94" t="s">
        <v>187</v>
      </c>
      <c r="G230" s="126">
        <v>10179.52</v>
      </c>
      <c r="H230" s="116">
        <f t="shared" ref="H230:H231" si="70">G230+F230</f>
        <v>10179.52</v>
      </c>
      <c r="I230" s="230">
        <f>IF("generated"=1, "Path=MMRBEM_7_UP, Scaled Offset=10179.520000000000436557456851005554", 10543.469011463)</f>
        <v>10543.469011462999</v>
      </c>
      <c r="L230" s="12" t="s">
        <v>64</v>
      </c>
    </row>
    <row r="231" spans="1:12" x14ac:dyDescent="0.2">
      <c r="A231" s="224" t="s">
        <v>129</v>
      </c>
      <c r="B231">
        <v>71071</v>
      </c>
      <c r="C231" t="s">
        <v>272</v>
      </c>
      <c r="D231" t="s">
        <v>192</v>
      </c>
      <c r="E231" s="94" t="s">
        <v>187</v>
      </c>
      <c r="G231" s="126">
        <v>11663.59</v>
      </c>
      <c r="H231" s="116">
        <f t="shared" si="70"/>
        <v>11663.59</v>
      </c>
      <c r="I231" s="230">
        <f>IF("generated"=1, "Path=MMRBEM_7_UP, Scaled Offset=11663.590000000000145519152283668518", 12000.1712324542)</f>
        <v>12000.1712324542</v>
      </c>
      <c r="L231" s="12" t="s">
        <v>64</v>
      </c>
    </row>
    <row r="233" spans="1:12" x14ac:dyDescent="0.2">
      <c r="A233" s="224" t="s">
        <v>129</v>
      </c>
      <c r="B233">
        <v>71072</v>
      </c>
      <c r="C233" t="s">
        <v>273</v>
      </c>
      <c r="D233" t="s">
        <v>192</v>
      </c>
      <c r="E233" s="94" t="s">
        <v>187</v>
      </c>
      <c r="G233" s="126">
        <v>11663.59</v>
      </c>
      <c r="H233" s="116">
        <f t="shared" ref="H233:H234" si="71">G233+F233</f>
        <v>11663.59</v>
      </c>
      <c r="I233" s="230">
        <f>IF("generated"=1, "Path=MMRBEM_7_UP, Scaled Offset=11663.590000000000145519152283668518", 12000.1712324542)</f>
        <v>12000.1712324542</v>
      </c>
      <c r="L233" s="12" t="s">
        <v>64</v>
      </c>
    </row>
    <row r="234" spans="1:12" x14ac:dyDescent="0.2">
      <c r="A234" s="224" t="s">
        <v>129</v>
      </c>
      <c r="B234">
        <v>71072</v>
      </c>
      <c r="C234" t="s">
        <v>273</v>
      </c>
      <c r="D234" t="s">
        <v>192</v>
      </c>
      <c r="E234" s="94" t="s">
        <v>187</v>
      </c>
      <c r="G234" s="126">
        <v>11860.81</v>
      </c>
      <c r="H234" s="116">
        <f t="shared" si="71"/>
        <v>11860.81</v>
      </c>
      <c r="I234" s="230">
        <f>IF("generated"=1, "Path=MMRBEM_7_UP, Scaled Offset=11860.809999999999490682967007160187", 12193.7542925685)</f>
        <v>12193.754292568499</v>
      </c>
      <c r="L234" s="12" t="s">
        <v>64</v>
      </c>
    </row>
    <row r="236" spans="1:12" x14ac:dyDescent="0.2">
      <c r="A236" s="224" t="s">
        <v>129</v>
      </c>
      <c r="B236">
        <v>71073</v>
      </c>
      <c r="C236" t="s">
        <v>274</v>
      </c>
      <c r="D236" t="s">
        <v>192</v>
      </c>
      <c r="E236" s="94" t="s">
        <v>187</v>
      </c>
      <c r="G236" s="126">
        <v>11860.81</v>
      </c>
      <c r="H236" s="116">
        <f t="shared" ref="H236:H237" si="72">G236+F236</f>
        <v>11860.81</v>
      </c>
      <c r="I236" s="230">
        <f>IF("generated"=1, "Path=MMRBEM_7_UP, Scaled Offset=11860.809999999999490682967007160187", 12193.7542925685)</f>
        <v>12193.754292568499</v>
      </c>
      <c r="L236" s="12" t="s">
        <v>64</v>
      </c>
    </row>
    <row r="237" spans="1:12" x14ac:dyDescent="0.2">
      <c r="A237" s="224" t="s">
        <v>129</v>
      </c>
      <c r="B237">
        <v>71073</v>
      </c>
      <c r="C237" t="s">
        <v>274</v>
      </c>
      <c r="D237" t="s">
        <v>192</v>
      </c>
      <c r="E237" s="94" t="s">
        <v>187</v>
      </c>
      <c r="G237" s="126">
        <v>12500.45</v>
      </c>
      <c r="H237" s="116">
        <f t="shared" si="72"/>
        <v>12500.45</v>
      </c>
      <c r="I237" s="230">
        <f>IF("generated"=1, "Path=MMRBEM_7_UP, Scaled Offset=12500.45000000000072759576141834259", 12821.5986723045)</f>
        <v>12821.598672304501</v>
      </c>
      <c r="L237" s="12" t="s">
        <v>64</v>
      </c>
    </row>
    <row r="239" spans="1:12" x14ac:dyDescent="0.2">
      <c r="A239" s="224" t="s">
        <v>129</v>
      </c>
      <c r="B239">
        <v>71074</v>
      </c>
      <c r="C239" t="s">
        <v>275</v>
      </c>
      <c r="D239" t="s">
        <v>192</v>
      </c>
      <c r="E239" s="94" t="s">
        <v>187</v>
      </c>
      <c r="G239" s="126">
        <v>12500.45</v>
      </c>
      <c r="H239" s="116">
        <f t="shared" ref="H239:H240" si="73">G239+F239</f>
        <v>12500.45</v>
      </c>
      <c r="I239" s="230">
        <f>IF("generated"=1, "Path=MMRBEM_7_UP, Scaled Offset=12500.45000000000072759576141834259", 12821.5986723045)</f>
        <v>12821.598672304501</v>
      </c>
      <c r="L239" s="12" t="s">
        <v>64</v>
      </c>
    </row>
    <row r="240" spans="1:12" x14ac:dyDescent="0.2">
      <c r="A240" s="224" t="s">
        <v>129</v>
      </c>
      <c r="B240">
        <v>71074</v>
      </c>
      <c r="C240" t="s">
        <v>275</v>
      </c>
      <c r="D240" t="s">
        <v>192</v>
      </c>
      <c r="E240" s="94" t="s">
        <v>187</v>
      </c>
      <c r="G240" s="126">
        <v>12696.67</v>
      </c>
      <c r="H240" s="116">
        <f t="shared" si="73"/>
        <v>12696.67</v>
      </c>
      <c r="I240" s="230">
        <f>IF("generated"=1, "Path=MMRBEM_7_UP, Scaled Offset=12696.670000000000072759576141834259", 13014.2001734486)</f>
        <v>13014.2001734486</v>
      </c>
      <c r="L240" s="12" t="s">
        <v>64</v>
      </c>
    </row>
    <row r="242" spans="1:12" x14ac:dyDescent="0.2">
      <c r="A242" s="224" t="s">
        <v>129</v>
      </c>
      <c r="B242">
        <v>71075</v>
      </c>
      <c r="C242" t="s">
        <v>276</v>
      </c>
      <c r="D242" t="s">
        <v>192</v>
      </c>
      <c r="E242" s="94" t="s">
        <v>187</v>
      </c>
      <c r="G242" s="126">
        <v>12696.67</v>
      </c>
      <c r="H242" s="116">
        <f t="shared" ref="H242:H243" si="74">G242+F242</f>
        <v>12696.67</v>
      </c>
      <c r="I242" s="230">
        <f>IF("generated"=1, "Path=MMRBEM_7_UP, Scaled Offset=12696.670000000000072759576141834259", 13014.2001734486)</f>
        <v>13014.2001734486</v>
      </c>
      <c r="L242" s="12" t="s">
        <v>64</v>
      </c>
    </row>
    <row r="243" spans="1:12" x14ac:dyDescent="0.2">
      <c r="A243" s="224" t="s">
        <v>129</v>
      </c>
      <c r="B243">
        <v>71075</v>
      </c>
      <c r="C243" t="s">
        <v>276</v>
      </c>
      <c r="D243" t="s">
        <v>192</v>
      </c>
      <c r="E243" s="94" t="s">
        <v>187</v>
      </c>
      <c r="G243" s="126">
        <v>12698.67</v>
      </c>
      <c r="H243" s="116">
        <f t="shared" si="74"/>
        <v>12698.67</v>
      </c>
      <c r="I243" s="230">
        <f>IF("generated"=1, "Path=MMRBEM_7_UP, Scaled Offset=12698.670000000000072759576141834259", 13016.1632913891)</f>
        <v>13016.163291389101</v>
      </c>
      <c r="L243" s="12" t="s">
        <v>64</v>
      </c>
    </row>
    <row r="245" spans="1:12" x14ac:dyDescent="0.2">
      <c r="A245" s="224" t="s">
        <v>129</v>
      </c>
      <c r="B245">
        <v>71076</v>
      </c>
      <c r="C245" t="s">
        <v>277</v>
      </c>
      <c r="D245" t="s">
        <v>192</v>
      </c>
      <c r="E245" s="94" t="s">
        <v>187</v>
      </c>
      <c r="G245" s="126">
        <v>12698.67</v>
      </c>
      <c r="H245" s="116">
        <f t="shared" ref="H245:H246" si="75">G245+F245</f>
        <v>12698.67</v>
      </c>
      <c r="I245" s="230">
        <f>IF("generated"=1, "Path=MMRBEM_7_UP, Scaled Offset=12698.670000000000072759576141834259", 13016.1632913891)</f>
        <v>13016.163291389101</v>
      </c>
      <c r="L245" s="12" t="s">
        <v>64</v>
      </c>
    </row>
    <row r="246" spans="1:12" x14ac:dyDescent="0.2">
      <c r="A246" s="224" t="s">
        <v>129</v>
      </c>
      <c r="B246">
        <v>71076</v>
      </c>
      <c r="C246" t="s">
        <v>277</v>
      </c>
      <c r="D246" t="s">
        <v>192</v>
      </c>
      <c r="E246" s="94" t="s">
        <v>187</v>
      </c>
      <c r="G246" s="126">
        <v>13662.74</v>
      </c>
      <c r="H246" s="116">
        <f t="shared" si="75"/>
        <v>13662.74</v>
      </c>
      <c r="I246" s="230">
        <f>IF("generated"=1, "Path=MMRBEM_7_UP, Scaled Offset=13662.739999999999781721271574497223", 13962.4548478459)</f>
        <v>13962.4548478459</v>
      </c>
      <c r="L246" s="12" t="s">
        <v>64</v>
      </c>
    </row>
    <row r="248" spans="1:12" x14ac:dyDescent="0.2">
      <c r="A248" s="224" t="s">
        <v>129</v>
      </c>
      <c r="B248">
        <v>71077</v>
      </c>
      <c r="C248" t="s">
        <v>278</v>
      </c>
      <c r="D248" t="s">
        <v>192</v>
      </c>
      <c r="E248" s="94" t="s">
        <v>187</v>
      </c>
      <c r="G248" s="126">
        <v>13662.74</v>
      </c>
      <c r="H248" s="116">
        <f t="shared" ref="H248:H249" si="76">G248+F248</f>
        <v>13662.74</v>
      </c>
      <c r="I248" s="230">
        <f>IF("generated"=1, "Path=MMRBEM_7_UP, Scaled Offset=13662.739999999999781721271574497223", 13962.4548478459)</f>
        <v>13962.4548478459</v>
      </c>
      <c r="L248" s="12" t="s">
        <v>64</v>
      </c>
    </row>
    <row r="249" spans="1:12" x14ac:dyDescent="0.2">
      <c r="A249" s="224" t="s">
        <v>129</v>
      </c>
      <c r="B249">
        <v>71077</v>
      </c>
      <c r="C249" t="s">
        <v>278</v>
      </c>
      <c r="D249" t="s">
        <v>192</v>
      </c>
      <c r="E249" s="94" t="s">
        <v>187</v>
      </c>
      <c r="G249" s="126">
        <v>13859.96</v>
      </c>
      <c r="H249" s="116">
        <f t="shared" si="76"/>
        <v>13859.96</v>
      </c>
      <c r="I249" s="230">
        <f>IF("generated"=1, "Path=MMRBEM_7_UP, Scaled Offset=13859.959999999999126885086297988892", 14156.0379079603)</f>
        <v>14156.037907960301</v>
      </c>
      <c r="L249" s="12" t="s">
        <v>64</v>
      </c>
    </row>
    <row r="251" spans="1:12" x14ac:dyDescent="0.2">
      <c r="A251" s="224" t="s">
        <v>129</v>
      </c>
      <c r="B251">
        <v>71078</v>
      </c>
      <c r="C251" t="s">
        <v>279</v>
      </c>
      <c r="D251" t="s">
        <v>192</v>
      </c>
      <c r="E251" s="94" t="s">
        <v>187</v>
      </c>
      <c r="G251" s="126">
        <v>13859.96</v>
      </c>
      <c r="H251" s="116">
        <f t="shared" ref="H251:H252" si="77">G251+F251</f>
        <v>13859.96</v>
      </c>
      <c r="I251" s="230">
        <f>IF("generated"=1, "Path=MMRBEM_7_UP, Scaled Offset=13859.959999999999126885086297988892", 14156.0379079603)</f>
        <v>14156.037907960301</v>
      </c>
      <c r="L251" s="12" t="s">
        <v>64</v>
      </c>
    </row>
    <row r="252" spans="1:12" x14ac:dyDescent="0.2">
      <c r="A252" s="224" t="s">
        <v>129</v>
      </c>
      <c r="B252">
        <v>71078</v>
      </c>
      <c r="C252" t="s">
        <v>279</v>
      </c>
      <c r="D252" t="s">
        <v>192</v>
      </c>
      <c r="E252" s="94" t="s">
        <v>187</v>
      </c>
      <c r="G252" s="126">
        <v>14622.34</v>
      </c>
      <c r="H252" s="116">
        <f t="shared" si="77"/>
        <v>14622.34</v>
      </c>
      <c r="I252" s="230">
        <f>IF("generated"=1, "Path=MMRBEM_7_UP, Scaled Offset=14622.340000000000145519152283668518", 14904.3588357058)</f>
        <v>14904.3588357058</v>
      </c>
      <c r="L252" s="12" t="s">
        <v>64</v>
      </c>
    </row>
    <row r="254" spans="1:12" x14ac:dyDescent="0.2">
      <c r="A254" s="224" t="s">
        <v>129</v>
      </c>
      <c r="B254">
        <v>71079</v>
      </c>
      <c r="C254" t="s">
        <v>280</v>
      </c>
      <c r="D254" t="s">
        <v>192</v>
      </c>
      <c r="E254" s="94" t="s">
        <v>187</v>
      </c>
      <c r="G254" s="126">
        <v>14622.34</v>
      </c>
      <c r="H254" s="116">
        <f t="shared" ref="H254:H255" si="78">G254+F254</f>
        <v>14622.34</v>
      </c>
      <c r="I254" s="230">
        <f>IF("generated"=1, "Path=MMRBEM_7_UP, Scaled Offset=14622.340000000000145519152283668518", 14904.3588357058)</f>
        <v>14904.3588357058</v>
      </c>
      <c r="L254" s="12" t="s">
        <v>64</v>
      </c>
    </row>
    <row r="255" spans="1:12" x14ac:dyDescent="0.2">
      <c r="A255" s="224" t="s">
        <v>129</v>
      </c>
      <c r="B255">
        <v>71079</v>
      </c>
      <c r="C255" t="s">
        <v>280</v>
      </c>
      <c r="D255" t="s">
        <v>192</v>
      </c>
      <c r="E255" s="94" t="s">
        <v>187</v>
      </c>
      <c r="F255">
        <v>7</v>
      </c>
      <c r="G255" s="126">
        <v>14819.56</v>
      </c>
      <c r="H255" s="116">
        <f t="shared" si="78"/>
        <v>14826.56</v>
      </c>
      <c r="I255" s="230">
        <f>IF("generated"=1, "Path=MMRBEM_7_UP, Scaled Offset=14826.559999999999490682967007160187", 15104.8128086119)</f>
        <v>15104.8128086119</v>
      </c>
      <c r="L255" s="12" t="s">
        <v>64</v>
      </c>
    </row>
    <row r="257" spans="1:12" x14ac:dyDescent="0.2">
      <c r="A257" s="224" t="s">
        <v>129</v>
      </c>
      <c r="B257">
        <v>71080</v>
      </c>
      <c r="C257" t="s">
        <v>281</v>
      </c>
      <c r="D257" t="s">
        <v>192</v>
      </c>
      <c r="E257" s="94" t="s">
        <v>187</v>
      </c>
      <c r="F257">
        <v>7</v>
      </c>
      <c r="G257" s="126">
        <v>14819.56</v>
      </c>
      <c r="H257" s="116">
        <f t="shared" ref="H257:H258" si="79">G257+F257</f>
        <v>14826.56</v>
      </c>
      <c r="I257" s="230">
        <f>IF("generated"=1, "Path=MMRBEM_7_UP, Scaled Offset=14826.559999999999490682967007160187", 15104.8128086119)</f>
        <v>15104.8128086119</v>
      </c>
      <c r="L257" s="12" t="s">
        <v>64</v>
      </c>
    </row>
    <row r="258" spans="1:12" x14ac:dyDescent="0.2">
      <c r="A258" s="224" t="s">
        <v>129</v>
      </c>
      <c r="B258">
        <v>71080</v>
      </c>
      <c r="C258" t="s">
        <v>281</v>
      </c>
      <c r="D258" t="s">
        <v>192</v>
      </c>
      <c r="E258" s="94" t="s">
        <v>187</v>
      </c>
      <c r="G258" s="126">
        <v>14869.56</v>
      </c>
      <c r="H258" s="116">
        <f t="shared" si="79"/>
        <v>14869.56</v>
      </c>
      <c r="I258" s="230">
        <f>IF("generated"=1, "Path=MMRBEM_7_UP, Scaled Offset=14869.559999999999490682967007160187", 15147.019844333)</f>
        <v>15147.019844332999</v>
      </c>
      <c r="L258" s="12" t="s">
        <v>64</v>
      </c>
    </row>
    <row r="260" spans="1:12" x14ac:dyDescent="0.2">
      <c r="A260" s="224" t="s">
        <v>129</v>
      </c>
      <c r="B260">
        <v>71081</v>
      </c>
      <c r="C260" t="s">
        <v>282</v>
      </c>
      <c r="D260" t="s">
        <v>192</v>
      </c>
      <c r="E260" s="94" t="s">
        <v>187</v>
      </c>
      <c r="G260" s="126">
        <v>14869.56</v>
      </c>
      <c r="H260" s="116">
        <f t="shared" ref="H260:H261" si="80">G260+F260</f>
        <v>14869.56</v>
      </c>
      <c r="I260" s="230">
        <f>IF("generated"=1, "Path=MMRBEM_7_UP, Scaled Offset=14869.559999999999490682967007160187", 15147.019844333)</f>
        <v>15147.019844332999</v>
      </c>
      <c r="L260" s="12" t="s">
        <v>64</v>
      </c>
    </row>
    <row r="261" spans="1:12" x14ac:dyDescent="0.2">
      <c r="A261" s="224" t="s">
        <v>129</v>
      </c>
      <c r="B261">
        <v>71081</v>
      </c>
      <c r="C261" t="s">
        <v>282</v>
      </c>
      <c r="D261" t="s">
        <v>192</v>
      </c>
      <c r="E261" s="94" t="s">
        <v>187</v>
      </c>
      <c r="G261" s="126">
        <v>14989.12</v>
      </c>
      <c r="H261" s="116">
        <f t="shared" si="80"/>
        <v>14989.12</v>
      </c>
      <c r="I261" s="230">
        <f>IF("generated"=1, "Path=MMRBEM_7_UP, Scaled Offset=14989.120000000000800355337560176849", 15263.8659119754)</f>
        <v>15263.865911975399</v>
      </c>
      <c r="L261" s="12" t="s">
        <v>64</v>
      </c>
    </row>
    <row r="262" spans="1:12" x14ac:dyDescent="0.2">
      <c r="A262" s="224" t="s">
        <v>129</v>
      </c>
      <c r="B262">
        <v>71081</v>
      </c>
      <c r="C262" t="s">
        <v>282</v>
      </c>
      <c r="D262" t="s">
        <v>192</v>
      </c>
      <c r="E262" s="94" t="s">
        <v>283</v>
      </c>
      <c r="G262" s="126">
        <v>39.79</v>
      </c>
      <c r="L262" s="12" t="s">
        <v>64</v>
      </c>
    </row>
    <row r="264" spans="1:12" x14ac:dyDescent="0.2">
      <c r="A264" s="224" t="s">
        <v>129</v>
      </c>
      <c r="B264">
        <v>71082</v>
      </c>
      <c r="C264" t="s">
        <v>284</v>
      </c>
      <c r="D264" t="s">
        <v>192</v>
      </c>
      <c r="E264" s="94" t="s">
        <v>187</v>
      </c>
      <c r="G264" s="126">
        <v>14989.12</v>
      </c>
      <c r="H264" s="116">
        <f t="shared" ref="H264:H267" si="81">G264+F264</f>
        <v>14989.12</v>
      </c>
      <c r="I264" s="230">
        <f>IF("generated"=1, "Path=MMRBEM_7_UP, Scaled Offset=14989.120000000000800355337560176849", 15263.8659119754)</f>
        <v>15263.865911975399</v>
      </c>
      <c r="L264" s="12" t="s">
        <v>64</v>
      </c>
    </row>
    <row r="265" spans="1:12" x14ac:dyDescent="0.2">
      <c r="A265" s="224" t="s">
        <v>129</v>
      </c>
      <c r="B265">
        <v>71082</v>
      </c>
      <c r="C265" t="s">
        <v>284</v>
      </c>
      <c r="D265" t="s">
        <v>192</v>
      </c>
      <c r="E265" s="94" t="s">
        <v>187</v>
      </c>
      <c r="F265">
        <v>-15</v>
      </c>
      <c r="G265" s="126">
        <v>15115.64</v>
      </c>
      <c r="H265" s="116">
        <f t="shared" si="81"/>
        <v>15100.64</v>
      </c>
      <c r="I265" s="230">
        <f>IF("generated"=1, "Path=MMRBEM_7_UP, Scaled Offset=15100.639999999999417923390865325928", 15370.8694079462)</f>
        <v>15370.8694079462</v>
      </c>
      <c r="L265" s="12" t="s">
        <v>64</v>
      </c>
    </row>
    <row r="266" spans="1:12" x14ac:dyDescent="0.2">
      <c r="A266" s="224" t="s">
        <v>129</v>
      </c>
      <c r="B266">
        <v>71082</v>
      </c>
      <c r="C266" t="s">
        <v>284</v>
      </c>
      <c r="D266" t="s">
        <v>192</v>
      </c>
      <c r="E266" s="94" t="s">
        <v>244</v>
      </c>
      <c r="G266" s="126">
        <v>39.79</v>
      </c>
      <c r="H266" s="116">
        <f t="shared" si="81"/>
        <v>39.79</v>
      </c>
      <c r="I266" s="230">
        <f>IF("generated"=1, "Path=Track_3, Scaled Offset=39.789999999999999147348717087879777", 39.7899999999999)</f>
        <v>39.7899999999999</v>
      </c>
      <c r="L266" s="12" t="s">
        <v>64</v>
      </c>
    </row>
    <row r="267" spans="1:12" x14ac:dyDescent="0.2">
      <c r="A267" s="224" t="s">
        <v>129</v>
      </c>
      <c r="B267">
        <v>71082</v>
      </c>
      <c r="C267" t="s">
        <v>284</v>
      </c>
      <c r="D267" t="s">
        <v>192</v>
      </c>
      <c r="E267" s="94" t="s">
        <v>180</v>
      </c>
      <c r="G267" s="126">
        <v>70</v>
      </c>
      <c r="H267" s="116">
        <f t="shared" si="81"/>
        <v>70</v>
      </c>
      <c r="I267" s="230">
        <f>IF("generated"=1, "Path=Track_12, Scaled Offset=70", 70)</f>
        <v>70</v>
      </c>
      <c r="L267" s="12" t="s">
        <v>64</v>
      </c>
    </row>
    <row r="269" spans="1:12" x14ac:dyDescent="0.2">
      <c r="A269" s="224" t="s">
        <v>129</v>
      </c>
      <c r="B269">
        <v>71083</v>
      </c>
      <c r="C269" t="s">
        <v>285</v>
      </c>
      <c r="D269" t="s">
        <v>192</v>
      </c>
      <c r="E269" s="94" t="s">
        <v>187</v>
      </c>
      <c r="F269">
        <v>-15</v>
      </c>
      <c r="G269" s="126">
        <v>15115.64</v>
      </c>
      <c r="H269" s="116">
        <f t="shared" ref="H269:H270" si="82">G269+F269</f>
        <v>15100.64</v>
      </c>
      <c r="I269" s="230">
        <f>IF("generated"=1, "Path=MMRBEM_7_UP, Scaled Offset=15100.639999999999417923390865325928", 15370.8694079462)</f>
        <v>15370.8694079462</v>
      </c>
      <c r="L269" s="12" t="s">
        <v>64</v>
      </c>
    </row>
    <row r="270" spans="1:12" x14ac:dyDescent="0.2">
      <c r="A270" s="224" t="s">
        <v>129</v>
      </c>
      <c r="B270">
        <v>71083</v>
      </c>
      <c r="C270" t="s">
        <v>285</v>
      </c>
      <c r="D270" t="s">
        <v>192</v>
      </c>
      <c r="E270" s="94" t="s">
        <v>187</v>
      </c>
      <c r="G270" s="126">
        <v>15392.65</v>
      </c>
      <c r="H270" s="116">
        <f t="shared" si="82"/>
        <v>15392.65</v>
      </c>
      <c r="I270" s="230">
        <f>IF("generated"=1, "Path=MMRBEM_7_UP, Scaled Offset=15392.649999999999636202119290828705", 15633.0671636173)</f>
        <v>15633.067163617299</v>
      </c>
      <c r="L270" s="12" t="s">
        <v>64</v>
      </c>
    </row>
    <row r="272" spans="1:12" x14ac:dyDescent="0.2">
      <c r="A272" s="224" t="s">
        <v>129</v>
      </c>
      <c r="B272">
        <v>71084</v>
      </c>
      <c r="C272" t="s">
        <v>286</v>
      </c>
      <c r="D272" t="s">
        <v>192</v>
      </c>
      <c r="E272" s="94" t="s">
        <v>187</v>
      </c>
      <c r="G272" s="126">
        <v>15392.65</v>
      </c>
      <c r="H272" s="116">
        <f t="shared" ref="H272:H273" si="83">G272+F272</f>
        <v>15392.65</v>
      </c>
      <c r="I272" s="230">
        <f>IF("generated"=1, "Path=MMRBEM_7_UP, Scaled Offset=15392.649999999999636202119290828705", 15633.0671636173)</f>
        <v>15633.067163617299</v>
      </c>
      <c r="L272" s="12" t="s">
        <v>64</v>
      </c>
    </row>
    <row r="273" spans="1:12" x14ac:dyDescent="0.2">
      <c r="A273" s="224" t="s">
        <v>129</v>
      </c>
      <c r="B273">
        <v>71084</v>
      </c>
      <c r="C273" t="s">
        <v>286</v>
      </c>
      <c r="D273" t="s">
        <v>192</v>
      </c>
      <c r="E273" s="94" t="s">
        <v>187</v>
      </c>
      <c r="G273" s="126">
        <v>15394.65</v>
      </c>
      <c r="H273" s="116">
        <f t="shared" si="83"/>
        <v>15394.65</v>
      </c>
      <c r="I273" s="230">
        <f>IF("generated"=1, "Path=MMRBEM_7_UP, Scaled Offset=15394.649999999999636202119290828705", 15634.8629771557)</f>
        <v>15634.862977155701</v>
      </c>
      <c r="L273" s="12" t="s">
        <v>64</v>
      </c>
    </row>
    <row r="275" spans="1:12" x14ac:dyDescent="0.2">
      <c r="A275" s="224" t="s">
        <v>129</v>
      </c>
      <c r="B275">
        <v>71085</v>
      </c>
      <c r="C275" t="s">
        <v>287</v>
      </c>
      <c r="D275" t="s">
        <v>192</v>
      </c>
      <c r="E275" s="94" t="s">
        <v>187</v>
      </c>
      <c r="G275" s="126">
        <v>15394.65</v>
      </c>
      <c r="H275" s="116">
        <f t="shared" ref="H275:H276" si="84">G275+F275</f>
        <v>15394.65</v>
      </c>
      <c r="I275" s="230">
        <f>IF("generated"=1, "Path=MMRBEM_7_UP, Scaled Offset=15394.649999999999636202119290828705", 15634.8629771557)</f>
        <v>15634.862977155701</v>
      </c>
      <c r="L275" s="12" t="s">
        <v>64</v>
      </c>
    </row>
    <row r="276" spans="1:12" x14ac:dyDescent="0.2">
      <c r="A276" s="224" t="s">
        <v>129</v>
      </c>
      <c r="B276">
        <v>71085</v>
      </c>
      <c r="C276" t="s">
        <v>287</v>
      </c>
      <c r="D276" t="s">
        <v>192</v>
      </c>
      <c r="E276" s="94" t="s">
        <v>187</v>
      </c>
      <c r="G276" s="126">
        <v>15443.65</v>
      </c>
      <c r="H276" s="116">
        <f t="shared" si="84"/>
        <v>15443.65</v>
      </c>
      <c r="I276" s="230">
        <f>IF("generated"=1, "Path=MMRBEM_7_UP, Scaled Offset=15443.649999999999636202119290828705", 15678.8604088459)</f>
        <v>15678.8604088459</v>
      </c>
      <c r="L276" s="12" t="s">
        <v>64</v>
      </c>
    </row>
    <row r="278" spans="1:12" x14ac:dyDescent="0.2">
      <c r="A278" s="224" t="s">
        <v>129</v>
      </c>
      <c r="B278">
        <v>71086</v>
      </c>
      <c r="C278" t="s">
        <v>288</v>
      </c>
      <c r="D278" t="s">
        <v>192</v>
      </c>
      <c r="E278" s="94" t="s">
        <v>283</v>
      </c>
      <c r="G278" s="126">
        <v>39.79</v>
      </c>
      <c r="H278" s="116">
        <f t="shared" ref="H278:H279" si="85">G278+F278</f>
        <v>39.79</v>
      </c>
      <c r="I278" s="230">
        <f>IF("generated"=1, "Path=Track_4, Scaled Offset=39.789999999999999147348717087879777", 39.7899999999999)</f>
        <v>39.7899999999999</v>
      </c>
      <c r="L278" s="12" t="s">
        <v>64</v>
      </c>
    </row>
    <row r="279" spans="1:12" x14ac:dyDescent="0.2">
      <c r="A279" s="224" t="s">
        <v>129</v>
      </c>
      <c r="B279">
        <v>71086</v>
      </c>
      <c r="C279" t="s">
        <v>288</v>
      </c>
      <c r="D279" t="s">
        <v>192</v>
      </c>
      <c r="E279" s="94" t="s">
        <v>184</v>
      </c>
      <c r="G279" s="126">
        <v>15</v>
      </c>
      <c r="H279" s="116">
        <f t="shared" si="85"/>
        <v>15</v>
      </c>
      <c r="I279" s="230">
        <f>IF("generated"=1, "Path=Track_11_1, Scaled Offset=15", 15)</f>
        <v>15</v>
      </c>
      <c r="L279" s="12" t="s">
        <v>64</v>
      </c>
    </row>
    <row r="281" spans="1:12" x14ac:dyDescent="0.2">
      <c r="A281" s="224" t="s">
        <v>129</v>
      </c>
      <c r="B281">
        <v>71087</v>
      </c>
      <c r="C281" t="s">
        <v>289</v>
      </c>
      <c r="D281" t="s">
        <v>192</v>
      </c>
      <c r="E281" s="94" t="s">
        <v>184</v>
      </c>
      <c r="G281" s="126">
        <v>15</v>
      </c>
      <c r="H281" s="116">
        <f t="shared" ref="H281:H282" si="86">G281+F281</f>
        <v>15</v>
      </c>
      <c r="I281" s="230">
        <f>IF("generated"=1, "Path=Track_11_1, Scaled Offset=15", 15)</f>
        <v>15</v>
      </c>
      <c r="L281" s="12" t="s">
        <v>64</v>
      </c>
    </row>
    <row r="282" spans="1:12" x14ac:dyDescent="0.2">
      <c r="A282" s="224" t="s">
        <v>129</v>
      </c>
      <c r="B282">
        <v>71087</v>
      </c>
      <c r="C282" t="s">
        <v>289</v>
      </c>
      <c r="D282" t="s">
        <v>192</v>
      </c>
      <c r="E282" s="94" t="s">
        <v>184</v>
      </c>
      <c r="G282" s="126">
        <v>64</v>
      </c>
      <c r="H282" s="116">
        <f t="shared" si="86"/>
        <v>64</v>
      </c>
      <c r="I282" s="230">
        <f>IF("generated"=1, "Path=Track_11_1, Scaled Offset=64", 64)</f>
        <v>64</v>
      </c>
      <c r="L282" s="12" t="s">
        <v>64</v>
      </c>
    </row>
    <row r="284" spans="1:12" x14ac:dyDescent="0.2">
      <c r="A284" s="224" t="s">
        <v>129</v>
      </c>
      <c r="B284">
        <v>71088</v>
      </c>
      <c r="C284" t="s">
        <v>290</v>
      </c>
      <c r="D284" t="s">
        <v>192</v>
      </c>
      <c r="E284" s="94" t="s">
        <v>184</v>
      </c>
      <c r="G284" s="126">
        <v>64</v>
      </c>
      <c r="H284" s="116">
        <f t="shared" ref="H284:H285" si="87">G284+F284</f>
        <v>64</v>
      </c>
      <c r="I284" s="230">
        <f>IF("generated"=1, "Path=Track_11_1, Scaled Offset=64", 64)</f>
        <v>64</v>
      </c>
      <c r="L284" s="12" t="s">
        <v>64</v>
      </c>
    </row>
    <row r="285" spans="1:12" x14ac:dyDescent="0.2">
      <c r="A285" s="224" t="s">
        <v>129</v>
      </c>
      <c r="B285">
        <v>71088</v>
      </c>
      <c r="C285" t="s">
        <v>290</v>
      </c>
      <c r="D285" t="s">
        <v>192</v>
      </c>
      <c r="E285" s="94" t="s">
        <v>184</v>
      </c>
      <c r="G285" s="126">
        <v>386</v>
      </c>
      <c r="H285" s="116">
        <f t="shared" si="87"/>
        <v>386</v>
      </c>
      <c r="I285" s="230">
        <f>IF("generated"=1, "Path=Track_11_1, Scaled Offset=386", 386)</f>
        <v>386</v>
      </c>
      <c r="L285" s="12" t="s">
        <v>64</v>
      </c>
    </row>
    <row r="287" spans="1:12" x14ac:dyDescent="0.2">
      <c r="A287" s="224" t="s">
        <v>129</v>
      </c>
      <c r="B287">
        <v>71089</v>
      </c>
      <c r="C287" t="s">
        <v>291</v>
      </c>
      <c r="D287" t="s">
        <v>192</v>
      </c>
      <c r="E287" s="94" t="s">
        <v>180</v>
      </c>
      <c r="G287" s="126">
        <v>70</v>
      </c>
      <c r="H287" s="116">
        <f t="shared" ref="H287:H288" si="88">G287+F287</f>
        <v>70</v>
      </c>
      <c r="I287" s="230">
        <f>IF("generated"=1, "Path=Track_12, Scaled Offset=70", 70)</f>
        <v>70</v>
      </c>
      <c r="L287" s="12" t="s">
        <v>64</v>
      </c>
    </row>
    <row r="288" spans="1:12" x14ac:dyDescent="0.2">
      <c r="A288" s="224" t="s">
        <v>129</v>
      </c>
      <c r="B288">
        <v>71089</v>
      </c>
      <c r="C288" t="s">
        <v>291</v>
      </c>
      <c r="D288" t="s">
        <v>192</v>
      </c>
      <c r="E288" s="94" t="s">
        <v>180</v>
      </c>
      <c r="G288" s="126">
        <v>374</v>
      </c>
      <c r="H288" s="116">
        <f t="shared" si="88"/>
        <v>374</v>
      </c>
      <c r="I288" s="230">
        <f>IF("generated"=1, "Path=Track_12, Scaled Offset=374", 374)</f>
        <v>374</v>
      </c>
      <c r="L288" s="12" t="s">
        <v>64</v>
      </c>
    </row>
  </sheetData>
  <conditionalFormatting sqref="E6:E7">
    <cfRule type="cellIs" dxfId="325" priority="483" operator="equal">
      <formula>$E$6</formula>
    </cfRule>
    <cfRule type="cellIs" dxfId="324" priority="484" operator="equal">
      <formula>$E$7</formula>
    </cfRule>
    <cfRule type="duplicateValues" dxfId="323" priority="486"/>
  </conditionalFormatting>
  <conditionalFormatting sqref="E9:E12">
    <cfRule type="cellIs" dxfId="322" priority="479" operator="equal">
      <formula>$E$6</formula>
    </cfRule>
    <cfRule type="cellIs" dxfId="321" priority="480" operator="equal">
      <formula>$E$7</formula>
    </cfRule>
    <cfRule type="duplicateValues" dxfId="320" priority="482"/>
  </conditionalFormatting>
  <conditionalFormatting sqref="E14:E15">
    <cfRule type="cellIs" dxfId="319" priority="475" operator="equal">
      <formula>$E$6</formula>
    </cfRule>
    <cfRule type="cellIs" dxfId="318" priority="476" operator="equal">
      <formula>$E$7</formula>
    </cfRule>
    <cfRule type="duplicateValues" dxfId="317" priority="478"/>
  </conditionalFormatting>
  <conditionalFormatting sqref="E17:E18">
    <cfRule type="cellIs" dxfId="316" priority="471" operator="equal">
      <formula>$E$6</formula>
    </cfRule>
    <cfRule type="cellIs" dxfId="315" priority="472" operator="equal">
      <formula>$E$7</formula>
    </cfRule>
    <cfRule type="duplicateValues" dxfId="314" priority="474"/>
  </conditionalFormatting>
  <conditionalFormatting sqref="E20:E21">
    <cfRule type="cellIs" dxfId="313" priority="467" operator="equal">
      <formula>$E$6</formula>
    </cfRule>
    <cfRule type="cellIs" dxfId="312" priority="468" operator="equal">
      <formula>$E$7</formula>
    </cfRule>
    <cfRule type="duplicateValues" dxfId="311" priority="470"/>
  </conditionalFormatting>
  <conditionalFormatting sqref="E23:E25">
    <cfRule type="cellIs" dxfId="310" priority="463" operator="equal">
      <formula>$E$6</formula>
    </cfRule>
    <cfRule type="cellIs" dxfId="309" priority="464" operator="equal">
      <formula>$E$7</formula>
    </cfRule>
    <cfRule type="duplicateValues" dxfId="308" priority="466"/>
  </conditionalFormatting>
  <conditionalFormatting sqref="E27:E28">
    <cfRule type="cellIs" dxfId="307" priority="409" operator="equal">
      <formula>$E$6</formula>
    </cfRule>
    <cfRule type="cellIs" dxfId="306" priority="410" operator="equal">
      <formula>$E$7</formula>
    </cfRule>
    <cfRule type="duplicateValues" dxfId="305" priority="412"/>
  </conditionalFormatting>
  <conditionalFormatting sqref="E30:E31">
    <cfRule type="cellIs" dxfId="304" priority="405" operator="equal">
      <formula>$E$6</formula>
    </cfRule>
    <cfRule type="cellIs" dxfId="303" priority="406" operator="equal">
      <formula>$E$7</formula>
    </cfRule>
    <cfRule type="duplicateValues" dxfId="302" priority="408"/>
  </conditionalFormatting>
  <conditionalFormatting sqref="E33:E34">
    <cfRule type="cellIs" dxfId="301" priority="401" operator="equal">
      <formula>$E$6</formula>
    </cfRule>
    <cfRule type="cellIs" dxfId="300" priority="402" operator="equal">
      <formula>$E$7</formula>
    </cfRule>
    <cfRule type="duplicateValues" dxfId="299" priority="404"/>
  </conditionalFormatting>
  <conditionalFormatting sqref="E36:E37">
    <cfRule type="cellIs" dxfId="298" priority="397" operator="equal">
      <formula>$E$6</formula>
    </cfRule>
    <cfRule type="cellIs" dxfId="297" priority="398" operator="equal">
      <formula>$E$7</formula>
    </cfRule>
    <cfRule type="duplicateValues" dxfId="296" priority="400"/>
  </conditionalFormatting>
  <conditionalFormatting sqref="E39:E40">
    <cfRule type="cellIs" dxfId="295" priority="337" operator="equal">
      <formula>$E$6</formula>
    </cfRule>
    <cfRule type="cellIs" dxfId="294" priority="338" operator="equal">
      <formula>$E$7</formula>
    </cfRule>
    <cfRule type="duplicateValues" dxfId="293" priority="340"/>
  </conditionalFormatting>
  <conditionalFormatting sqref="E42:E43">
    <cfRule type="cellIs" dxfId="292" priority="393" operator="equal">
      <formula>$E$6</formula>
    </cfRule>
    <cfRule type="cellIs" dxfId="291" priority="394" operator="equal">
      <formula>$E$7</formula>
    </cfRule>
    <cfRule type="duplicateValues" dxfId="290" priority="396"/>
  </conditionalFormatting>
  <conditionalFormatting sqref="E45:E46">
    <cfRule type="cellIs" dxfId="289" priority="389" operator="equal">
      <formula>$E$6</formula>
    </cfRule>
    <cfRule type="cellIs" dxfId="288" priority="390" operator="equal">
      <formula>$E$7</formula>
    </cfRule>
    <cfRule type="duplicateValues" dxfId="287" priority="392"/>
  </conditionalFormatting>
  <conditionalFormatting sqref="E48:E49">
    <cfRule type="cellIs" dxfId="286" priority="385" operator="equal">
      <formula>$E$6</formula>
    </cfRule>
    <cfRule type="cellIs" dxfId="285" priority="386" operator="equal">
      <formula>$E$7</formula>
    </cfRule>
    <cfRule type="duplicateValues" dxfId="284" priority="388"/>
  </conditionalFormatting>
  <conditionalFormatting sqref="E51:E52">
    <cfRule type="cellIs" dxfId="283" priority="381" operator="equal">
      <formula>$E$6</formula>
    </cfRule>
    <cfRule type="cellIs" dxfId="282" priority="382" operator="equal">
      <formula>$E$7</formula>
    </cfRule>
    <cfRule type="duplicateValues" dxfId="281" priority="384"/>
  </conditionalFormatting>
  <conditionalFormatting sqref="E54:E55">
    <cfRule type="duplicateValues" dxfId="280" priority="380"/>
  </conditionalFormatting>
  <conditionalFormatting sqref="E54:E56">
    <cfRule type="cellIs" dxfId="279" priority="365" operator="equal">
      <formula>$E$6</formula>
    </cfRule>
    <cfRule type="cellIs" dxfId="278" priority="366" operator="equal">
      <formula>$E$7</formula>
    </cfRule>
  </conditionalFormatting>
  <conditionalFormatting sqref="E56">
    <cfRule type="duplicateValues" dxfId="277" priority="368"/>
  </conditionalFormatting>
  <conditionalFormatting sqref="E58:E59">
    <cfRule type="cellIs" dxfId="276" priority="373" operator="equal">
      <formula>$E$6</formula>
    </cfRule>
    <cfRule type="cellIs" dxfId="275" priority="374" operator="equal">
      <formula>$E$7</formula>
    </cfRule>
    <cfRule type="duplicateValues" dxfId="274" priority="376"/>
  </conditionalFormatting>
  <conditionalFormatting sqref="E61:E63">
    <cfRule type="cellIs" dxfId="273" priority="369" operator="equal">
      <formula>$E$6</formula>
    </cfRule>
    <cfRule type="cellIs" dxfId="272" priority="370" operator="equal">
      <formula>$E$7</formula>
    </cfRule>
    <cfRule type="duplicateValues" dxfId="271" priority="372"/>
  </conditionalFormatting>
  <conditionalFormatting sqref="E65:E66">
    <cfRule type="cellIs" dxfId="270" priority="361" operator="equal">
      <formula>$E$6</formula>
    </cfRule>
    <cfRule type="cellIs" dxfId="269" priority="362" operator="equal">
      <formula>$E$7</formula>
    </cfRule>
    <cfRule type="duplicateValues" dxfId="268" priority="364"/>
  </conditionalFormatting>
  <conditionalFormatting sqref="E68:E69">
    <cfRule type="cellIs" dxfId="267" priority="357" operator="equal">
      <formula>$E$6</formula>
    </cfRule>
    <cfRule type="cellIs" dxfId="266" priority="358" operator="equal">
      <formula>$E$7</formula>
    </cfRule>
    <cfRule type="duplicateValues" dxfId="265" priority="360"/>
  </conditionalFormatting>
  <conditionalFormatting sqref="E71:E72">
    <cfRule type="cellIs" dxfId="264" priority="353" operator="equal">
      <formula>$E$6</formula>
    </cfRule>
    <cfRule type="cellIs" dxfId="263" priority="354" operator="equal">
      <formula>$E$7</formula>
    </cfRule>
    <cfRule type="duplicateValues" dxfId="262" priority="356"/>
  </conditionalFormatting>
  <conditionalFormatting sqref="E74:E75">
    <cfRule type="cellIs" dxfId="261" priority="349" operator="equal">
      <formula>$E$6</formula>
    </cfRule>
    <cfRule type="cellIs" dxfId="260" priority="350" operator="equal">
      <formula>$E$7</formula>
    </cfRule>
    <cfRule type="duplicateValues" dxfId="259" priority="352"/>
  </conditionalFormatting>
  <conditionalFormatting sqref="E77:E78">
    <cfRule type="cellIs" dxfId="258" priority="345" operator="equal">
      <formula>$E$6</formula>
    </cfRule>
    <cfRule type="cellIs" dxfId="257" priority="346" operator="equal">
      <formula>$E$7</formula>
    </cfRule>
    <cfRule type="duplicateValues" dxfId="256" priority="348"/>
  </conditionalFormatting>
  <conditionalFormatting sqref="E80:E81">
    <cfRule type="cellIs" dxfId="255" priority="341" operator="equal">
      <formula>$E$6</formula>
    </cfRule>
    <cfRule type="cellIs" dxfId="254" priority="342" operator="equal">
      <formula>$E$7</formula>
    </cfRule>
    <cfRule type="duplicateValues" dxfId="253" priority="344"/>
  </conditionalFormatting>
  <conditionalFormatting sqref="E83:E84">
    <cfRule type="cellIs" dxfId="252" priority="333" operator="equal">
      <formula>$E$6</formula>
    </cfRule>
    <cfRule type="cellIs" dxfId="251" priority="334" operator="equal">
      <formula>$E$7</formula>
    </cfRule>
    <cfRule type="duplicateValues" dxfId="250" priority="336"/>
  </conditionalFormatting>
  <conditionalFormatting sqref="E86:E87">
    <cfRule type="cellIs" dxfId="249" priority="329" operator="equal">
      <formula>$E$6</formula>
    </cfRule>
    <cfRule type="cellIs" dxfId="248" priority="330" operator="equal">
      <formula>$E$7</formula>
    </cfRule>
    <cfRule type="duplicateValues" dxfId="247" priority="332"/>
  </conditionalFormatting>
  <conditionalFormatting sqref="E89:E90">
    <cfRule type="cellIs" dxfId="246" priority="325" operator="equal">
      <formula>$E$6</formula>
    </cfRule>
    <cfRule type="cellIs" dxfId="245" priority="326" operator="equal">
      <formula>$E$7</formula>
    </cfRule>
    <cfRule type="duplicateValues" dxfId="244" priority="328"/>
  </conditionalFormatting>
  <conditionalFormatting sqref="E92:E93">
    <cfRule type="cellIs" dxfId="243" priority="321" operator="equal">
      <formula>$E$6</formula>
    </cfRule>
    <cfRule type="cellIs" dxfId="242" priority="322" operator="equal">
      <formula>$E$7</formula>
    </cfRule>
    <cfRule type="duplicateValues" dxfId="241" priority="324"/>
  </conditionalFormatting>
  <conditionalFormatting sqref="E95:E96">
    <cfRule type="cellIs" dxfId="240" priority="317" operator="equal">
      <formula>$E$6</formula>
    </cfRule>
    <cfRule type="cellIs" dxfId="239" priority="318" operator="equal">
      <formula>$E$7</formula>
    </cfRule>
    <cfRule type="duplicateValues" dxfId="238" priority="320"/>
  </conditionalFormatting>
  <conditionalFormatting sqref="E98:E99">
    <cfRule type="cellIs" dxfId="237" priority="313" operator="equal">
      <formula>$E$6</formula>
    </cfRule>
    <cfRule type="cellIs" dxfId="236" priority="314" operator="equal">
      <formula>$E$7</formula>
    </cfRule>
    <cfRule type="duplicateValues" dxfId="235" priority="316"/>
  </conditionalFormatting>
  <conditionalFormatting sqref="E101:E102">
    <cfRule type="cellIs" dxfId="234" priority="309" operator="equal">
      <formula>$E$6</formula>
    </cfRule>
    <cfRule type="cellIs" dxfId="233" priority="310" operator="equal">
      <formula>$E$7</formula>
    </cfRule>
    <cfRule type="duplicateValues" dxfId="232" priority="312"/>
  </conditionalFormatting>
  <conditionalFormatting sqref="E104:E105">
    <cfRule type="cellIs" dxfId="231" priority="305" operator="equal">
      <formula>$E$6</formula>
    </cfRule>
    <cfRule type="cellIs" dxfId="230" priority="306" operator="equal">
      <formula>$E$7</formula>
    </cfRule>
    <cfRule type="duplicateValues" dxfId="229" priority="308"/>
  </conditionalFormatting>
  <conditionalFormatting sqref="E107:E108">
    <cfRule type="cellIs" dxfId="228" priority="301" operator="equal">
      <formula>$E$6</formula>
    </cfRule>
    <cfRule type="cellIs" dxfId="227" priority="302" operator="equal">
      <formula>$E$7</formula>
    </cfRule>
    <cfRule type="duplicateValues" dxfId="226" priority="304"/>
  </conditionalFormatting>
  <conditionalFormatting sqref="E110:E111">
    <cfRule type="cellIs" dxfId="225" priority="297" operator="equal">
      <formula>$E$6</formula>
    </cfRule>
    <cfRule type="cellIs" dxfId="224" priority="298" operator="equal">
      <formula>$E$7</formula>
    </cfRule>
    <cfRule type="duplicateValues" dxfId="223" priority="300"/>
  </conditionalFormatting>
  <conditionalFormatting sqref="E113:E114">
    <cfRule type="cellIs" dxfId="222" priority="293" operator="equal">
      <formula>$E$6</formula>
    </cfRule>
    <cfRule type="cellIs" dxfId="221" priority="294" operator="equal">
      <formula>$E$7</formula>
    </cfRule>
    <cfRule type="duplicateValues" dxfId="220" priority="296"/>
  </conditionalFormatting>
  <conditionalFormatting sqref="E116:E117">
    <cfRule type="cellIs" dxfId="219" priority="285" operator="equal">
      <formula>$E$6</formula>
    </cfRule>
    <cfRule type="cellIs" dxfId="218" priority="286" operator="equal">
      <formula>$E$7</formula>
    </cfRule>
    <cfRule type="duplicateValues" dxfId="217" priority="288"/>
  </conditionalFormatting>
  <conditionalFormatting sqref="E119:E120">
    <cfRule type="cellIs" dxfId="216" priority="281" operator="equal">
      <formula>$E$6</formula>
    </cfRule>
    <cfRule type="cellIs" dxfId="215" priority="282" operator="equal">
      <formula>$E$7</formula>
    </cfRule>
    <cfRule type="duplicateValues" dxfId="214" priority="284"/>
  </conditionalFormatting>
  <conditionalFormatting sqref="E122:E123">
    <cfRule type="cellIs" dxfId="213" priority="277" operator="equal">
      <formula>$E$6</formula>
    </cfRule>
    <cfRule type="cellIs" dxfId="212" priority="278" operator="equal">
      <formula>$E$7</formula>
    </cfRule>
    <cfRule type="duplicateValues" dxfId="211" priority="280"/>
  </conditionalFormatting>
  <conditionalFormatting sqref="E125:E126">
    <cfRule type="duplicateValues" dxfId="210" priority="276"/>
  </conditionalFormatting>
  <conditionalFormatting sqref="E125:E127">
    <cfRule type="cellIs" dxfId="209" priority="269" operator="equal">
      <formula>$E$6</formula>
    </cfRule>
    <cfRule type="cellIs" dxfId="208" priority="270" operator="equal">
      <formula>$E$7</formula>
    </cfRule>
  </conditionalFormatting>
  <conditionalFormatting sqref="E127">
    <cfRule type="duplicateValues" dxfId="207" priority="272"/>
  </conditionalFormatting>
  <conditionalFormatting sqref="E129:E130">
    <cfRule type="cellIs" dxfId="206" priority="261" operator="equal">
      <formula>$E$6</formula>
    </cfRule>
    <cfRule type="cellIs" dxfId="205" priority="262" operator="equal">
      <formula>$E$7</formula>
    </cfRule>
    <cfRule type="duplicateValues" dxfId="204" priority="264"/>
  </conditionalFormatting>
  <conditionalFormatting sqref="E132:E133">
    <cfRule type="cellIs" dxfId="203" priority="257" operator="equal">
      <formula>$E$6</formula>
    </cfRule>
    <cfRule type="cellIs" dxfId="202" priority="258" operator="equal">
      <formula>$E$7</formula>
    </cfRule>
    <cfRule type="duplicateValues" dxfId="201" priority="260"/>
  </conditionalFormatting>
  <conditionalFormatting sqref="E135:E136">
    <cfRule type="cellIs" dxfId="200" priority="253" operator="equal">
      <formula>$E$6</formula>
    </cfRule>
    <cfRule type="cellIs" dxfId="199" priority="254" operator="equal">
      <formula>$E$7</formula>
    </cfRule>
    <cfRule type="duplicateValues" dxfId="198" priority="256"/>
  </conditionalFormatting>
  <conditionalFormatting sqref="E138:E139">
    <cfRule type="cellIs" dxfId="197" priority="456" operator="equal">
      <formula>$E$138</formula>
    </cfRule>
    <cfRule type="cellIs" dxfId="196" priority="457" operator="equal">
      <formula>$E$12</formula>
    </cfRule>
    <cfRule type="cellIs" dxfId="195" priority="458" operator="equal">
      <formula>$E$7</formula>
    </cfRule>
  </conditionalFormatting>
  <conditionalFormatting sqref="E141:E142">
    <cfRule type="cellIs" dxfId="194" priority="453" operator="equal">
      <formula>$E$138</formula>
    </cfRule>
    <cfRule type="cellIs" dxfId="193" priority="454" operator="equal">
      <formula>$E$12</formula>
    </cfRule>
    <cfRule type="cellIs" dxfId="192" priority="455" operator="equal">
      <formula>$E$7</formula>
    </cfRule>
  </conditionalFormatting>
  <conditionalFormatting sqref="E143">
    <cfRule type="duplicateValues" dxfId="191" priority="452"/>
  </conditionalFormatting>
  <conditionalFormatting sqref="E143:E144">
    <cfRule type="cellIs" dxfId="190" priority="445" operator="equal">
      <formula>$E$6</formula>
    </cfRule>
    <cfRule type="cellIs" dxfId="189" priority="446" operator="equal">
      <formula>$E$7</formula>
    </cfRule>
  </conditionalFormatting>
  <conditionalFormatting sqref="E144">
    <cfRule type="duplicateValues" dxfId="188" priority="448"/>
  </conditionalFormatting>
  <conditionalFormatting sqref="E146:E147">
    <cfRule type="cellIs" dxfId="187" priority="435" operator="equal">
      <formula>$E$138</formula>
    </cfRule>
    <cfRule type="cellIs" dxfId="186" priority="436" operator="equal">
      <formula>$E$12</formula>
    </cfRule>
    <cfRule type="cellIs" dxfId="185" priority="437" operator="equal">
      <formula>$E$7</formula>
    </cfRule>
  </conditionalFormatting>
  <conditionalFormatting sqref="E149:E150">
    <cfRule type="cellIs" dxfId="184" priority="429" operator="equal">
      <formula>$E$138</formula>
    </cfRule>
    <cfRule type="cellIs" dxfId="183" priority="430" operator="equal">
      <formula>$E$12</formula>
    </cfRule>
    <cfRule type="cellIs" dxfId="182" priority="431" operator="equal">
      <formula>$E$7</formula>
    </cfRule>
  </conditionalFormatting>
  <conditionalFormatting sqref="E152:E153">
    <cfRule type="cellIs" dxfId="181" priority="423" operator="equal">
      <formula>$E$138</formula>
    </cfRule>
    <cfRule type="cellIs" dxfId="180" priority="424" operator="equal">
      <formula>$E$12</formula>
    </cfRule>
    <cfRule type="cellIs" dxfId="179" priority="425" operator="equal">
      <formula>$E$7</formula>
    </cfRule>
  </conditionalFormatting>
  <conditionalFormatting sqref="E155:E156">
    <cfRule type="cellIs" dxfId="178" priority="417" operator="equal">
      <formula>$E$138</formula>
    </cfRule>
    <cfRule type="cellIs" dxfId="177" priority="418" operator="equal">
      <formula>$E$12</formula>
    </cfRule>
    <cfRule type="cellIs" dxfId="176" priority="419" operator="equal">
      <formula>$E$7</formula>
    </cfRule>
  </conditionalFormatting>
  <conditionalFormatting sqref="E157">
    <cfRule type="cellIs" dxfId="175" priority="413" operator="equal">
      <formula>$E$6</formula>
    </cfRule>
    <cfRule type="cellIs" dxfId="174" priority="414" operator="equal">
      <formula>$E$7</formula>
    </cfRule>
    <cfRule type="duplicateValues" dxfId="173" priority="416"/>
  </conditionalFormatting>
  <conditionalFormatting sqref="E159:E160">
    <cfRule type="cellIs" dxfId="172" priority="247" operator="equal">
      <formula>$E$138</formula>
    </cfRule>
    <cfRule type="cellIs" dxfId="171" priority="248" operator="equal">
      <formula>$E$12</formula>
    </cfRule>
    <cfRule type="cellIs" dxfId="170" priority="249" operator="equal">
      <formula>$E$7</formula>
    </cfRule>
  </conditionalFormatting>
  <conditionalFormatting sqref="E162:E163">
    <cfRule type="cellIs" dxfId="169" priority="241" operator="equal">
      <formula>$E$138</formula>
    </cfRule>
    <cfRule type="cellIs" dxfId="168" priority="242" operator="equal">
      <formula>$E$12</formula>
    </cfRule>
    <cfRule type="cellIs" dxfId="167" priority="243" operator="equal">
      <formula>$E$7</formula>
    </cfRule>
  </conditionalFormatting>
  <conditionalFormatting sqref="E165:E166">
    <cfRule type="cellIs" dxfId="166" priority="235" operator="equal">
      <formula>$E$138</formula>
    </cfRule>
    <cfRule type="cellIs" dxfId="165" priority="236" operator="equal">
      <formula>$E$12</formula>
    </cfRule>
    <cfRule type="cellIs" dxfId="164" priority="237" operator="equal">
      <formula>$E$7</formula>
    </cfRule>
  </conditionalFormatting>
  <conditionalFormatting sqref="E168:E169">
    <cfRule type="cellIs" dxfId="163" priority="229" operator="equal">
      <formula>$E$138</formula>
    </cfRule>
    <cfRule type="cellIs" dxfId="162" priority="230" operator="equal">
      <formula>$E$12</formula>
    </cfRule>
    <cfRule type="cellIs" dxfId="161" priority="231" operator="equal">
      <formula>$E$7</formula>
    </cfRule>
  </conditionalFormatting>
  <conditionalFormatting sqref="E171:E172">
    <cfRule type="cellIs" dxfId="160" priority="223" operator="equal">
      <formula>$E$138</formula>
    </cfRule>
    <cfRule type="cellIs" dxfId="159" priority="224" operator="equal">
      <formula>$E$12</formula>
    </cfRule>
    <cfRule type="cellIs" dxfId="158" priority="225" operator="equal">
      <formula>$E$7</formula>
    </cfRule>
  </conditionalFormatting>
  <conditionalFormatting sqref="E174:E175">
    <cfRule type="cellIs" dxfId="157" priority="217" operator="equal">
      <formula>$E$138</formula>
    </cfRule>
    <cfRule type="cellIs" dxfId="156" priority="218" operator="equal">
      <formula>$E$12</formula>
    </cfRule>
    <cfRule type="cellIs" dxfId="155" priority="219" operator="equal">
      <formula>$E$7</formula>
    </cfRule>
  </conditionalFormatting>
  <conditionalFormatting sqref="E177:E178">
    <cfRule type="cellIs" dxfId="154" priority="211" operator="equal">
      <formula>$E$138</formula>
    </cfRule>
    <cfRule type="cellIs" dxfId="153" priority="212" operator="equal">
      <formula>$E$12</formula>
    </cfRule>
    <cfRule type="cellIs" dxfId="152" priority="213" operator="equal">
      <formula>$E$7</formula>
    </cfRule>
  </conditionalFormatting>
  <conditionalFormatting sqref="E180:E181">
    <cfRule type="cellIs" dxfId="151" priority="205" operator="equal">
      <formula>$E$138</formula>
    </cfRule>
    <cfRule type="cellIs" dxfId="150" priority="206" operator="equal">
      <formula>$E$12</formula>
    </cfRule>
    <cfRule type="cellIs" dxfId="149" priority="207" operator="equal">
      <formula>$E$7</formula>
    </cfRule>
  </conditionalFormatting>
  <conditionalFormatting sqref="E183:E184">
    <cfRule type="cellIs" dxfId="148" priority="199" operator="equal">
      <formula>$E$138</formula>
    </cfRule>
    <cfRule type="cellIs" dxfId="147" priority="200" operator="equal">
      <formula>$E$12</formula>
    </cfRule>
    <cfRule type="cellIs" dxfId="146" priority="201" operator="equal">
      <formula>$E$7</formula>
    </cfRule>
  </conditionalFormatting>
  <conditionalFormatting sqref="E186:E187">
    <cfRule type="cellIs" dxfId="145" priority="193" operator="equal">
      <formula>$E$138</formula>
    </cfRule>
    <cfRule type="cellIs" dxfId="144" priority="194" operator="equal">
      <formula>$E$12</formula>
    </cfRule>
    <cfRule type="cellIs" dxfId="143" priority="195" operator="equal">
      <formula>$E$7</formula>
    </cfRule>
  </conditionalFormatting>
  <conditionalFormatting sqref="E189:E191">
    <cfRule type="cellIs" dxfId="142" priority="187" operator="equal">
      <formula>$E$138</formula>
    </cfRule>
    <cfRule type="cellIs" dxfId="141" priority="188" operator="equal">
      <formula>$E$12</formula>
    </cfRule>
    <cfRule type="cellIs" dxfId="140" priority="189" operator="equal">
      <formula>$E$7</formula>
    </cfRule>
  </conditionalFormatting>
  <conditionalFormatting sqref="E193:E194">
    <cfRule type="cellIs" dxfId="139" priority="181" operator="equal">
      <formula>$E$138</formula>
    </cfRule>
    <cfRule type="cellIs" dxfId="138" priority="182" operator="equal">
      <formula>$E$12</formula>
    </cfRule>
    <cfRule type="cellIs" dxfId="137" priority="183" operator="equal">
      <formula>$E$7</formula>
    </cfRule>
  </conditionalFormatting>
  <conditionalFormatting sqref="E196:E198">
    <cfRule type="cellIs" dxfId="136" priority="175" operator="equal">
      <formula>$E$138</formula>
    </cfRule>
    <cfRule type="cellIs" dxfId="135" priority="176" operator="equal">
      <formula>$E$12</formula>
    </cfRule>
    <cfRule type="cellIs" dxfId="134" priority="177" operator="equal">
      <formula>$E$7</formula>
    </cfRule>
  </conditionalFormatting>
  <conditionalFormatting sqref="E200:E201">
    <cfRule type="cellIs" dxfId="133" priority="169" operator="equal">
      <formula>$E$138</formula>
    </cfRule>
    <cfRule type="cellIs" dxfId="132" priority="170" operator="equal">
      <formula>$E$12</formula>
    </cfRule>
    <cfRule type="cellIs" dxfId="131" priority="171" operator="equal">
      <formula>$E$7</formula>
    </cfRule>
  </conditionalFormatting>
  <conditionalFormatting sqref="E203:E204">
    <cfRule type="cellIs" dxfId="130" priority="163" operator="equal">
      <formula>$E$138</formula>
    </cfRule>
    <cfRule type="cellIs" dxfId="129" priority="164" operator="equal">
      <formula>$E$12</formula>
    </cfRule>
    <cfRule type="cellIs" dxfId="128" priority="165" operator="equal">
      <formula>$E$7</formula>
    </cfRule>
  </conditionalFormatting>
  <conditionalFormatting sqref="E206:E207">
    <cfRule type="cellIs" dxfId="127" priority="157" operator="equal">
      <formula>$E$138</formula>
    </cfRule>
    <cfRule type="cellIs" dxfId="126" priority="158" operator="equal">
      <formula>$E$12</formula>
    </cfRule>
    <cfRule type="cellIs" dxfId="125" priority="159" operator="equal">
      <formula>$E$7</formula>
    </cfRule>
  </conditionalFormatting>
  <conditionalFormatting sqref="E209:E210">
    <cfRule type="cellIs" dxfId="124" priority="151" operator="equal">
      <formula>$E$138</formula>
    </cfRule>
    <cfRule type="cellIs" dxfId="123" priority="152" operator="equal">
      <formula>$E$12</formula>
    </cfRule>
    <cfRule type="cellIs" dxfId="122" priority="153" operator="equal">
      <formula>$E$7</formula>
    </cfRule>
  </conditionalFormatting>
  <conditionalFormatting sqref="E212:E213">
    <cfRule type="cellIs" dxfId="121" priority="145" operator="equal">
      <formula>$E$138</formula>
    </cfRule>
    <cfRule type="cellIs" dxfId="120" priority="146" operator="equal">
      <formula>$E$12</formula>
    </cfRule>
    <cfRule type="cellIs" dxfId="119" priority="147" operator="equal">
      <formula>$E$7</formula>
    </cfRule>
  </conditionalFormatting>
  <conditionalFormatting sqref="E215:E216">
    <cfRule type="cellIs" dxfId="118" priority="139" operator="equal">
      <formula>$E$138</formula>
    </cfRule>
    <cfRule type="cellIs" dxfId="117" priority="140" operator="equal">
      <formula>$E$12</formula>
    </cfRule>
    <cfRule type="cellIs" dxfId="116" priority="141" operator="equal">
      <formula>$E$7</formula>
    </cfRule>
  </conditionalFormatting>
  <conditionalFormatting sqref="E218:E219">
    <cfRule type="cellIs" dxfId="115" priority="133" operator="equal">
      <formula>$E$138</formula>
    </cfRule>
    <cfRule type="cellIs" dxfId="114" priority="134" operator="equal">
      <formula>$E$12</formula>
    </cfRule>
    <cfRule type="cellIs" dxfId="113" priority="135" operator="equal">
      <formula>$E$7</formula>
    </cfRule>
  </conditionalFormatting>
  <conditionalFormatting sqref="E221:E222">
    <cfRule type="cellIs" dxfId="112" priority="127" operator="equal">
      <formula>$E$138</formula>
    </cfRule>
    <cfRule type="cellIs" dxfId="111" priority="128" operator="equal">
      <formula>$E$12</formula>
    </cfRule>
    <cfRule type="cellIs" dxfId="110" priority="129" operator="equal">
      <formula>$E$7</formula>
    </cfRule>
  </conditionalFormatting>
  <conditionalFormatting sqref="E224:E225">
    <cfRule type="cellIs" dxfId="109" priority="121" operator="equal">
      <formula>$E$138</formula>
    </cfRule>
    <cfRule type="cellIs" dxfId="108" priority="122" operator="equal">
      <formula>$E$12</formula>
    </cfRule>
    <cfRule type="cellIs" dxfId="107" priority="123" operator="equal">
      <formula>$E$7</formula>
    </cfRule>
  </conditionalFormatting>
  <conditionalFormatting sqref="E227:E228">
    <cfRule type="cellIs" dxfId="106" priority="115" operator="equal">
      <formula>$E$138</formula>
    </cfRule>
    <cfRule type="cellIs" dxfId="105" priority="116" operator="equal">
      <formula>$E$12</formula>
    </cfRule>
    <cfRule type="cellIs" dxfId="104" priority="117" operator="equal">
      <formula>$E$7</formula>
    </cfRule>
  </conditionalFormatting>
  <conditionalFormatting sqref="E230:E231">
    <cfRule type="cellIs" dxfId="103" priority="109" operator="equal">
      <formula>$E$138</formula>
    </cfRule>
    <cfRule type="cellIs" dxfId="102" priority="110" operator="equal">
      <formula>$E$12</formula>
    </cfRule>
    <cfRule type="cellIs" dxfId="101" priority="111" operator="equal">
      <formula>$E$7</formula>
    </cfRule>
  </conditionalFormatting>
  <conditionalFormatting sqref="E233:E234">
    <cfRule type="cellIs" dxfId="100" priority="103" operator="equal">
      <formula>$E$138</formula>
    </cfRule>
    <cfRule type="cellIs" dxfId="99" priority="104" operator="equal">
      <formula>$E$12</formula>
    </cfRule>
    <cfRule type="cellIs" dxfId="98" priority="105" operator="equal">
      <formula>$E$7</formula>
    </cfRule>
  </conditionalFormatting>
  <conditionalFormatting sqref="E236:E237">
    <cfRule type="cellIs" dxfId="97" priority="97" operator="equal">
      <formula>$E$138</formula>
    </cfRule>
    <cfRule type="cellIs" dxfId="96" priority="98" operator="equal">
      <formula>$E$12</formula>
    </cfRule>
    <cfRule type="cellIs" dxfId="95" priority="99" operator="equal">
      <formula>$E$7</formula>
    </cfRule>
  </conditionalFormatting>
  <conditionalFormatting sqref="E239:E240">
    <cfRule type="cellIs" dxfId="94" priority="91" operator="equal">
      <formula>$E$138</formula>
    </cfRule>
    <cfRule type="cellIs" dxfId="93" priority="92" operator="equal">
      <formula>$E$12</formula>
    </cfRule>
    <cfRule type="cellIs" dxfId="92" priority="93" operator="equal">
      <formula>$E$7</formula>
    </cfRule>
  </conditionalFormatting>
  <conditionalFormatting sqref="E242:E243">
    <cfRule type="cellIs" dxfId="91" priority="85" operator="equal">
      <formula>$E$138</formula>
    </cfRule>
    <cfRule type="cellIs" dxfId="90" priority="86" operator="equal">
      <formula>$E$12</formula>
    </cfRule>
    <cfRule type="cellIs" dxfId="89" priority="87" operator="equal">
      <formula>$E$7</formula>
    </cfRule>
  </conditionalFormatting>
  <conditionalFormatting sqref="E245:E246">
    <cfRule type="cellIs" dxfId="88" priority="79" operator="equal">
      <formula>$E$138</formula>
    </cfRule>
    <cfRule type="cellIs" dxfId="87" priority="80" operator="equal">
      <formula>$E$12</formula>
    </cfRule>
    <cfRule type="cellIs" dxfId="86" priority="81" operator="equal">
      <formula>$E$7</formula>
    </cfRule>
  </conditionalFormatting>
  <conditionalFormatting sqref="E248:E249">
    <cfRule type="cellIs" dxfId="85" priority="73" operator="equal">
      <formula>$E$138</formula>
    </cfRule>
    <cfRule type="cellIs" dxfId="84" priority="74" operator="equal">
      <formula>$E$12</formula>
    </cfRule>
    <cfRule type="cellIs" dxfId="83" priority="75" operator="equal">
      <formula>$E$7</formula>
    </cfRule>
  </conditionalFormatting>
  <conditionalFormatting sqref="E251:E252">
    <cfRule type="cellIs" dxfId="82" priority="67" operator="equal">
      <formula>$E$138</formula>
    </cfRule>
    <cfRule type="cellIs" dxfId="81" priority="68" operator="equal">
      <formula>$E$12</formula>
    </cfRule>
    <cfRule type="cellIs" dxfId="80" priority="69" operator="equal">
      <formula>$E$7</formula>
    </cfRule>
  </conditionalFormatting>
  <conditionalFormatting sqref="E254:E255">
    <cfRule type="cellIs" dxfId="79" priority="61" operator="equal">
      <formula>$E$138</formula>
    </cfRule>
    <cfRule type="cellIs" dxfId="78" priority="62" operator="equal">
      <formula>$E$12</formula>
    </cfRule>
    <cfRule type="cellIs" dxfId="77" priority="63" operator="equal">
      <formula>$E$7</formula>
    </cfRule>
  </conditionalFormatting>
  <conditionalFormatting sqref="E257:E258">
    <cfRule type="cellIs" dxfId="76" priority="55" operator="equal">
      <formula>$E$138</formula>
    </cfRule>
    <cfRule type="cellIs" dxfId="75" priority="56" operator="equal">
      <formula>$E$12</formula>
    </cfRule>
    <cfRule type="cellIs" dxfId="74" priority="57" operator="equal">
      <formula>$E$7</formula>
    </cfRule>
  </conditionalFormatting>
  <conditionalFormatting sqref="E260:E262">
    <cfRule type="cellIs" dxfId="73" priority="46" operator="equal">
      <formula>$E$138</formula>
    </cfRule>
    <cfRule type="cellIs" dxfId="72" priority="47" operator="equal">
      <formula>$E$12</formula>
    </cfRule>
    <cfRule type="cellIs" dxfId="71" priority="48" operator="equal">
      <formula>$E$7</formula>
    </cfRule>
  </conditionalFormatting>
  <conditionalFormatting sqref="E264:E267">
    <cfRule type="cellIs" dxfId="70" priority="37" operator="equal">
      <formula>$E$138</formula>
    </cfRule>
    <cfRule type="cellIs" dxfId="69" priority="38" operator="equal">
      <formula>$E$12</formula>
    </cfRule>
    <cfRule type="cellIs" dxfId="68" priority="39" operator="equal">
      <formula>$E$7</formula>
    </cfRule>
  </conditionalFormatting>
  <conditionalFormatting sqref="E269:E270">
    <cfRule type="cellIs" dxfId="67" priority="31" operator="equal">
      <formula>$E$138</formula>
    </cfRule>
    <cfRule type="cellIs" dxfId="66" priority="32" operator="equal">
      <formula>$E$12</formula>
    </cfRule>
    <cfRule type="cellIs" dxfId="65" priority="33" operator="equal">
      <formula>$E$7</formula>
    </cfRule>
  </conditionalFormatting>
  <conditionalFormatting sqref="E272:E273">
    <cfRule type="cellIs" dxfId="64" priority="25" operator="equal">
      <formula>$E$138</formula>
    </cfRule>
    <cfRule type="cellIs" dxfId="63" priority="26" operator="equal">
      <formula>$E$12</formula>
    </cfRule>
    <cfRule type="cellIs" dxfId="62" priority="27" operator="equal">
      <formula>$E$7</formula>
    </cfRule>
  </conditionalFormatting>
  <conditionalFormatting sqref="E275:E276">
    <cfRule type="cellIs" dxfId="61" priority="19" operator="equal">
      <formula>$E$138</formula>
    </cfRule>
    <cfRule type="cellIs" dxfId="60" priority="20" operator="equal">
      <formula>$E$12</formula>
    </cfRule>
    <cfRule type="cellIs" dxfId="59" priority="21" operator="equal">
      <formula>$E$7</formula>
    </cfRule>
  </conditionalFormatting>
  <conditionalFormatting sqref="E278:E279">
    <cfRule type="cellIs" dxfId="58" priority="16" operator="equal">
      <formula>$E$138</formula>
    </cfRule>
    <cfRule type="cellIs" dxfId="57" priority="17" operator="equal">
      <formula>$E$12</formula>
    </cfRule>
    <cfRule type="cellIs" dxfId="56" priority="18" operator="equal">
      <formula>$E$7</formula>
    </cfRule>
  </conditionalFormatting>
  <conditionalFormatting sqref="E281:E282">
    <cfRule type="cellIs" dxfId="55" priority="10" operator="equal">
      <formula>$E$138</formula>
    </cfRule>
    <cfRule type="cellIs" dxfId="54" priority="11" operator="equal">
      <formula>$E$12</formula>
    </cfRule>
    <cfRule type="cellIs" dxfId="53" priority="12" operator="equal">
      <formula>$E$7</formula>
    </cfRule>
  </conditionalFormatting>
  <conditionalFormatting sqref="E284:E285">
    <cfRule type="cellIs" dxfId="52" priority="7" operator="equal">
      <formula>$E$138</formula>
    </cfRule>
    <cfRule type="cellIs" dxfId="51" priority="8" operator="equal">
      <formula>$E$12</formula>
    </cfRule>
    <cfRule type="cellIs" dxfId="50" priority="9" operator="equal">
      <formula>$E$7</formula>
    </cfRule>
  </conditionalFormatting>
  <conditionalFormatting sqref="E287:E288">
    <cfRule type="cellIs" dxfId="49" priority="1" operator="equal">
      <formula>$E$138</formula>
    </cfRule>
    <cfRule type="cellIs" dxfId="48" priority="2" operator="equal">
      <formula>$E$12</formula>
    </cfRule>
    <cfRule type="cellIs" dxfId="47" priority="3" operator="equal">
      <formula>$E$7</formula>
    </cfRule>
  </conditionalFormatting>
  <conditionalFormatting sqref="F1:F4">
    <cfRule type="cellIs" dxfId="46" priority="488" stopIfTrue="1" operator="lessThan">
      <formula>0</formula>
    </cfRule>
    <cfRule type="cellIs" dxfId="45" priority="489" stopIfTrue="1" operator="greaterThan">
      <formula>0</formula>
    </cfRule>
  </conditionalFormatting>
  <conditionalFormatting sqref="N1:N3 O4">
    <cfRule type="cellIs" dxfId="44" priority="487" stopIfTrue="1" operator="greaterThan">
      <formula>0.5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BE258-0C45-44F1-A870-8C1998B4F32D}">
  <dimension ref="A1:AC478"/>
  <sheetViews>
    <sheetView zoomScale="70" zoomScaleNormal="70" workbookViewId="0">
      <pane ySplit="11" topLeftCell="A12" activePane="bottomLeft" state="frozen"/>
      <selection pane="bottomLeft" activeCell="I466" sqref="I466:I478 I448:I460 I430:I442 I412:I424 I394:I406 I376:I388 I358:I370 I340:I352 I322:I334 I304:I316 I286:I298 I268:I280 I250:I262 I232:I244 I214:I226 I196:I208 I178:I190 I160:I172 I142:I154 I124:I136 I106:I118 I88:I100 I70:I82 I52:I64 I16:I28 I34:I46"/>
    </sheetView>
  </sheetViews>
  <sheetFormatPr defaultRowHeight="12.75" x14ac:dyDescent="0.2"/>
  <cols>
    <col min="1" max="1" width="23" style="218" bestFit="1" customWidth="1"/>
    <col min="3" max="3" width="39" bestFit="1" customWidth="1"/>
    <col min="4" max="4" width="28.85546875" customWidth="1"/>
    <col min="5" max="5" width="29" bestFit="1" customWidth="1"/>
    <col min="7" max="7" width="10" style="116" bestFit="1" customWidth="1"/>
    <col min="8" max="8" width="12.140625" style="116" bestFit="1" customWidth="1"/>
    <col min="18" max="18" width="11.42578125" bestFit="1" customWidth="1"/>
    <col min="19" max="19" width="17.28515625" bestFit="1" customWidth="1"/>
    <col min="20" max="20" width="18.42578125" bestFit="1" customWidth="1"/>
    <col min="21" max="21" width="13.42578125" bestFit="1" customWidth="1"/>
    <col min="22" max="22" width="6" customWidth="1"/>
    <col min="23" max="23" width="11.7109375" bestFit="1" customWidth="1"/>
    <col min="25" max="25" width="12.28515625" bestFit="1" customWidth="1"/>
    <col min="26" max="27" width="16" bestFit="1" customWidth="1"/>
  </cols>
  <sheetData>
    <row r="1" spans="1:29" s="31" customFormat="1" x14ac:dyDescent="0.2">
      <c r="A1" s="111" t="s">
        <v>32</v>
      </c>
      <c r="G1" s="145"/>
      <c r="H1" s="145"/>
      <c r="I1" s="32"/>
      <c r="M1" s="32"/>
      <c r="N1" s="32"/>
      <c r="O1" s="32"/>
      <c r="P1" s="32"/>
      <c r="Q1" s="32"/>
      <c r="T1" s="33"/>
      <c r="V1" s="33"/>
    </row>
    <row r="2" spans="1:29" s="34" customFormat="1" x14ac:dyDescent="0.2">
      <c r="A2" s="112"/>
      <c r="C2" s="86" t="s">
        <v>33</v>
      </c>
      <c r="D2" s="86">
        <v>0.44703999999999999</v>
      </c>
      <c r="E2" s="215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7"/>
      <c r="V2" s="35"/>
    </row>
    <row r="3" spans="1:29" s="34" customFormat="1" x14ac:dyDescent="0.2">
      <c r="A3" s="112"/>
      <c r="C3" s="86" t="s">
        <v>34</v>
      </c>
      <c r="D3" s="36">
        <v>0</v>
      </c>
      <c r="E3" s="34" t="s">
        <v>35</v>
      </c>
      <c r="F3" s="86"/>
      <c r="G3" s="146"/>
      <c r="H3" s="155"/>
      <c r="I3" s="38"/>
      <c r="J3" s="86"/>
      <c r="K3" s="86"/>
      <c r="L3" s="86"/>
      <c r="M3" s="37"/>
      <c r="N3" s="37"/>
      <c r="O3" s="37"/>
      <c r="P3" s="37"/>
      <c r="Q3" s="37"/>
      <c r="R3" s="86"/>
      <c r="S3" s="86"/>
      <c r="T3" s="39"/>
      <c r="U3" s="86"/>
      <c r="V3" s="35"/>
    </row>
    <row r="4" spans="1:29" s="34" customFormat="1" x14ac:dyDescent="0.2">
      <c r="A4" s="112"/>
      <c r="C4" s="86" t="s">
        <v>36</v>
      </c>
      <c r="D4" s="36">
        <v>0</v>
      </c>
      <c r="E4" s="86" t="s">
        <v>26</v>
      </c>
      <c r="F4" s="86"/>
      <c r="G4" s="146"/>
      <c r="H4" s="155"/>
      <c r="I4" s="38"/>
      <c r="J4" s="86"/>
      <c r="K4" s="86"/>
      <c r="L4" s="86"/>
      <c r="M4" s="37"/>
      <c r="N4" s="37"/>
      <c r="O4" s="37"/>
      <c r="P4" s="37"/>
      <c r="Q4" s="37"/>
      <c r="R4" s="86"/>
      <c r="S4" s="86"/>
      <c r="T4" s="39"/>
      <c r="U4" s="86"/>
      <c r="V4" s="35"/>
    </row>
    <row r="5" spans="1:29" s="34" customFormat="1" x14ac:dyDescent="0.2">
      <c r="A5" s="112"/>
      <c r="C5" s="34" t="s">
        <v>37</v>
      </c>
      <c r="D5" s="36">
        <v>1</v>
      </c>
      <c r="E5" s="40" t="s">
        <v>38</v>
      </c>
      <c r="F5" s="40">
        <v>0.27777800000000002</v>
      </c>
      <c r="G5" s="146"/>
      <c r="H5" s="155"/>
      <c r="I5" s="38"/>
      <c r="J5" s="86"/>
      <c r="K5" s="86"/>
      <c r="L5" s="86"/>
      <c r="M5" s="37"/>
      <c r="N5" s="37"/>
      <c r="O5" s="37"/>
      <c r="P5" s="37"/>
      <c r="Q5" s="37"/>
      <c r="R5" s="86"/>
      <c r="S5" s="86"/>
      <c r="T5" s="39"/>
      <c r="U5" s="86"/>
      <c r="V5" s="35"/>
    </row>
    <row r="6" spans="1:29" s="34" customFormat="1" x14ac:dyDescent="0.2">
      <c r="A6" s="112"/>
      <c r="F6" s="86"/>
      <c r="G6" s="146"/>
      <c r="H6" s="155"/>
      <c r="I6" s="38"/>
      <c r="J6" s="86"/>
      <c r="K6" s="86"/>
      <c r="L6" s="86"/>
      <c r="M6" s="37"/>
      <c r="N6" s="37"/>
      <c r="O6" s="37"/>
      <c r="P6" s="37"/>
      <c r="Q6" s="37"/>
      <c r="R6" s="86"/>
      <c r="S6" s="86"/>
      <c r="T6" s="39"/>
      <c r="U6" s="86"/>
      <c r="V6" s="35"/>
    </row>
    <row r="7" spans="1:29" s="31" customFormat="1" x14ac:dyDescent="0.2">
      <c r="A7" s="111" t="s">
        <v>39</v>
      </c>
      <c r="G7" s="145"/>
      <c r="H7" s="145"/>
      <c r="I7" s="32"/>
      <c r="M7" s="32"/>
      <c r="N7" s="32"/>
      <c r="O7" s="32"/>
      <c r="P7" s="32"/>
      <c r="Q7" s="32"/>
      <c r="T7" s="33"/>
      <c r="V7" s="33"/>
    </row>
    <row r="8" spans="1:29" s="14" customFormat="1" x14ac:dyDescent="0.2">
      <c r="A8" s="223" t="s">
        <v>1</v>
      </c>
      <c r="B8" s="7" t="s">
        <v>18</v>
      </c>
      <c r="C8" s="7" t="s">
        <v>2</v>
      </c>
      <c r="D8" s="15"/>
      <c r="E8" s="41"/>
      <c r="F8" s="42"/>
      <c r="G8" s="147"/>
      <c r="H8" s="156"/>
      <c r="I8" s="44"/>
      <c r="J8" s="11"/>
      <c r="K8" s="11"/>
      <c r="M8" s="45"/>
      <c r="N8" s="45"/>
      <c r="O8" s="46"/>
      <c r="P8" s="46"/>
      <c r="Q8" s="46"/>
      <c r="S8" s="47"/>
      <c r="T8" s="48"/>
      <c r="V8" s="48"/>
    </row>
    <row r="9" spans="1:29" s="14" customFormat="1" x14ac:dyDescent="0.2">
      <c r="A9" s="225" t="s">
        <v>19</v>
      </c>
      <c r="B9" s="81">
        <v>72403</v>
      </c>
      <c r="C9" s="14" t="s">
        <v>1035</v>
      </c>
      <c r="D9" s="15"/>
      <c r="E9" s="49"/>
      <c r="F9" s="42"/>
      <c r="G9" s="147"/>
      <c r="H9" s="156"/>
      <c r="I9" s="44"/>
      <c r="J9" s="11"/>
      <c r="K9" s="11"/>
      <c r="M9" s="45"/>
      <c r="N9" s="45"/>
      <c r="O9" s="46"/>
      <c r="P9" s="46"/>
      <c r="Q9" s="46"/>
      <c r="S9" s="47"/>
      <c r="T9" s="48"/>
      <c r="V9" s="48"/>
    </row>
    <row r="10" spans="1:29" s="14" customFormat="1" x14ac:dyDescent="0.2">
      <c r="A10" s="225"/>
      <c r="D10" s="15"/>
      <c r="F10" s="50"/>
      <c r="G10" s="147"/>
      <c r="H10" s="156"/>
      <c r="I10" s="44"/>
      <c r="J10" s="11"/>
      <c r="K10" s="11"/>
      <c r="M10" s="45"/>
      <c r="N10" s="45"/>
      <c r="O10" s="46"/>
      <c r="P10" s="46"/>
      <c r="Q10" s="46"/>
      <c r="S10" s="47"/>
      <c r="T10" s="48"/>
      <c r="V10" s="48"/>
    </row>
    <row r="11" spans="1:29" s="58" customFormat="1" x14ac:dyDescent="0.2">
      <c r="A11" s="212" t="s">
        <v>1</v>
      </c>
      <c r="B11" s="51" t="s">
        <v>18</v>
      </c>
      <c r="C11" s="51" t="s">
        <v>2</v>
      </c>
      <c r="D11" s="51" t="s">
        <v>14</v>
      </c>
      <c r="E11" s="51" t="s">
        <v>9</v>
      </c>
      <c r="F11" s="52" t="s">
        <v>40</v>
      </c>
      <c r="G11" s="148" t="s">
        <v>13</v>
      </c>
      <c r="H11" s="157" t="s">
        <v>10</v>
      </c>
      <c r="I11" s="54" t="s">
        <v>7</v>
      </c>
      <c r="J11" s="55" t="s">
        <v>6</v>
      </c>
      <c r="K11" s="51" t="s">
        <v>15</v>
      </c>
      <c r="L11" s="51" t="s">
        <v>20</v>
      </c>
      <c r="M11" s="56" t="s">
        <v>21</v>
      </c>
      <c r="N11" s="56" t="s">
        <v>22</v>
      </c>
      <c r="O11" s="56" t="s">
        <v>29</v>
      </c>
      <c r="P11" s="57" t="s">
        <v>23</v>
      </c>
      <c r="Q11" s="57" t="s">
        <v>24</v>
      </c>
      <c r="R11" s="51" t="s">
        <v>25</v>
      </c>
      <c r="T11" s="59"/>
      <c r="V11" s="59"/>
    </row>
    <row r="12" spans="1:29" s="62" customFormat="1" x14ac:dyDescent="0.2">
      <c r="A12" s="224" t="s">
        <v>129</v>
      </c>
      <c r="B12" s="154">
        <v>72000</v>
      </c>
      <c r="C12" s="139" t="s">
        <v>293</v>
      </c>
      <c r="D12" s="62" t="s">
        <v>69</v>
      </c>
      <c r="G12" s="149"/>
      <c r="H12" s="158"/>
      <c r="I12" s="162"/>
      <c r="M12" s="63"/>
      <c r="N12" s="63"/>
      <c r="O12" s="63"/>
      <c r="P12" s="63"/>
      <c r="Q12" s="63"/>
      <c r="T12" s="64"/>
      <c r="V12" s="64"/>
    </row>
    <row r="13" spans="1:29" s="60" customFormat="1" x14ac:dyDescent="0.2">
      <c r="A13" s="224"/>
      <c r="B13" s="81"/>
      <c r="C13" s="60" t="s">
        <v>294</v>
      </c>
      <c r="D13" s="60" t="s">
        <v>51</v>
      </c>
      <c r="E13" t="s">
        <v>188</v>
      </c>
      <c r="G13" s="150">
        <v>-129.90199999999999</v>
      </c>
      <c r="H13" s="159">
        <f>G13+F13</f>
        <v>-129.90199999999999</v>
      </c>
      <c r="I13" s="90">
        <f>IF("generated"=1, "Path=Intermodal_Coronel_Platform_2_2, Scaled Offset=160.40000000000000568434188608080149", 160.4)</f>
        <v>160.4</v>
      </c>
      <c r="J13" s="65"/>
      <c r="K13" s="60" t="s">
        <v>64</v>
      </c>
      <c r="M13" s="66">
        <v>-2.5</v>
      </c>
      <c r="N13" s="66">
        <v>0</v>
      </c>
      <c r="O13" s="66"/>
      <c r="P13" s="66"/>
      <c r="Q13" s="66"/>
      <c r="R13" s="60" t="str">
        <f>$E$3</f>
        <v>Red</v>
      </c>
      <c r="S13" s="60" t="s">
        <v>68</v>
      </c>
      <c r="T13" s="67" t="str">
        <f>C13</f>
        <v>Gundavali_S1</v>
      </c>
      <c r="U13" s="60" t="s">
        <v>50</v>
      </c>
      <c r="V13" s="67">
        <v>0</v>
      </c>
      <c r="W13" s="60" t="s">
        <v>67</v>
      </c>
      <c r="X13" s="60">
        <v>1</v>
      </c>
      <c r="Y13" s="60" t="s">
        <v>66</v>
      </c>
      <c r="Z13" s="60">
        <v>1</v>
      </c>
      <c r="AA13" s="61" t="s">
        <v>293</v>
      </c>
      <c r="AB13" s="74" t="s">
        <v>292</v>
      </c>
      <c r="AC13" s="60">
        <v>2</v>
      </c>
    </row>
    <row r="14" spans="1:29" s="60" customFormat="1" x14ac:dyDescent="0.2">
      <c r="A14" s="224"/>
      <c r="B14" s="81"/>
      <c r="C14" s="60" t="str">
        <f>AA14&amp;"_"&amp;AC14</f>
        <v>Gundavali_2</v>
      </c>
      <c r="D14" s="60" t="s">
        <v>51</v>
      </c>
      <c r="E14" t="s">
        <v>188</v>
      </c>
      <c r="G14" s="151">
        <f>AVERAGE(H13,H15)</f>
        <v>-37.450999999999993</v>
      </c>
      <c r="H14" s="159">
        <f>F14+G14</f>
        <v>-37.450999999999993</v>
      </c>
      <c r="I14" s="90">
        <f>IF("generated"=1, "Path=East_Central_Line1_5, Scaled Offset=69.5", 69.5)</f>
        <v>69.5</v>
      </c>
      <c r="J14" s="65"/>
      <c r="K14" s="60" t="s">
        <v>64</v>
      </c>
      <c r="M14" s="66">
        <f>M13</f>
        <v>-2.5</v>
      </c>
      <c r="N14" s="66">
        <v>0</v>
      </c>
      <c r="O14" s="66"/>
      <c r="P14" s="66"/>
      <c r="Q14" s="66"/>
      <c r="R14" s="60" t="str">
        <f>$E$4</f>
        <v>Green</v>
      </c>
      <c r="S14" s="60" t="s">
        <v>68</v>
      </c>
      <c r="T14" s="67" t="str">
        <f>C14</f>
        <v>Gundavali_2</v>
      </c>
      <c r="U14" s="60" t="s">
        <v>50</v>
      </c>
      <c r="V14" s="67">
        <v>0</v>
      </c>
      <c r="W14" s="60" t="s">
        <v>67</v>
      </c>
      <c r="X14" s="60">
        <v>1</v>
      </c>
      <c r="Y14" s="60" t="s">
        <v>66</v>
      </c>
      <c r="Z14" s="60">
        <v>1</v>
      </c>
      <c r="AA14" s="60" t="str">
        <f>AA13</f>
        <v>Gundavali</v>
      </c>
      <c r="AB14" s="60" t="str">
        <f>AB13</f>
        <v>GUN</v>
      </c>
      <c r="AC14" s="60">
        <f>AC13</f>
        <v>2</v>
      </c>
    </row>
    <row r="15" spans="1:29" s="60" customFormat="1" x14ac:dyDescent="0.2">
      <c r="A15" s="224"/>
      <c r="B15" s="81"/>
      <c r="C15" s="60" t="s">
        <v>295</v>
      </c>
      <c r="D15" s="60" t="s">
        <v>51</v>
      </c>
      <c r="E15" t="s">
        <v>188</v>
      </c>
      <c r="G15" s="150">
        <v>55</v>
      </c>
      <c r="H15" s="159">
        <f>G15+F15</f>
        <v>55</v>
      </c>
      <c r="I15" s="90">
        <f>IF("generated"=1, "Path=Intermodal_Coronel_Platform_2_2, Scaled Offset=231", 231)</f>
        <v>231</v>
      </c>
      <c r="J15" s="65"/>
      <c r="K15" s="60" t="s">
        <v>64</v>
      </c>
      <c r="M15" s="66">
        <v>-2.5</v>
      </c>
      <c r="N15" s="66">
        <v>0</v>
      </c>
      <c r="O15" s="66"/>
      <c r="P15" s="66"/>
      <c r="Q15" s="66"/>
      <c r="R15" s="60" t="str">
        <f>$E$3</f>
        <v>Red</v>
      </c>
      <c r="S15" s="60" t="s">
        <v>68</v>
      </c>
      <c r="T15" s="67" t="str">
        <f>C15</f>
        <v>Gundavali_E1</v>
      </c>
      <c r="U15" s="60" t="s">
        <v>50</v>
      </c>
      <c r="V15" s="67">
        <v>0</v>
      </c>
      <c r="W15" s="60" t="s">
        <v>67</v>
      </c>
      <c r="X15" s="60">
        <v>1</v>
      </c>
      <c r="Y15" s="60" t="s">
        <v>66</v>
      </c>
      <c r="Z15" s="60">
        <v>1</v>
      </c>
      <c r="AA15" s="61" t="s">
        <v>293</v>
      </c>
      <c r="AB15" s="74" t="s">
        <v>292</v>
      </c>
      <c r="AC15" s="60">
        <v>2</v>
      </c>
    </row>
    <row r="16" spans="1:29" s="70" customFormat="1" x14ac:dyDescent="0.2">
      <c r="A16" s="224" t="s">
        <v>129</v>
      </c>
      <c r="B16" s="154">
        <v>72001</v>
      </c>
      <c r="C16" s="68" t="str">
        <f>C14</f>
        <v>Gundavali_2</v>
      </c>
      <c r="D16" s="69" t="s">
        <v>65</v>
      </c>
      <c r="E16" s="70" t="str">
        <f>E14</f>
        <v>MMRBEM_7_DOWN</v>
      </c>
      <c r="F16" s="70">
        <f>F14</f>
        <v>0</v>
      </c>
      <c r="G16" s="152">
        <f>H14</f>
        <v>-37.450999999999993</v>
      </c>
      <c r="H16" s="159">
        <f t="shared" ref="H16:H22" si="0">F16+G16</f>
        <v>-37.450999999999993</v>
      </c>
      <c r="I16" s="232">
        <f>IF("generated"=1, "Path=MMRBEM_7_DOWN, Scaled Offset=-37.450999999999993406163412146270275", 480.38356667394)</f>
        <v>480.38356667393998</v>
      </c>
      <c r="K16" s="69" t="s">
        <v>64</v>
      </c>
      <c r="M16" s="71">
        <f>2*M14</f>
        <v>-5</v>
      </c>
      <c r="N16" s="71">
        <v>0</v>
      </c>
      <c r="O16" s="71"/>
      <c r="P16" s="71">
        <v>0</v>
      </c>
      <c r="Q16" s="71">
        <v>0</v>
      </c>
      <c r="S16" s="69" t="s">
        <v>63</v>
      </c>
      <c r="T16" s="72">
        <f>ABS(H15-H13)</f>
        <v>184.90199999999999</v>
      </c>
      <c r="U16" s="69" t="s">
        <v>62</v>
      </c>
      <c r="V16" s="73" t="str">
        <f>C16</f>
        <v>Gundavali_2</v>
      </c>
      <c r="W16" s="68" t="s">
        <v>61</v>
      </c>
      <c r="X16" s="74" t="s">
        <v>292</v>
      </c>
      <c r="Y16" s="74" t="s">
        <v>60</v>
      </c>
      <c r="Z16" s="70" t="str">
        <f>LEFT(V16, LEN(V16)-2)</f>
        <v>Gundavali</v>
      </c>
    </row>
    <row r="17" spans="1:29" s="70" customFormat="1" x14ac:dyDescent="0.2">
      <c r="A17" s="224" t="s">
        <v>129</v>
      </c>
      <c r="B17" s="154">
        <v>72002</v>
      </c>
      <c r="C17" s="70" t="str">
        <f>CONCATENATE("Platform Passenger - ",C16)</f>
        <v>Platform Passenger - Gundavali_2</v>
      </c>
      <c r="D17" s="75" t="s">
        <v>59</v>
      </c>
      <c r="E17" s="70" t="str">
        <f t="shared" ref="E17:E22" si="1">E16</f>
        <v>MMRBEM_7_DOWN</v>
      </c>
      <c r="F17" s="70">
        <v>0</v>
      </c>
      <c r="G17" s="152">
        <f t="shared" ref="G17:G22" si="2">G16</f>
        <v>-37.450999999999993</v>
      </c>
      <c r="H17" s="159">
        <f t="shared" si="0"/>
        <v>-37.450999999999993</v>
      </c>
      <c r="I17" s="232">
        <f>IF("generated"=1, "Path=MMRBEM_7_DOWN, Scaled Offset=-37.450999999999993406163412146270275", 480.38356667394)</f>
        <v>480.38356667393998</v>
      </c>
      <c r="K17" s="76" t="str">
        <f t="shared" ref="K17:K22" si="3">K16</f>
        <v>BOTH</v>
      </c>
      <c r="M17" s="77">
        <f>M16/2</f>
        <v>-2.5</v>
      </c>
      <c r="N17" s="77">
        <f>N16</f>
        <v>0</v>
      </c>
      <c r="O17" s="77"/>
      <c r="P17" s="77">
        <v>270</v>
      </c>
      <c r="Q17" s="77">
        <f>Q16</f>
        <v>0</v>
      </c>
      <c r="R17" s="75" t="s">
        <v>1091</v>
      </c>
      <c r="S17" s="70" t="s">
        <v>58</v>
      </c>
      <c r="T17" s="78" t="str">
        <f>CONCATENATE(X16,"_PAS"&amp;AC15)</f>
        <v>GUN_PAS2</v>
      </c>
      <c r="V17" s="79"/>
    </row>
    <row r="18" spans="1:29" s="70" customFormat="1" x14ac:dyDescent="0.2">
      <c r="A18" s="224" t="s">
        <v>129</v>
      </c>
      <c r="B18" s="154">
        <v>72003</v>
      </c>
      <c r="C18" s="70" t="str">
        <f>CONCATENATE("Passenger Alighting - ",C16)</f>
        <v>Passenger Alighting - Gundavali_2</v>
      </c>
      <c r="D18" s="75" t="s">
        <v>57</v>
      </c>
      <c r="E18" s="70" t="str">
        <f t="shared" si="1"/>
        <v>MMRBEM_7_DOWN</v>
      </c>
      <c r="F18" s="70">
        <v>0</v>
      </c>
      <c r="G18" s="152">
        <f t="shared" si="2"/>
        <v>-37.450999999999993</v>
      </c>
      <c r="H18" s="159">
        <f t="shared" si="0"/>
        <v>-37.450999999999993</v>
      </c>
      <c r="I18" s="232">
        <f>IF("generated"=1, "Path=MMRBEM_7_DOWN, Scaled Offset=-37.450999999999993406163412146270275", 480.38356667394)</f>
        <v>480.38356667393998</v>
      </c>
      <c r="K18" s="76" t="str">
        <f t="shared" si="3"/>
        <v>BOTH</v>
      </c>
      <c r="M18" s="77">
        <f>M17</f>
        <v>-2.5</v>
      </c>
      <c r="N18" s="77">
        <f>N17</f>
        <v>0</v>
      </c>
      <c r="O18" s="77"/>
      <c r="P18" s="77">
        <v>270</v>
      </c>
      <c r="Q18" s="77">
        <f>Q17</f>
        <v>0</v>
      </c>
      <c r="R18" s="75" t="s">
        <v>1091</v>
      </c>
      <c r="S18" s="70" t="s">
        <v>56</v>
      </c>
      <c r="T18" s="78">
        <f>B17</f>
        <v>72002</v>
      </c>
      <c r="V18" s="79"/>
    </row>
    <row r="19" spans="1:29" s="70" customFormat="1" x14ac:dyDescent="0.2">
      <c r="A19" s="224" t="s">
        <v>129</v>
      </c>
      <c r="B19" s="154">
        <v>72004</v>
      </c>
      <c r="C19" s="70" t="str">
        <f>CONCATENATE("Passenger Arriving - ",C14)</f>
        <v>Passenger Arriving - Gundavali_2</v>
      </c>
      <c r="D19" s="75" t="s">
        <v>55</v>
      </c>
      <c r="E19" s="70" t="str">
        <f t="shared" si="1"/>
        <v>MMRBEM_7_DOWN</v>
      </c>
      <c r="F19" s="70">
        <v>0</v>
      </c>
      <c r="G19" s="152">
        <f t="shared" si="2"/>
        <v>-37.450999999999993</v>
      </c>
      <c r="H19" s="159">
        <f t="shared" si="0"/>
        <v>-37.450999999999993</v>
      </c>
      <c r="I19" s="232">
        <f>IF("generated"=1, "Path=MMRBEM_7_DOWN, Scaled Offset=-37.450999999999993406163412146270275", 480.38356667394)</f>
        <v>480.38356667393998</v>
      </c>
      <c r="K19" s="76" t="str">
        <f t="shared" si="3"/>
        <v>BOTH</v>
      </c>
      <c r="M19" s="77">
        <f>M18</f>
        <v>-2.5</v>
      </c>
      <c r="N19" s="77">
        <f>N18</f>
        <v>0</v>
      </c>
      <c r="O19" s="77"/>
      <c r="P19" s="77">
        <v>270</v>
      </c>
      <c r="Q19" s="77">
        <f>Q18</f>
        <v>0</v>
      </c>
      <c r="R19" s="75" t="s">
        <v>52</v>
      </c>
      <c r="S19" s="70" t="str">
        <f t="shared" ref="S19:T21" si="4">S18</f>
        <v>Parent ID</v>
      </c>
      <c r="T19" s="78">
        <f t="shared" si="4"/>
        <v>72002</v>
      </c>
      <c r="V19" s="79"/>
    </row>
    <row r="20" spans="1:29" s="70" customFormat="1" x14ac:dyDescent="0.2">
      <c r="A20" s="224" t="s">
        <v>129</v>
      </c>
      <c r="B20" s="154">
        <v>72005</v>
      </c>
      <c r="C20" s="70" t="str">
        <f>CONCATENATE("Passenger Intoxicated - ",C16)</f>
        <v>Passenger Intoxicated - Gundavali_2</v>
      </c>
      <c r="D20" s="75" t="s">
        <v>54</v>
      </c>
      <c r="E20" s="70" t="str">
        <f t="shared" si="1"/>
        <v>MMRBEM_7_DOWN</v>
      </c>
      <c r="F20" s="70">
        <v>0</v>
      </c>
      <c r="G20" s="152">
        <f t="shared" si="2"/>
        <v>-37.450999999999993</v>
      </c>
      <c r="H20" s="159">
        <f t="shared" si="0"/>
        <v>-37.450999999999993</v>
      </c>
      <c r="I20" s="232">
        <f>IF("generated"=1, "Path=MMRBEM_7_DOWN, Scaled Offset=-37.450999999999993406163412146270275", 480.38356667394)</f>
        <v>480.38356667393998</v>
      </c>
      <c r="K20" s="76" t="str">
        <f t="shared" si="3"/>
        <v>BOTH</v>
      </c>
      <c r="M20" s="77">
        <f>M19</f>
        <v>-2.5</v>
      </c>
      <c r="N20" s="77">
        <f>N19</f>
        <v>0</v>
      </c>
      <c r="O20" s="77"/>
      <c r="P20" s="77">
        <v>270</v>
      </c>
      <c r="Q20" s="77">
        <f>Q19</f>
        <v>0</v>
      </c>
      <c r="R20" s="75" t="s">
        <v>52</v>
      </c>
      <c r="S20" s="70" t="str">
        <f t="shared" si="4"/>
        <v>Parent ID</v>
      </c>
      <c r="T20" s="78">
        <f t="shared" si="4"/>
        <v>72002</v>
      </c>
      <c r="V20" s="79"/>
    </row>
    <row r="21" spans="1:29" s="70" customFormat="1" x14ac:dyDescent="0.2">
      <c r="A21" s="224" t="s">
        <v>129</v>
      </c>
      <c r="B21" s="154">
        <v>72006</v>
      </c>
      <c r="C21" s="70" t="str">
        <f>CONCATENATE("Passenger Pram - ",C16)</f>
        <v>Passenger Pram - Gundavali_2</v>
      </c>
      <c r="D21" s="75" t="s">
        <v>53</v>
      </c>
      <c r="E21" s="70" t="str">
        <f>E20</f>
        <v>MMRBEM_7_DOWN</v>
      </c>
      <c r="F21" s="70">
        <v>0</v>
      </c>
      <c r="G21" s="152">
        <f t="shared" si="2"/>
        <v>-37.450999999999993</v>
      </c>
      <c r="H21" s="159">
        <f t="shared" si="0"/>
        <v>-37.450999999999993</v>
      </c>
      <c r="I21" s="232">
        <f>IF("generated"=1, "Path=MMRBEM_7_DOWN, Scaled Offset=-37.450999999999993406163412146270275", 480.38356667394)</f>
        <v>480.38356667393998</v>
      </c>
      <c r="K21" s="76" t="str">
        <f t="shared" si="3"/>
        <v>BOTH</v>
      </c>
      <c r="M21" s="77">
        <f>M20</f>
        <v>-2.5</v>
      </c>
      <c r="N21" s="77">
        <f>N20</f>
        <v>0</v>
      </c>
      <c r="O21" s="77"/>
      <c r="P21" s="77">
        <v>270</v>
      </c>
      <c r="Q21" s="77">
        <f>Q20</f>
        <v>0</v>
      </c>
      <c r="R21" s="75" t="s">
        <v>52</v>
      </c>
      <c r="S21" s="70" t="str">
        <f t="shared" si="4"/>
        <v>Parent ID</v>
      </c>
      <c r="T21" s="78">
        <f t="shared" si="4"/>
        <v>72002</v>
      </c>
      <c r="V21" s="79"/>
    </row>
    <row r="22" spans="1:29" s="164" customFormat="1" x14ac:dyDescent="0.2">
      <c r="A22" s="224" t="s">
        <v>129</v>
      </c>
      <c r="B22" s="81">
        <v>72269</v>
      </c>
      <c r="C22" s="70" t="str">
        <f>CONCATENATE("PSD - ",C16)</f>
        <v>PSD - Gundavali_2</v>
      </c>
      <c r="D22" s="165" t="s">
        <v>1042</v>
      </c>
      <c r="E22" s="70" t="str">
        <f t="shared" si="1"/>
        <v>MMRBEM_7_DOWN</v>
      </c>
      <c r="F22" s="70">
        <v>0</v>
      </c>
      <c r="G22" s="152">
        <f t="shared" si="2"/>
        <v>-37.450999999999993</v>
      </c>
      <c r="H22" s="159">
        <f t="shared" si="0"/>
        <v>-37.450999999999993</v>
      </c>
      <c r="I22" s="232">
        <f>IF("generated"=1, "Path=MMRBEM_7_DOWN, Scaled Offset=-37.450999999999993406163412146270275", 480.38356667394)</f>
        <v>480.38356667393998</v>
      </c>
      <c r="K22" s="76" t="str">
        <f t="shared" si="3"/>
        <v>BOTH</v>
      </c>
      <c r="M22" s="168">
        <f>M21+0.5</f>
        <v>-2</v>
      </c>
      <c r="N22" s="168"/>
      <c r="O22" s="168"/>
      <c r="P22" s="168"/>
      <c r="Q22" s="168"/>
      <c r="R22" s="165"/>
      <c r="S22" s="165" t="s">
        <v>1043</v>
      </c>
      <c r="T22" s="165" t="str">
        <f>_xlfn.CONCAT("PSD_",T17)</f>
        <v>PSD_GUN_PAS2</v>
      </c>
      <c r="U22" s="165" t="s">
        <v>926</v>
      </c>
      <c r="V22" s="165">
        <f>B16</f>
        <v>72001</v>
      </c>
      <c r="W22" s="165"/>
      <c r="X22" s="165"/>
    </row>
    <row r="23" spans="1:29" s="164" customFormat="1" x14ac:dyDescent="0.2">
      <c r="A23" s="224" t="s">
        <v>129</v>
      </c>
      <c r="B23" s="81">
        <v>72173</v>
      </c>
      <c r="C23" s="163" t="s">
        <v>935</v>
      </c>
      <c r="D23" s="140" t="s">
        <v>928</v>
      </c>
      <c r="E23" s="140" t="s">
        <v>122</v>
      </c>
      <c r="F23" s="140"/>
      <c r="G23" s="144">
        <f>G24-22.2</f>
        <v>88</v>
      </c>
      <c r="H23" s="161">
        <f t="shared" ref="H23:H28" si="5">G23+F23</f>
        <v>88</v>
      </c>
      <c r="I23" s="230">
        <f>IF("generated"=1, "Path=Track_10_2_Track_2, Scaled Offset=88", 88)</f>
        <v>88</v>
      </c>
      <c r="J23" s="141"/>
      <c r="K23" s="140"/>
      <c r="L23" s="140">
        <v>1</v>
      </c>
      <c r="M23" s="168"/>
      <c r="N23" s="168"/>
      <c r="O23" s="168"/>
      <c r="P23" s="168"/>
      <c r="Q23" s="168"/>
      <c r="R23" s="165" t="s">
        <v>1041</v>
      </c>
      <c r="S23" s="140" t="s">
        <v>926</v>
      </c>
      <c r="T23" s="143">
        <f>B16</f>
        <v>72001</v>
      </c>
      <c r="U23" s="140" t="s">
        <v>61</v>
      </c>
      <c r="V23" s="143" t="str">
        <f>X16</f>
        <v>GUN</v>
      </c>
      <c r="W23" s="140" t="s">
        <v>927</v>
      </c>
      <c r="X23" s="164">
        <v>2</v>
      </c>
    </row>
    <row r="24" spans="1:29" s="164" customFormat="1" x14ac:dyDescent="0.2">
      <c r="A24" s="224" t="s">
        <v>129</v>
      </c>
      <c r="B24" s="81">
        <v>72174</v>
      </c>
      <c r="C24" s="163" t="s">
        <v>936</v>
      </c>
      <c r="D24" s="140" t="s">
        <v>928</v>
      </c>
      <c r="E24" s="140" t="s">
        <v>122</v>
      </c>
      <c r="F24" s="140"/>
      <c r="G24" s="144">
        <v>110.2</v>
      </c>
      <c r="H24" s="161">
        <f t="shared" si="5"/>
        <v>110.2</v>
      </c>
      <c r="I24" s="230">
        <f>IF("generated"=1, "Path=Track_10_2_Track_2, Scaled Offset=110.20000000000000284217094304040074", 110.2)</f>
        <v>110.2</v>
      </c>
      <c r="J24" s="141"/>
      <c r="K24" s="140"/>
      <c r="L24" s="140">
        <v>1</v>
      </c>
      <c r="M24" s="168"/>
      <c r="N24" s="168"/>
      <c r="O24" s="168"/>
      <c r="P24" s="168"/>
      <c r="Q24" s="168"/>
      <c r="R24" s="165" t="s">
        <v>1041</v>
      </c>
      <c r="S24" s="140" t="s">
        <v>926</v>
      </c>
      <c r="T24" s="143">
        <f>T23</f>
        <v>72001</v>
      </c>
      <c r="U24" s="140" t="s">
        <v>61</v>
      </c>
      <c r="V24" s="143" t="str">
        <f>V23</f>
        <v>GUN</v>
      </c>
      <c r="W24" s="140" t="s">
        <v>927</v>
      </c>
      <c r="X24" s="164">
        <v>2</v>
      </c>
    </row>
    <row r="25" spans="1:29" s="164" customFormat="1" x14ac:dyDescent="0.2">
      <c r="A25" s="224" t="s">
        <v>129</v>
      </c>
      <c r="B25" s="81">
        <v>72175</v>
      </c>
      <c r="C25" s="163" t="s">
        <v>937</v>
      </c>
      <c r="D25" s="140" t="s">
        <v>928</v>
      </c>
      <c r="E25" s="140" t="s">
        <v>122</v>
      </c>
      <c r="F25" s="140"/>
      <c r="G25" s="144">
        <v>246.3</v>
      </c>
      <c r="H25" s="161">
        <f t="shared" si="5"/>
        <v>246.3</v>
      </c>
      <c r="I25" s="230">
        <f>IF("generated"=1, "Path=Track_10_2_Track_2, Scaled Offset=246.30000000000001136868377216160297", 246.3)</f>
        <v>246.3</v>
      </c>
      <c r="J25" s="141"/>
      <c r="K25" s="140"/>
      <c r="L25" s="140"/>
      <c r="M25" s="168"/>
      <c r="N25" s="168"/>
      <c r="O25" s="168"/>
      <c r="P25" s="168"/>
      <c r="Q25" s="168"/>
      <c r="R25" s="165" t="s">
        <v>1041</v>
      </c>
      <c r="S25" s="140" t="s">
        <v>926</v>
      </c>
      <c r="T25" s="143">
        <f>T24</f>
        <v>72001</v>
      </c>
      <c r="U25" s="140" t="s">
        <v>61</v>
      </c>
      <c r="V25" s="143" t="str">
        <f>V24</f>
        <v>GUN</v>
      </c>
      <c r="W25" s="140" t="s">
        <v>927</v>
      </c>
      <c r="X25" s="164">
        <v>1</v>
      </c>
    </row>
    <row r="26" spans="1:29" s="164" customFormat="1" x14ac:dyDescent="0.2">
      <c r="A26" s="224" t="s">
        <v>129</v>
      </c>
      <c r="B26" s="81">
        <v>72176</v>
      </c>
      <c r="C26" s="163" t="s">
        <v>938</v>
      </c>
      <c r="D26" s="140" t="s">
        <v>928</v>
      </c>
      <c r="E26" s="140" t="s">
        <v>122</v>
      </c>
      <c r="F26" s="140"/>
      <c r="G26" s="144">
        <f>G25+22.2</f>
        <v>268.5</v>
      </c>
      <c r="H26" s="161">
        <f t="shared" si="5"/>
        <v>268.5</v>
      </c>
      <c r="I26" s="230">
        <f>IF("generated"=1, "Path=Track_10_2_Track_2, Scaled Offset=268.5", 268.5)</f>
        <v>268.5</v>
      </c>
      <c r="J26" s="141"/>
      <c r="K26" s="140"/>
      <c r="L26" s="140"/>
      <c r="M26" s="168"/>
      <c r="N26" s="168"/>
      <c r="O26" s="168"/>
      <c r="P26" s="168"/>
      <c r="Q26" s="168"/>
      <c r="R26" s="165" t="s">
        <v>1041</v>
      </c>
      <c r="S26" s="140" t="s">
        <v>926</v>
      </c>
      <c r="T26" s="143">
        <f>T25</f>
        <v>72001</v>
      </c>
      <c r="U26" s="140" t="s">
        <v>61</v>
      </c>
      <c r="V26" s="143" t="str">
        <f>V25</f>
        <v>GUN</v>
      </c>
      <c r="W26" s="140" t="s">
        <v>927</v>
      </c>
      <c r="X26" s="164">
        <v>1</v>
      </c>
    </row>
    <row r="27" spans="1:29" s="61" customFormat="1" x14ac:dyDescent="0.2">
      <c r="A27" s="224" t="s">
        <v>930</v>
      </c>
      <c r="B27" s="81">
        <v>72000</v>
      </c>
      <c r="C27" s="61" t="str">
        <f>LEFT(C16,LEN(C16)-2)</f>
        <v>Gundavali</v>
      </c>
      <c r="E27" s="61" t="s">
        <v>122</v>
      </c>
      <c r="G27" s="153">
        <v>83</v>
      </c>
      <c r="H27" s="61">
        <f t="shared" si="5"/>
        <v>83</v>
      </c>
      <c r="I27" s="232">
        <f>IF("generated"=1, "Path=Track_10_2_Track_2, Scaled Offset=83", 83)</f>
        <v>83</v>
      </c>
      <c r="J27" s="89"/>
      <c r="M27" s="88"/>
      <c r="N27" s="88"/>
      <c r="O27" s="88"/>
      <c r="P27" s="88"/>
      <c r="Q27" s="88"/>
      <c r="S27" s="61" t="s">
        <v>41</v>
      </c>
      <c r="T27" s="87">
        <v>40</v>
      </c>
      <c r="V27" s="87"/>
    </row>
    <row r="28" spans="1:29" s="61" customFormat="1" x14ac:dyDescent="0.2">
      <c r="A28" s="224" t="s">
        <v>930</v>
      </c>
      <c r="B28" s="81">
        <v>72000</v>
      </c>
      <c r="C28" s="61" t="str">
        <f>C27</f>
        <v>Gundavali</v>
      </c>
      <c r="E28" s="61" t="s">
        <v>122</v>
      </c>
      <c r="G28" s="153">
        <v>273</v>
      </c>
      <c r="H28" s="61">
        <f t="shared" si="5"/>
        <v>273</v>
      </c>
      <c r="I28" s="232">
        <f>IF("generated"=1, "Path=Track_10_2_Track_2, Scaled Offset=273", 273)</f>
        <v>273</v>
      </c>
      <c r="J28" s="89"/>
      <c r="M28" s="88"/>
      <c r="N28" s="88"/>
      <c r="O28" s="88"/>
      <c r="P28" s="88"/>
      <c r="Q28" s="88"/>
      <c r="S28" s="61" t="s">
        <v>41</v>
      </c>
      <c r="T28" s="87">
        <v>40</v>
      </c>
      <c r="V28" s="87"/>
    </row>
    <row r="30" spans="1:29" s="62" customFormat="1" x14ac:dyDescent="0.2">
      <c r="A30" s="224" t="s">
        <v>129</v>
      </c>
      <c r="B30" s="154">
        <v>72000</v>
      </c>
      <c r="C30" s="61" t="s">
        <v>293</v>
      </c>
      <c r="D30" s="62" t="s">
        <v>69</v>
      </c>
      <c r="E30" s="94"/>
      <c r="G30" s="149"/>
      <c r="H30" s="158"/>
      <c r="I30" s="162"/>
      <c r="M30" s="63"/>
      <c r="N30" s="63"/>
      <c r="O30" s="63"/>
      <c r="P30" s="63"/>
      <c r="Q30" s="63"/>
      <c r="T30" s="64"/>
      <c r="V30" s="64"/>
    </row>
    <row r="31" spans="1:29" s="60" customFormat="1" x14ac:dyDescent="0.2">
      <c r="A31" s="224"/>
      <c r="B31" s="81"/>
      <c r="C31" s="60" t="s">
        <v>297</v>
      </c>
      <c r="D31" s="60" t="s">
        <v>51</v>
      </c>
      <c r="E31" s="94" t="s">
        <v>187</v>
      </c>
      <c r="G31" s="150">
        <v>-129.90199999999999</v>
      </c>
      <c r="H31" s="159">
        <f>G31+F31</f>
        <v>-129.90199999999999</v>
      </c>
      <c r="I31" s="90"/>
      <c r="J31" s="65"/>
      <c r="K31" s="60" t="s">
        <v>64</v>
      </c>
      <c r="M31" s="66">
        <v>2.5</v>
      </c>
      <c r="N31" s="66">
        <v>0</v>
      </c>
      <c r="O31" s="66"/>
      <c r="P31" s="66"/>
      <c r="Q31" s="66"/>
      <c r="R31" s="60" t="str">
        <f>$E$3</f>
        <v>Red</v>
      </c>
      <c r="S31" s="60" t="s">
        <v>68</v>
      </c>
      <c r="T31" s="67" t="str">
        <f>C31</f>
        <v>Gundavali_S2</v>
      </c>
      <c r="U31" s="60" t="s">
        <v>50</v>
      </c>
      <c r="V31" s="67">
        <v>0</v>
      </c>
      <c r="W31" s="60" t="s">
        <v>67</v>
      </c>
      <c r="X31" s="60">
        <v>1</v>
      </c>
      <c r="Y31" s="60" t="s">
        <v>66</v>
      </c>
      <c r="Z31" s="60">
        <v>1</v>
      </c>
      <c r="AA31" s="60" t="s">
        <v>293</v>
      </c>
      <c r="AB31" s="74" t="s">
        <v>292</v>
      </c>
      <c r="AC31" s="60">
        <v>1</v>
      </c>
    </row>
    <row r="32" spans="1:29" s="60" customFormat="1" x14ac:dyDescent="0.2">
      <c r="A32" s="224"/>
      <c r="B32" s="81"/>
      <c r="C32" s="60" t="str">
        <f>AA32&amp;"_"&amp;AC32</f>
        <v>Gundavali_1</v>
      </c>
      <c r="D32" s="60" t="s">
        <v>51</v>
      </c>
      <c r="E32" s="60" t="str">
        <f>E31</f>
        <v>MMRBEM_7_UP</v>
      </c>
      <c r="G32" s="151">
        <f>AVERAGE(H31,H33)</f>
        <v>-37.260999999999996</v>
      </c>
      <c r="H32" s="159">
        <f>F32+G32</f>
        <v>-37.260999999999996</v>
      </c>
      <c r="I32" s="90"/>
      <c r="J32" s="65"/>
      <c r="K32" s="60" t="s">
        <v>64</v>
      </c>
      <c r="M32" s="66">
        <v>2.5</v>
      </c>
      <c r="N32" s="66">
        <v>0</v>
      </c>
      <c r="O32" s="66"/>
      <c r="P32" s="66"/>
      <c r="Q32" s="66"/>
      <c r="R32" s="60" t="str">
        <f>$E$4</f>
        <v>Green</v>
      </c>
      <c r="S32" s="60" t="s">
        <v>68</v>
      </c>
      <c r="T32" s="67" t="str">
        <f>C32</f>
        <v>Gundavali_1</v>
      </c>
      <c r="U32" s="60" t="s">
        <v>50</v>
      </c>
      <c r="V32" s="67">
        <v>0</v>
      </c>
      <c r="W32" s="60" t="s">
        <v>67</v>
      </c>
      <c r="X32" s="60">
        <v>1</v>
      </c>
      <c r="Y32" s="60" t="s">
        <v>66</v>
      </c>
      <c r="Z32" s="60">
        <v>1</v>
      </c>
      <c r="AA32" s="60" t="str">
        <f>AA31</f>
        <v>Gundavali</v>
      </c>
      <c r="AB32" s="60" t="str">
        <f>AB31</f>
        <v>GUN</v>
      </c>
      <c r="AC32" s="60">
        <f>AC31</f>
        <v>1</v>
      </c>
    </row>
    <row r="33" spans="1:29" s="60" customFormat="1" x14ac:dyDescent="0.2">
      <c r="A33" s="224"/>
      <c r="B33" s="81"/>
      <c r="C33" s="60" t="s">
        <v>298</v>
      </c>
      <c r="D33" s="60" t="s">
        <v>51</v>
      </c>
      <c r="E33" s="94" t="s">
        <v>187</v>
      </c>
      <c r="G33" s="150">
        <v>55.38</v>
      </c>
      <c r="H33" s="159">
        <f>G33+F33</f>
        <v>55.38</v>
      </c>
      <c r="I33" s="90"/>
      <c r="J33" s="65"/>
      <c r="K33" s="60" t="s">
        <v>64</v>
      </c>
      <c r="M33" s="66">
        <v>2.5</v>
      </c>
      <c r="N33" s="66">
        <v>0</v>
      </c>
      <c r="O33" s="66"/>
      <c r="P33" s="66"/>
      <c r="Q33" s="66"/>
      <c r="R33" s="60" t="str">
        <f>$E$3</f>
        <v>Red</v>
      </c>
      <c r="S33" s="60" t="s">
        <v>68</v>
      </c>
      <c r="T33" s="67" t="str">
        <f>C33</f>
        <v>Gundavali_E2</v>
      </c>
      <c r="U33" s="60" t="s">
        <v>50</v>
      </c>
      <c r="V33" s="67">
        <v>0</v>
      </c>
      <c r="W33" s="60" t="s">
        <v>67</v>
      </c>
      <c r="X33" s="60">
        <v>1</v>
      </c>
      <c r="Y33" s="60" t="s">
        <v>66</v>
      </c>
      <c r="Z33" s="60">
        <v>1</v>
      </c>
      <c r="AA33" s="60" t="s">
        <v>293</v>
      </c>
      <c r="AB33" s="74" t="s">
        <v>292</v>
      </c>
      <c r="AC33" s="60">
        <v>1</v>
      </c>
    </row>
    <row r="34" spans="1:29" s="70" customFormat="1" x14ac:dyDescent="0.2">
      <c r="A34" s="224" t="s">
        <v>129</v>
      </c>
      <c r="B34" s="154">
        <v>72007</v>
      </c>
      <c r="C34" s="68" t="str">
        <f>C32</f>
        <v>Gundavali_1</v>
      </c>
      <c r="D34" s="69" t="s">
        <v>65</v>
      </c>
      <c r="E34" s="70" t="str">
        <f>E32</f>
        <v>MMRBEM_7_UP</v>
      </c>
      <c r="F34" s="70">
        <f>F32</f>
        <v>0</v>
      </c>
      <c r="G34" s="152">
        <f>H32</f>
        <v>-37.260999999999996</v>
      </c>
      <c r="H34" s="159">
        <f t="shared" ref="H34:H40" si="6">F34+G34</f>
        <v>-37.260999999999996</v>
      </c>
      <c r="I34" s="232">
        <f>IF("generated"=1, "Path=MMRBEM_7_UP, Scaled Offset=-37.26099999999999567990016657859087", 480.26770760169)</f>
        <v>480.26770760169001</v>
      </c>
      <c r="K34" s="69" t="s">
        <v>64</v>
      </c>
      <c r="M34" s="71">
        <f>2*M32</f>
        <v>5</v>
      </c>
      <c r="N34" s="71">
        <v>0</v>
      </c>
      <c r="O34" s="71"/>
      <c r="P34" s="71">
        <v>0</v>
      </c>
      <c r="Q34" s="71">
        <v>0</v>
      </c>
      <c r="S34" s="69" t="s">
        <v>63</v>
      </c>
      <c r="T34" s="72">
        <f>ABS(H33-H31)</f>
        <v>185.28199999999998</v>
      </c>
      <c r="U34" s="69" t="s">
        <v>62</v>
      </c>
      <c r="V34" s="73" t="str">
        <f>C34</f>
        <v>Gundavali_1</v>
      </c>
      <c r="W34" s="68" t="s">
        <v>61</v>
      </c>
      <c r="X34" s="74" t="s">
        <v>292</v>
      </c>
      <c r="Y34" s="74" t="s">
        <v>60</v>
      </c>
      <c r="Z34" s="70" t="str">
        <f>LEFT(V34, LEN(V34)-2)</f>
        <v>Gundavali</v>
      </c>
    </row>
    <row r="35" spans="1:29" s="70" customFormat="1" x14ac:dyDescent="0.2">
      <c r="A35" s="224" t="s">
        <v>129</v>
      </c>
      <c r="B35" s="154">
        <v>72008</v>
      </c>
      <c r="C35" s="70" t="str">
        <f>CONCATENATE("Platform Passenger - ",C34)</f>
        <v>Platform Passenger - Gundavali_1</v>
      </c>
      <c r="D35" s="75" t="s">
        <v>59</v>
      </c>
      <c r="E35" s="70" t="str">
        <f t="shared" ref="E35:E40" si="7">E34</f>
        <v>MMRBEM_7_UP</v>
      </c>
      <c r="F35" s="70">
        <v>0</v>
      </c>
      <c r="G35" s="152">
        <f t="shared" ref="G35:G40" si="8">G34</f>
        <v>-37.260999999999996</v>
      </c>
      <c r="H35" s="159">
        <f t="shared" si="6"/>
        <v>-37.260999999999996</v>
      </c>
      <c r="I35" s="232">
        <f>IF("generated"=1, "Path=MMRBEM_7_UP, Scaled Offset=-37.26099999999999567990016657859087", 480.26770760169)</f>
        <v>480.26770760169001</v>
      </c>
      <c r="K35" s="76" t="str">
        <f t="shared" ref="K35:K40" si="9">K34</f>
        <v>BOTH</v>
      </c>
      <c r="M35" s="77">
        <f>M34/2</f>
        <v>2.5</v>
      </c>
      <c r="N35" s="77">
        <f>N34</f>
        <v>0</v>
      </c>
      <c r="O35" s="77"/>
      <c r="P35" s="71">
        <v>90</v>
      </c>
      <c r="Q35" s="77">
        <f>Q34</f>
        <v>0</v>
      </c>
      <c r="R35" s="75" t="s">
        <v>1091</v>
      </c>
      <c r="S35" s="70" t="s">
        <v>58</v>
      </c>
      <c r="T35" s="78" t="str">
        <f>CONCATENATE(X34,"_PAS"&amp;AC33)</f>
        <v>GUN_PAS1</v>
      </c>
      <c r="V35" s="79"/>
    </row>
    <row r="36" spans="1:29" s="70" customFormat="1" x14ac:dyDescent="0.2">
      <c r="A36" s="224" t="s">
        <v>129</v>
      </c>
      <c r="B36" s="154">
        <v>72009</v>
      </c>
      <c r="C36" s="70" t="str">
        <f>CONCATENATE("Passenger Alighting - ",C34)</f>
        <v>Passenger Alighting - Gundavali_1</v>
      </c>
      <c r="D36" s="75" t="s">
        <v>57</v>
      </c>
      <c r="E36" s="70" t="str">
        <f t="shared" si="7"/>
        <v>MMRBEM_7_UP</v>
      </c>
      <c r="F36" s="70">
        <v>0</v>
      </c>
      <c r="G36" s="152">
        <f t="shared" si="8"/>
        <v>-37.260999999999996</v>
      </c>
      <c r="H36" s="159">
        <f t="shared" si="6"/>
        <v>-37.260999999999996</v>
      </c>
      <c r="I36" s="232">
        <f>IF("generated"=1, "Path=MMRBEM_7_UP, Scaled Offset=-37.26099999999999567990016657859087", 480.26770760169)</f>
        <v>480.26770760169001</v>
      </c>
      <c r="K36" s="76" t="str">
        <f t="shared" si="9"/>
        <v>BOTH</v>
      </c>
      <c r="M36" s="77">
        <f>M35</f>
        <v>2.5</v>
      </c>
      <c r="N36" s="77">
        <f>N35</f>
        <v>0</v>
      </c>
      <c r="O36" s="77"/>
      <c r="P36" s="71">
        <v>90</v>
      </c>
      <c r="Q36" s="77">
        <f>Q35</f>
        <v>0</v>
      </c>
      <c r="R36" s="75" t="s">
        <v>1091</v>
      </c>
      <c r="S36" s="70" t="s">
        <v>56</v>
      </c>
      <c r="T36" s="78">
        <f>B35</f>
        <v>72008</v>
      </c>
      <c r="V36" s="79"/>
    </row>
    <row r="37" spans="1:29" s="70" customFormat="1" x14ac:dyDescent="0.2">
      <c r="A37" s="224" t="s">
        <v>129</v>
      </c>
      <c r="B37" s="154">
        <v>72010</v>
      </c>
      <c r="C37" s="70" t="str">
        <f>CONCATENATE("Passenger Arriving - ",C32)</f>
        <v>Passenger Arriving - Gundavali_1</v>
      </c>
      <c r="D37" s="75" t="s">
        <v>55</v>
      </c>
      <c r="E37" s="70" t="str">
        <f t="shared" si="7"/>
        <v>MMRBEM_7_UP</v>
      </c>
      <c r="F37" s="70">
        <v>0</v>
      </c>
      <c r="G37" s="152">
        <f t="shared" si="8"/>
        <v>-37.260999999999996</v>
      </c>
      <c r="H37" s="159">
        <f t="shared" si="6"/>
        <v>-37.260999999999996</v>
      </c>
      <c r="I37" s="232">
        <f>IF("generated"=1, "Path=MMRBEM_7_UP, Scaled Offset=-37.26099999999999567990016657859087", 480.26770760169)</f>
        <v>480.26770760169001</v>
      </c>
      <c r="K37" s="76" t="str">
        <f t="shared" si="9"/>
        <v>BOTH</v>
      </c>
      <c r="M37" s="77">
        <f>M36</f>
        <v>2.5</v>
      </c>
      <c r="N37" s="77">
        <f>N36</f>
        <v>0</v>
      </c>
      <c r="O37" s="77"/>
      <c r="P37" s="71">
        <v>90</v>
      </c>
      <c r="Q37" s="77">
        <f>Q36</f>
        <v>0</v>
      </c>
      <c r="R37" s="75" t="s">
        <v>52</v>
      </c>
      <c r="S37" s="70" t="str">
        <f t="shared" ref="S37:T39" si="10">S36</f>
        <v>Parent ID</v>
      </c>
      <c r="T37" s="78">
        <f t="shared" si="10"/>
        <v>72008</v>
      </c>
      <c r="V37" s="79"/>
    </row>
    <row r="38" spans="1:29" s="70" customFormat="1" x14ac:dyDescent="0.2">
      <c r="A38" s="224" t="s">
        <v>129</v>
      </c>
      <c r="B38" s="154">
        <v>72011</v>
      </c>
      <c r="C38" s="70" t="str">
        <f>CONCATENATE("Passenger Intoxicated - ",C34)</f>
        <v>Passenger Intoxicated - Gundavali_1</v>
      </c>
      <c r="D38" s="75" t="s">
        <v>54</v>
      </c>
      <c r="E38" s="70" t="str">
        <f t="shared" si="7"/>
        <v>MMRBEM_7_UP</v>
      </c>
      <c r="F38" s="70">
        <v>0</v>
      </c>
      <c r="G38" s="152">
        <f t="shared" si="8"/>
        <v>-37.260999999999996</v>
      </c>
      <c r="H38" s="159">
        <f t="shared" si="6"/>
        <v>-37.260999999999996</v>
      </c>
      <c r="I38" s="232">
        <f>IF("generated"=1, "Path=MMRBEM_7_UP, Scaled Offset=-37.26099999999999567990016657859087", 480.26770760169)</f>
        <v>480.26770760169001</v>
      </c>
      <c r="K38" s="76" t="str">
        <f t="shared" si="9"/>
        <v>BOTH</v>
      </c>
      <c r="M38" s="77">
        <f>M37</f>
        <v>2.5</v>
      </c>
      <c r="N38" s="77">
        <f>N37</f>
        <v>0</v>
      </c>
      <c r="O38" s="77" t="s">
        <v>921</v>
      </c>
      <c r="P38" s="71">
        <v>90</v>
      </c>
      <c r="Q38" s="77">
        <f>Q37</f>
        <v>0</v>
      </c>
      <c r="R38" s="75" t="s">
        <v>52</v>
      </c>
      <c r="S38" s="70" t="str">
        <f t="shared" si="10"/>
        <v>Parent ID</v>
      </c>
      <c r="T38" s="78">
        <f t="shared" si="10"/>
        <v>72008</v>
      </c>
      <c r="V38" s="79"/>
    </row>
    <row r="39" spans="1:29" s="70" customFormat="1" x14ac:dyDescent="0.2">
      <c r="A39" s="224" t="s">
        <v>129</v>
      </c>
      <c r="B39" s="154">
        <v>72012</v>
      </c>
      <c r="C39" s="70" t="str">
        <f>CONCATENATE("Passenger Pram - ",C34)</f>
        <v>Passenger Pram - Gundavali_1</v>
      </c>
      <c r="D39" s="75" t="s">
        <v>53</v>
      </c>
      <c r="E39" s="70" t="str">
        <f t="shared" si="7"/>
        <v>MMRBEM_7_UP</v>
      </c>
      <c r="F39" s="70">
        <v>0</v>
      </c>
      <c r="G39" s="152">
        <f t="shared" si="8"/>
        <v>-37.260999999999996</v>
      </c>
      <c r="H39" s="159">
        <f t="shared" si="6"/>
        <v>-37.260999999999996</v>
      </c>
      <c r="I39" s="232">
        <f>IF("generated"=1, "Path=MMRBEM_7_UP, Scaled Offset=-37.26099999999999567990016657859087", 480.26770760169)</f>
        <v>480.26770760169001</v>
      </c>
      <c r="K39" s="76" t="str">
        <f t="shared" si="9"/>
        <v>BOTH</v>
      </c>
      <c r="M39" s="77">
        <f>M38</f>
        <v>2.5</v>
      </c>
      <c r="N39" s="77">
        <f>N38</f>
        <v>0</v>
      </c>
      <c r="O39" s="77"/>
      <c r="P39" s="71">
        <v>90</v>
      </c>
      <c r="Q39" s="77">
        <f>Q38</f>
        <v>0</v>
      </c>
      <c r="R39" s="75" t="s">
        <v>52</v>
      </c>
      <c r="S39" s="70" t="str">
        <f t="shared" si="10"/>
        <v>Parent ID</v>
      </c>
      <c r="T39" s="78">
        <f t="shared" si="10"/>
        <v>72008</v>
      </c>
      <c r="V39" s="79"/>
    </row>
    <row r="40" spans="1:29" s="164" customFormat="1" x14ac:dyDescent="0.2">
      <c r="A40" s="224" t="s">
        <v>129</v>
      </c>
      <c r="B40" s="81">
        <v>72270</v>
      </c>
      <c r="C40" s="70" t="str">
        <f>CONCATENATE("PSD - ",C34)</f>
        <v>PSD - Gundavali_1</v>
      </c>
      <c r="D40" s="165" t="s">
        <v>1042</v>
      </c>
      <c r="E40" s="70" t="str">
        <f t="shared" si="7"/>
        <v>MMRBEM_7_UP</v>
      </c>
      <c r="F40" s="70">
        <v>0</v>
      </c>
      <c r="G40" s="152">
        <f t="shared" si="8"/>
        <v>-37.260999999999996</v>
      </c>
      <c r="H40" s="159">
        <f t="shared" si="6"/>
        <v>-37.260999999999996</v>
      </c>
      <c r="I40" s="232">
        <f>IF("generated"=1, "Path=MMRBEM_7_UP, Scaled Offset=-37.26099999999999567990016657859087", 480.26770760169)</f>
        <v>480.26770760169001</v>
      </c>
      <c r="K40" s="76" t="str">
        <f t="shared" si="9"/>
        <v>BOTH</v>
      </c>
      <c r="M40" s="168">
        <f>M39-0.5</f>
        <v>2</v>
      </c>
      <c r="N40" s="168"/>
      <c r="O40" s="168"/>
      <c r="P40" s="168"/>
      <c r="Q40" s="168"/>
      <c r="R40" s="165"/>
      <c r="S40" s="165" t="s">
        <v>1043</v>
      </c>
      <c r="T40" s="165" t="str">
        <f>_xlfn.CONCAT("PSD_",T35)</f>
        <v>PSD_GUN_PAS1</v>
      </c>
      <c r="U40" s="165" t="s">
        <v>926</v>
      </c>
      <c r="V40" s="165">
        <f>B34</f>
        <v>72007</v>
      </c>
      <c r="W40" s="165"/>
      <c r="X40" s="165"/>
    </row>
    <row r="41" spans="1:29" s="164" customFormat="1" x14ac:dyDescent="0.2">
      <c r="A41" s="224" t="s">
        <v>129</v>
      </c>
      <c r="B41">
        <v>72177</v>
      </c>
      <c r="C41" s="163" t="s">
        <v>941</v>
      </c>
      <c r="D41" s="140" t="s">
        <v>928</v>
      </c>
      <c r="E41" s="140" t="s">
        <v>84</v>
      </c>
      <c r="F41" s="140"/>
      <c r="G41" s="144">
        <f>G42-22.2</f>
        <v>88.32</v>
      </c>
      <c r="H41" s="161">
        <f t="shared" ref="H41:H46" si="11">G41+F41</f>
        <v>88.32</v>
      </c>
      <c r="I41" s="230">
        <f>IF("generated"=1, "Path=Track_20_2_Track_1, Scaled Offset=88.319999999999993178789736703038216", 88.3199999999999)</f>
        <v>88.319999999999894</v>
      </c>
      <c r="J41"/>
      <c r="K41"/>
      <c r="L41">
        <v>1</v>
      </c>
      <c r="M41" s="168"/>
      <c r="N41" s="168"/>
      <c r="O41" s="168"/>
      <c r="P41" s="169"/>
      <c r="Q41" s="168"/>
      <c r="R41" s="165" t="s">
        <v>1041</v>
      </c>
      <c r="S41" s="140" t="s">
        <v>926</v>
      </c>
      <c r="T41" s="143">
        <f>B34</f>
        <v>72007</v>
      </c>
      <c r="U41" s="140" t="s">
        <v>61</v>
      </c>
      <c r="V41" s="143" t="str">
        <f>X34</f>
        <v>GUN</v>
      </c>
      <c r="W41" s="140" t="s">
        <v>927</v>
      </c>
      <c r="X41" s="164">
        <v>1</v>
      </c>
    </row>
    <row r="42" spans="1:29" s="164" customFormat="1" x14ac:dyDescent="0.2">
      <c r="A42" s="224" t="s">
        <v>129</v>
      </c>
      <c r="B42">
        <v>72178</v>
      </c>
      <c r="C42" s="163" t="s">
        <v>939</v>
      </c>
      <c r="D42" s="140" t="s">
        <v>928</v>
      </c>
      <c r="E42" s="140" t="s">
        <v>84</v>
      </c>
      <c r="F42" s="140"/>
      <c r="G42" s="144">
        <v>110.52</v>
      </c>
      <c r="H42" s="161">
        <f t="shared" si="11"/>
        <v>110.52</v>
      </c>
      <c r="I42" s="230">
        <f>IF("generated"=1, "Path=Track_20_2_Track_1, Scaled Offset=110.51999999999999602096067974343896", 110.519999999999)</f>
        <v>110.519999999999</v>
      </c>
      <c r="J42"/>
      <c r="K42"/>
      <c r="L42">
        <v>1</v>
      </c>
      <c r="M42" s="168"/>
      <c r="N42" s="168"/>
      <c r="O42" s="168"/>
      <c r="P42" s="169"/>
      <c r="Q42" s="168"/>
      <c r="R42" s="165" t="s">
        <v>1041</v>
      </c>
      <c r="S42" s="140" t="s">
        <v>926</v>
      </c>
      <c r="T42" s="143">
        <f>T41</f>
        <v>72007</v>
      </c>
      <c r="U42" s="140" t="s">
        <v>61</v>
      </c>
      <c r="V42" s="143" t="str">
        <f>V41</f>
        <v>GUN</v>
      </c>
      <c r="W42" s="140" t="s">
        <v>927</v>
      </c>
      <c r="X42" s="164">
        <v>1</v>
      </c>
    </row>
    <row r="43" spans="1:29" s="164" customFormat="1" x14ac:dyDescent="0.2">
      <c r="A43" s="224" t="s">
        <v>129</v>
      </c>
      <c r="B43">
        <v>72179</v>
      </c>
      <c r="C43" s="163" t="s">
        <v>940</v>
      </c>
      <c r="D43" s="140" t="s">
        <v>928</v>
      </c>
      <c r="E43" s="140" t="s">
        <v>84</v>
      </c>
      <c r="F43" s="140"/>
      <c r="G43" s="144">
        <v>247</v>
      </c>
      <c r="H43" s="161">
        <f t="shared" si="11"/>
        <v>247</v>
      </c>
      <c r="I43" s="230">
        <f>IF("generated"=1, "Path=Track_20_2_Track_1, Scaled Offset=247", 247)</f>
        <v>247</v>
      </c>
      <c r="J43"/>
      <c r="K43"/>
      <c r="M43" s="168"/>
      <c r="N43" s="168"/>
      <c r="O43" s="168"/>
      <c r="P43" s="169"/>
      <c r="Q43" s="168"/>
      <c r="R43" s="165" t="s">
        <v>1041</v>
      </c>
      <c r="S43" s="140" t="s">
        <v>926</v>
      </c>
      <c r="T43" s="143">
        <f>T42</f>
        <v>72007</v>
      </c>
      <c r="U43" s="140" t="s">
        <v>61</v>
      </c>
      <c r="V43" s="143" t="str">
        <f>V42</f>
        <v>GUN</v>
      </c>
      <c r="W43" s="140" t="s">
        <v>927</v>
      </c>
      <c r="X43" s="164">
        <v>2</v>
      </c>
    </row>
    <row r="44" spans="1:29" s="164" customFormat="1" x14ac:dyDescent="0.2">
      <c r="A44" s="224" t="s">
        <v>129</v>
      </c>
      <c r="B44">
        <v>72180</v>
      </c>
      <c r="C44" s="163" t="s">
        <v>942</v>
      </c>
      <c r="D44" s="140" t="s">
        <v>928</v>
      </c>
      <c r="E44" s="140" t="s">
        <v>84</v>
      </c>
      <c r="F44" s="140"/>
      <c r="G44" s="144">
        <f>G43+22.2</f>
        <v>269.2</v>
      </c>
      <c r="H44" s="161">
        <f t="shared" si="11"/>
        <v>269.2</v>
      </c>
      <c r="I44" s="230">
        <f>IF("generated"=1, "Path=Track_20_2_Track_1, Scaled Offset=269.19999999999998863131622783839703", 269.199999999999)</f>
        <v>269.19999999999902</v>
      </c>
      <c r="J44"/>
      <c r="K44"/>
      <c r="M44" s="168"/>
      <c r="N44" s="168"/>
      <c r="O44" s="168"/>
      <c r="P44" s="169"/>
      <c r="Q44" s="168"/>
      <c r="R44" s="165" t="s">
        <v>1041</v>
      </c>
      <c r="S44" s="140" t="s">
        <v>926</v>
      </c>
      <c r="T44" s="143">
        <f>T43</f>
        <v>72007</v>
      </c>
      <c r="U44" s="140" t="s">
        <v>61</v>
      </c>
      <c r="V44" s="143" t="str">
        <f>V43</f>
        <v>GUN</v>
      </c>
      <c r="W44" s="140" t="s">
        <v>927</v>
      </c>
      <c r="X44" s="164">
        <v>2</v>
      </c>
    </row>
    <row r="45" spans="1:29" s="61" customFormat="1" x14ac:dyDescent="0.2">
      <c r="A45" s="224" t="s">
        <v>930</v>
      </c>
      <c r="B45" s="81">
        <v>72000</v>
      </c>
      <c r="C45" s="61" t="str">
        <f>LEFT(C34,LEN(C34)-2)</f>
        <v>Gundavali</v>
      </c>
      <c r="E45" s="61" t="s">
        <v>84</v>
      </c>
      <c r="G45" s="153">
        <v>83</v>
      </c>
      <c r="H45" s="61">
        <f t="shared" si="11"/>
        <v>83</v>
      </c>
      <c r="I45" s="232">
        <f>IF("generated"=1, "Path=Track_20_2_Track_1, Scaled Offset=83", 83)</f>
        <v>83</v>
      </c>
      <c r="J45" s="89"/>
      <c r="M45" s="88"/>
      <c r="N45" s="88"/>
      <c r="O45" s="88"/>
      <c r="P45" s="88"/>
      <c r="Q45" s="88"/>
      <c r="S45" s="61" t="s">
        <v>41</v>
      </c>
      <c r="T45" s="87">
        <v>40</v>
      </c>
      <c r="V45" s="87"/>
    </row>
    <row r="46" spans="1:29" s="61" customFormat="1" x14ac:dyDescent="0.2">
      <c r="A46" s="224" t="s">
        <v>930</v>
      </c>
      <c r="B46" s="81">
        <v>72000</v>
      </c>
      <c r="C46" s="61" t="str">
        <f>C45</f>
        <v>Gundavali</v>
      </c>
      <c r="E46" s="61" t="s">
        <v>84</v>
      </c>
      <c r="G46" s="153">
        <v>273</v>
      </c>
      <c r="H46" s="61">
        <f t="shared" si="11"/>
        <v>273</v>
      </c>
      <c r="I46" s="232">
        <f>IF("generated"=1, "Path=Track_20_2_Track_1, Scaled Offset=273", 273)</f>
        <v>273</v>
      </c>
      <c r="J46" s="89"/>
      <c r="M46" s="88"/>
      <c r="N46" s="88"/>
      <c r="O46" s="88"/>
      <c r="P46" s="88"/>
      <c r="Q46" s="88"/>
      <c r="S46" s="61" t="s">
        <v>41</v>
      </c>
      <c r="T46" s="87">
        <v>40</v>
      </c>
      <c r="V46" s="87"/>
    </row>
    <row r="48" spans="1:29" s="62" customFormat="1" x14ac:dyDescent="0.2">
      <c r="A48" s="224" t="s">
        <v>129</v>
      </c>
      <c r="B48" s="154">
        <v>72013</v>
      </c>
      <c r="C48" s="61" t="s">
        <v>299</v>
      </c>
      <c r="D48" s="62" t="s">
        <v>69</v>
      </c>
      <c r="G48" s="149"/>
      <c r="H48" s="158"/>
      <c r="I48" s="162"/>
      <c r="M48" s="63"/>
      <c r="N48" s="63"/>
      <c r="O48" s="63"/>
      <c r="P48" s="63"/>
      <c r="Q48" s="63"/>
      <c r="T48" s="64"/>
      <c r="V48" s="64"/>
    </row>
    <row r="49" spans="1:29" s="60" customFormat="1" x14ac:dyDescent="0.2">
      <c r="A49" s="224"/>
      <c r="B49" s="81"/>
      <c r="C49" s="60" t="s">
        <v>300</v>
      </c>
      <c r="D49" s="60" t="s">
        <v>51</v>
      </c>
      <c r="E49" t="s">
        <v>188</v>
      </c>
      <c r="G49" s="150">
        <v>1472.17</v>
      </c>
      <c r="H49" s="159">
        <f>G49+F49</f>
        <v>1472.17</v>
      </c>
      <c r="I49" s="90">
        <f>IF("generated"=1, "Path=Intermodal_Coronel_Platform_2_2, Scaled Offset=160.40000000000000568434188608080149", 160.4)</f>
        <v>160.4</v>
      </c>
      <c r="J49" s="65"/>
      <c r="K49" s="60" t="s">
        <v>64</v>
      </c>
      <c r="M49" s="66">
        <v>-2.5</v>
      </c>
      <c r="N49" s="66">
        <v>0</v>
      </c>
      <c r="O49" s="66"/>
      <c r="P49" s="66"/>
      <c r="Q49" s="66"/>
      <c r="R49" s="60" t="str">
        <f>$E$3</f>
        <v>Red</v>
      </c>
      <c r="S49" s="60" t="s">
        <v>68</v>
      </c>
      <c r="T49" s="67" t="str">
        <f>C49</f>
        <v>Mogra_S1</v>
      </c>
      <c r="U49" s="60" t="s">
        <v>50</v>
      </c>
      <c r="V49" s="67">
        <v>0</v>
      </c>
      <c r="W49" s="60" t="s">
        <v>67</v>
      </c>
      <c r="X49" s="60">
        <v>1</v>
      </c>
      <c r="Y49" s="60" t="s">
        <v>66</v>
      </c>
      <c r="Z49" s="60">
        <v>1</v>
      </c>
      <c r="AA49" s="61" t="s">
        <v>299</v>
      </c>
      <c r="AB49" s="74" t="s">
        <v>302</v>
      </c>
      <c r="AC49" s="60">
        <v>2</v>
      </c>
    </row>
    <row r="50" spans="1:29" s="60" customFormat="1" x14ac:dyDescent="0.2">
      <c r="A50" s="224"/>
      <c r="B50" s="81"/>
      <c r="C50" s="60" t="str">
        <f>AA50&amp;"_"&amp;AC50</f>
        <v>Mogra_2</v>
      </c>
      <c r="D50" s="60" t="s">
        <v>51</v>
      </c>
      <c r="E50" t="s">
        <v>188</v>
      </c>
      <c r="G50" s="151">
        <f>AVERAGE(H49,H51)</f>
        <v>1564.67</v>
      </c>
      <c r="H50" s="159">
        <f>F50+G50</f>
        <v>1564.67</v>
      </c>
      <c r="I50" s="90">
        <f>IF("generated"=1, "Path=East_Central_Line1_5, Scaled Offset=69.5", 69.5)</f>
        <v>69.5</v>
      </c>
      <c r="J50" s="65"/>
      <c r="K50" s="60" t="s">
        <v>64</v>
      </c>
      <c r="M50" s="66">
        <f>M49</f>
        <v>-2.5</v>
      </c>
      <c r="N50" s="66">
        <v>0</v>
      </c>
      <c r="O50" s="66"/>
      <c r="P50" s="66"/>
      <c r="Q50" s="66"/>
      <c r="R50" s="60" t="str">
        <f>$E$4</f>
        <v>Green</v>
      </c>
      <c r="S50" s="60" t="s">
        <v>68</v>
      </c>
      <c r="T50" s="67" t="str">
        <f>C50</f>
        <v>Mogra_2</v>
      </c>
      <c r="U50" s="60" t="s">
        <v>50</v>
      </c>
      <c r="V50" s="67">
        <v>0</v>
      </c>
      <c r="W50" s="60" t="s">
        <v>67</v>
      </c>
      <c r="X50" s="60">
        <v>1</v>
      </c>
      <c r="Y50" s="60" t="s">
        <v>66</v>
      </c>
      <c r="Z50" s="60">
        <v>1</v>
      </c>
      <c r="AA50" s="60" t="str">
        <f>AA49</f>
        <v>Mogra</v>
      </c>
      <c r="AB50" s="60" t="str">
        <f>AB49</f>
        <v>MOG</v>
      </c>
      <c r="AC50" s="60">
        <f>AC49</f>
        <v>2</v>
      </c>
    </row>
    <row r="51" spans="1:29" s="60" customFormat="1" x14ac:dyDescent="0.2">
      <c r="A51" s="224"/>
      <c r="B51" s="81"/>
      <c r="C51" s="60" t="s">
        <v>301</v>
      </c>
      <c r="D51" s="60" t="s">
        <v>51</v>
      </c>
      <c r="E51" t="s">
        <v>188</v>
      </c>
      <c r="G51" s="150">
        <v>1657.17</v>
      </c>
      <c r="H51" s="159">
        <f>G51+F51</f>
        <v>1657.17</v>
      </c>
      <c r="I51" s="90">
        <f>IF("generated"=1, "Path=Intermodal_Coronel_Platform_2_2, Scaled Offset=231", 231)</f>
        <v>231</v>
      </c>
      <c r="J51" s="65"/>
      <c r="K51" s="60" t="s">
        <v>64</v>
      </c>
      <c r="M51" s="66">
        <v>-2.5</v>
      </c>
      <c r="N51" s="66">
        <v>0</v>
      </c>
      <c r="O51" s="66"/>
      <c r="P51" s="66"/>
      <c r="Q51" s="66"/>
      <c r="R51" s="60" t="str">
        <f>$E$3</f>
        <v>Red</v>
      </c>
      <c r="S51" s="60" t="s">
        <v>68</v>
      </c>
      <c r="T51" s="67" t="str">
        <f>C51</f>
        <v>Mogra_E1</v>
      </c>
      <c r="U51" s="60" t="s">
        <v>50</v>
      </c>
      <c r="V51" s="67">
        <v>0</v>
      </c>
      <c r="W51" s="60" t="s">
        <v>67</v>
      </c>
      <c r="X51" s="60">
        <v>1</v>
      </c>
      <c r="Y51" s="60" t="s">
        <v>66</v>
      </c>
      <c r="Z51" s="60">
        <v>1</v>
      </c>
      <c r="AA51" s="61" t="s">
        <v>299</v>
      </c>
      <c r="AB51" s="74" t="s">
        <v>302</v>
      </c>
      <c r="AC51" s="60">
        <v>2</v>
      </c>
    </row>
    <row r="52" spans="1:29" s="70" customFormat="1" x14ac:dyDescent="0.2">
      <c r="A52" s="224" t="s">
        <v>129</v>
      </c>
      <c r="B52" s="154">
        <v>72014</v>
      </c>
      <c r="C52" s="68" t="str">
        <f>C50</f>
        <v>Mogra_2</v>
      </c>
      <c r="D52" s="69" t="s">
        <v>65</v>
      </c>
      <c r="E52" s="70" t="str">
        <f>E50</f>
        <v>MMRBEM_7_DOWN</v>
      </c>
      <c r="F52" s="70">
        <f>F50</f>
        <v>0</v>
      </c>
      <c r="G52" s="152">
        <f>H50</f>
        <v>1564.67</v>
      </c>
      <c r="H52" s="159">
        <f t="shared" ref="H52:H58" si="12">F52+G52</f>
        <v>1564.67</v>
      </c>
      <c r="I52" s="232">
        <f>IF("generated"=1, "Path=MMRBEM_7_DOWN, Scaled Offset=1564.670000000000072759576141834259", 2056.87418562543)</f>
        <v>2056.8741856254301</v>
      </c>
      <c r="K52" s="69" t="s">
        <v>64</v>
      </c>
      <c r="M52" s="71">
        <f>2*M50</f>
        <v>-5</v>
      </c>
      <c r="N52" s="71">
        <v>0</v>
      </c>
      <c r="O52" s="71"/>
      <c r="P52" s="71">
        <v>0</v>
      </c>
      <c r="Q52" s="71">
        <v>0</v>
      </c>
      <c r="S52" s="69" t="s">
        <v>63</v>
      </c>
      <c r="T52" s="72">
        <f>ABS(H51-H49)</f>
        <v>185</v>
      </c>
      <c r="U52" s="69" t="s">
        <v>62</v>
      </c>
      <c r="V52" s="73" t="str">
        <f>C52</f>
        <v>Mogra_2</v>
      </c>
      <c r="W52" s="68" t="s">
        <v>61</v>
      </c>
      <c r="X52" s="74" t="s">
        <v>302</v>
      </c>
      <c r="Y52" s="74" t="s">
        <v>60</v>
      </c>
      <c r="Z52" s="70" t="str">
        <f>LEFT(V52, LEN(V52)-2)</f>
        <v>Mogra</v>
      </c>
    </row>
    <row r="53" spans="1:29" s="70" customFormat="1" x14ac:dyDescent="0.2">
      <c r="A53" s="224" t="s">
        <v>129</v>
      </c>
      <c r="B53" s="154">
        <v>72015</v>
      </c>
      <c r="C53" s="70" t="str">
        <f>CONCATENATE("Platform Passenger - ",C52)</f>
        <v>Platform Passenger - Mogra_2</v>
      </c>
      <c r="D53" s="75" t="s">
        <v>59</v>
      </c>
      <c r="E53" s="70" t="str">
        <f t="shared" ref="E53:E58" si="13">E52</f>
        <v>MMRBEM_7_DOWN</v>
      </c>
      <c r="F53" s="70">
        <v>0</v>
      </c>
      <c r="G53" s="152">
        <f t="shared" ref="G53:G58" si="14">G52</f>
        <v>1564.67</v>
      </c>
      <c r="H53" s="159">
        <f t="shared" si="12"/>
        <v>1564.67</v>
      </c>
      <c r="I53" s="232">
        <f>IF("generated"=1, "Path=MMRBEM_7_DOWN, Scaled Offset=1564.670000000000072759576141834259", 2056.87418562543)</f>
        <v>2056.8741856254301</v>
      </c>
      <c r="K53" s="76" t="str">
        <f t="shared" ref="K53:K58" si="15">K52</f>
        <v>BOTH</v>
      </c>
      <c r="M53" s="77">
        <f>M52/2</f>
        <v>-2.5</v>
      </c>
      <c r="N53" s="77">
        <f>N52</f>
        <v>0</v>
      </c>
      <c r="O53" s="77"/>
      <c r="P53" s="77">
        <v>270</v>
      </c>
      <c r="Q53" s="77">
        <f>Q52</f>
        <v>0</v>
      </c>
      <c r="R53" s="75" t="s">
        <v>1091</v>
      </c>
      <c r="S53" s="70" t="s">
        <v>58</v>
      </c>
      <c r="T53" s="78" t="str">
        <f>CONCATENATE(X52,"_PAS"&amp;AC51)</f>
        <v>MOG_PAS2</v>
      </c>
      <c r="V53" s="79"/>
    </row>
    <row r="54" spans="1:29" s="70" customFormat="1" x14ac:dyDescent="0.2">
      <c r="A54" s="224" t="s">
        <v>129</v>
      </c>
      <c r="B54" s="154">
        <v>72016</v>
      </c>
      <c r="C54" s="70" t="str">
        <f>CONCATENATE("Passenger Alighting - ",C52)</f>
        <v>Passenger Alighting - Mogra_2</v>
      </c>
      <c r="D54" s="75" t="s">
        <v>57</v>
      </c>
      <c r="E54" s="70" t="str">
        <f t="shared" si="13"/>
        <v>MMRBEM_7_DOWN</v>
      </c>
      <c r="F54" s="70">
        <v>0</v>
      </c>
      <c r="G54" s="152">
        <f t="shared" si="14"/>
        <v>1564.67</v>
      </c>
      <c r="H54" s="159">
        <f t="shared" si="12"/>
        <v>1564.67</v>
      </c>
      <c r="I54" s="232">
        <f>IF("generated"=1, "Path=MMRBEM_7_DOWN, Scaled Offset=1564.670000000000072759576141834259", 2056.87418562543)</f>
        <v>2056.8741856254301</v>
      </c>
      <c r="K54" s="76" t="str">
        <f t="shared" si="15"/>
        <v>BOTH</v>
      </c>
      <c r="M54" s="77">
        <f>M53</f>
        <v>-2.5</v>
      </c>
      <c r="N54" s="77">
        <f>N53</f>
        <v>0</v>
      </c>
      <c r="O54" s="77"/>
      <c r="P54" s="77">
        <v>270</v>
      </c>
      <c r="Q54" s="77">
        <f>Q53</f>
        <v>0</v>
      </c>
      <c r="R54" s="75" t="s">
        <v>1091</v>
      </c>
      <c r="S54" s="70" t="s">
        <v>56</v>
      </c>
      <c r="T54" s="78">
        <f>B53</f>
        <v>72015</v>
      </c>
      <c r="V54" s="79"/>
    </row>
    <row r="55" spans="1:29" s="70" customFormat="1" x14ac:dyDescent="0.2">
      <c r="A55" s="224" t="s">
        <v>129</v>
      </c>
      <c r="B55" s="154">
        <v>72017</v>
      </c>
      <c r="C55" s="70" t="str">
        <f>CONCATENATE("Passenger Arriving - ",C50)</f>
        <v>Passenger Arriving - Mogra_2</v>
      </c>
      <c r="D55" s="75" t="s">
        <v>55</v>
      </c>
      <c r="E55" s="70" t="str">
        <f t="shared" si="13"/>
        <v>MMRBEM_7_DOWN</v>
      </c>
      <c r="F55" s="70">
        <v>0</v>
      </c>
      <c r="G55" s="152">
        <f t="shared" si="14"/>
        <v>1564.67</v>
      </c>
      <c r="H55" s="159">
        <f t="shared" si="12"/>
        <v>1564.67</v>
      </c>
      <c r="I55" s="232">
        <f>IF("generated"=1, "Path=MMRBEM_7_DOWN, Scaled Offset=1564.670000000000072759576141834259", 2056.87418562543)</f>
        <v>2056.8741856254301</v>
      </c>
      <c r="K55" s="76" t="str">
        <f t="shared" si="15"/>
        <v>BOTH</v>
      </c>
      <c r="M55" s="77">
        <f>M54</f>
        <v>-2.5</v>
      </c>
      <c r="N55" s="77">
        <f>N54</f>
        <v>0</v>
      </c>
      <c r="O55" s="77"/>
      <c r="P55" s="77">
        <v>270</v>
      </c>
      <c r="Q55" s="77">
        <f>Q54</f>
        <v>0</v>
      </c>
      <c r="R55" s="75" t="s">
        <v>52</v>
      </c>
      <c r="S55" s="70" t="str">
        <f t="shared" ref="S55:T55" si="16">S54</f>
        <v>Parent ID</v>
      </c>
      <c r="T55" s="78">
        <f t="shared" si="16"/>
        <v>72015</v>
      </c>
      <c r="V55" s="79"/>
    </row>
    <row r="56" spans="1:29" s="70" customFormat="1" x14ac:dyDescent="0.2">
      <c r="A56" s="224" t="s">
        <v>129</v>
      </c>
      <c r="B56" s="154">
        <v>72018</v>
      </c>
      <c r="C56" s="70" t="str">
        <f>CONCATENATE("Passenger Intoxicated - ",C52)</f>
        <v>Passenger Intoxicated - Mogra_2</v>
      </c>
      <c r="D56" s="75" t="s">
        <v>54</v>
      </c>
      <c r="E56" s="70" t="str">
        <f t="shared" si="13"/>
        <v>MMRBEM_7_DOWN</v>
      </c>
      <c r="F56" s="70">
        <v>0</v>
      </c>
      <c r="G56" s="152">
        <f t="shared" si="14"/>
        <v>1564.67</v>
      </c>
      <c r="H56" s="159">
        <f t="shared" si="12"/>
        <v>1564.67</v>
      </c>
      <c r="I56" s="232">
        <f>IF("generated"=1, "Path=MMRBEM_7_DOWN, Scaled Offset=1564.670000000000072759576141834259", 2056.87418562543)</f>
        <v>2056.8741856254301</v>
      </c>
      <c r="K56" s="76" t="str">
        <f t="shared" si="15"/>
        <v>BOTH</v>
      </c>
      <c r="M56" s="77">
        <f>M55</f>
        <v>-2.5</v>
      </c>
      <c r="N56" s="77">
        <f>N55</f>
        <v>0</v>
      </c>
      <c r="O56" s="77"/>
      <c r="P56" s="77">
        <v>270</v>
      </c>
      <c r="Q56" s="77">
        <f>Q55</f>
        <v>0</v>
      </c>
      <c r="R56" s="75" t="s">
        <v>52</v>
      </c>
      <c r="S56" s="70" t="str">
        <f t="shared" ref="S56:T56" si="17">S55</f>
        <v>Parent ID</v>
      </c>
      <c r="T56" s="78">
        <f t="shared" si="17"/>
        <v>72015</v>
      </c>
      <c r="V56" s="79"/>
    </row>
    <row r="57" spans="1:29" s="70" customFormat="1" x14ac:dyDescent="0.2">
      <c r="A57" s="224" t="s">
        <v>129</v>
      </c>
      <c r="B57" s="154">
        <v>72019</v>
      </c>
      <c r="C57" s="70" t="str">
        <f>CONCATENATE("Passenger Pram - ",C52)</f>
        <v>Passenger Pram - Mogra_2</v>
      </c>
      <c r="D57" s="75" t="s">
        <v>53</v>
      </c>
      <c r="E57" s="70" t="str">
        <f t="shared" si="13"/>
        <v>MMRBEM_7_DOWN</v>
      </c>
      <c r="F57" s="70">
        <v>0</v>
      </c>
      <c r="G57" s="152">
        <f t="shared" si="14"/>
        <v>1564.67</v>
      </c>
      <c r="H57" s="159">
        <f t="shared" si="12"/>
        <v>1564.67</v>
      </c>
      <c r="I57" s="232">
        <f>IF("generated"=1, "Path=MMRBEM_7_DOWN, Scaled Offset=1564.670000000000072759576141834259", 2056.87418562543)</f>
        <v>2056.8741856254301</v>
      </c>
      <c r="K57" s="76" t="str">
        <f t="shared" si="15"/>
        <v>BOTH</v>
      </c>
      <c r="M57" s="77">
        <f>M56</f>
        <v>-2.5</v>
      </c>
      <c r="N57" s="77">
        <f>N56</f>
        <v>0</v>
      </c>
      <c r="O57" s="77"/>
      <c r="P57" s="77">
        <v>270</v>
      </c>
      <c r="Q57" s="77">
        <f>Q56</f>
        <v>0</v>
      </c>
      <c r="R57" s="75" t="s">
        <v>52</v>
      </c>
      <c r="S57" s="70" t="str">
        <f t="shared" ref="S57:T57" si="18">S56</f>
        <v>Parent ID</v>
      </c>
      <c r="T57" s="78">
        <f t="shared" si="18"/>
        <v>72015</v>
      </c>
      <c r="V57" s="79"/>
    </row>
    <row r="58" spans="1:29" s="164" customFormat="1" x14ac:dyDescent="0.2">
      <c r="A58" s="224" t="s">
        <v>129</v>
      </c>
      <c r="B58" s="81">
        <v>72271</v>
      </c>
      <c r="C58" s="70" t="str">
        <f>CONCATENATE("PSD - ",C52)</f>
        <v>PSD - Mogra_2</v>
      </c>
      <c r="D58" s="165" t="s">
        <v>1042</v>
      </c>
      <c r="E58" s="70" t="str">
        <f t="shared" si="13"/>
        <v>MMRBEM_7_DOWN</v>
      </c>
      <c r="F58" s="70">
        <v>0</v>
      </c>
      <c r="G58" s="152">
        <f t="shared" si="14"/>
        <v>1564.67</v>
      </c>
      <c r="H58" s="159">
        <f t="shared" si="12"/>
        <v>1564.67</v>
      </c>
      <c r="I58" s="232">
        <f>IF("generated"=1, "Path=MMRBEM_7_DOWN, Scaled Offset=1564.670000000000072759576141834259", 2056.87418562543)</f>
        <v>2056.8741856254301</v>
      </c>
      <c r="K58" s="76" t="str">
        <f t="shared" si="15"/>
        <v>BOTH</v>
      </c>
      <c r="M58" s="168">
        <f>M57+0.5</f>
        <v>-2</v>
      </c>
      <c r="N58" s="168"/>
      <c r="O58" s="168"/>
      <c r="P58" s="168"/>
      <c r="Q58" s="168"/>
      <c r="R58" s="165"/>
      <c r="S58" s="165" t="s">
        <v>1043</v>
      </c>
      <c r="T58" s="165" t="str">
        <f>_xlfn.CONCAT("PSD_",T53)</f>
        <v>PSD_MOG_PAS2</v>
      </c>
      <c r="U58" s="165" t="s">
        <v>926</v>
      </c>
      <c r="V58" s="165">
        <f>B52</f>
        <v>72014</v>
      </c>
      <c r="W58" s="165"/>
      <c r="X58" s="165"/>
    </row>
    <row r="59" spans="1:29" s="164" customFormat="1" x14ac:dyDescent="0.2">
      <c r="A59" s="224" t="s">
        <v>129</v>
      </c>
      <c r="B59">
        <v>72181</v>
      </c>
      <c r="C59" t="s">
        <v>943</v>
      </c>
      <c r="D59" s="140" t="s">
        <v>928</v>
      </c>
      <c r="E59" s="140" t="s">
        <v>123</v>
      </c>
      <c r="F59"/>
      <c r="G59" s="116">
        <f>G60-22.2</f>
        <v>1249.5999999999999</v>
      </c>
      <c r="H59" s="161">
        <f t="shared" ref="H59:H62" si="19">G59+F59</f>
        <v>1249.5999999999999</v>
      </c>
      <c r="I59" s="230">
        <f>IF("generated"=1, "Path=Track_10_3, Scaled Offset=1249.5999999999999090505298227071762", 1249.59999999999)</f>
        <v>1249.5999999999899</v>
      </c>
      <c r="J59"/>
      <c r="K59"/>
      <c r="L59">
        <v>1</v>
      </c>
      <c r="M59" s="168"/>
      <c r="N59" s="168"/>
      <c r="O59" s="168"/>
      <c r="P59" s="168"/>
      <c r="Q59" s="168"/>
      <c r="R59" s="165" t="s">
        <v>1041</v>
      </c>
      <c r="S59" s="140" t="s">
        <v>926</v>
      </c>
      <c r="T59" s="143">
        <f>B52</f>
        <v>72014</v>
      </c>
      <c r="U59" s="140" t="s">
        <v>61</v>
      </c>
      <c r="V59" s="143" t="str">
        <f>X52</f>
        <v>MOG</v>
      </c>
      <c r="W59" s="140" t="s">
        <v>927</v>
      </c>
      <c r="X59">
        <v>2</v>
      </c>
    </row>
    <row r="60" spans="1:29" s="164" customFormat="1" x14ac:dyDescent="0.2">
      <c r="A60" s="224" t="s">
        <v>129</v>
      </c>
      <c r="B60">
        <v>72182</v>
      </c>
      <c r="C60" t="s">
        <v>944</v>
      </c>
      <c r="D60" s="140" t="s">
        <v>928</v>
      </c>
      <c r="E60" s="140" t="s">
        <v>123</v>
      </c>
      <c r="F60"/>
      <c r="G60" s="116">
        <v>1271.8</v>
      </c>
      <c r="H60" s="161">
        <f t="shared" si="19"/>
        <v>1271.8</v>
      </c>
      <c r="I60" s="230">
        <f>IF("generated"=1, "Path=Track_10_3, Scaled Offset=1271.7999999999999545252649113535881", 1271.79999999999)</f>
        <v>1271.79999999999</v>
      </c>
      <c r="J60"/>
      <c r="K60"/>
      <c r="L60">
        <v>1</v>
      </c>
      <c r="M60" s="168"/>
      <c r="N60" s="168"/>
      <c r="O60" s="168"/>
      <c r="P60" s="168"/>
      <c r="Q60" s="168"/>
      <c r="R60" s="165" t="s">
        <v>1041</v>
      </c>
      <c r="S60" s="140" t="s">
        <v>926</v>
      </c>
      <c r="T60" s="143">
        <f>T59</f>
        <v>72014</v>
      </c>
      <c r="U60" s="140" t="s">
        <v>61</v>
      </c>
      <c r="V60" s="143" t="str">
        <f>V59</f>
        <v>MOG</v>
      </c>
      <c r="W60" s="140" t="s">
        <v>927</v>
      </c>
      <c r="X60">
        <v>2</v>
      </c>
    </row>
    <row r="61" spans="1:29" s="164" customFormat="1" x14ac:dyDescent="0.2">
      <c r="A61" s="224" t="s">
        <v>129</v>
      </c>
      <c r="B61">
        <v>72183</v>
      </c>
      <c r="C61" t="s">
        <v>945</v>
      </c>
      <c r="D61" s="140" t="s">
        <v>928</v>
      </c>
      <c r="E61" s="140" t="s">
        <v>123</v>
      </c>
      <c r="F61"/>
      <c r="G61" s="116">
        <v>1407.99</v>
      </c>
      <c r="H61" s="161">
        <f t="shared" si="19"/>
        <v>1407.99</v>
      </c>
      <c r="I61" s="230">
        <f>IF("generated"=1, "Path=Track_10_3, Scaled Offset=1407.9900000000000090949470177292824", 1407.99)</f>
        <v>1407.99</v>
      </c>
      <c r="J61"/>
      <c r="K61"/>
      <c r="L61"/>
      <c r="M61" s="168"/>
      <c r="N61" s="168"/>
      <c r="O61" s="168"/>
      <c r="P61" s="168"/>
      <c r="Q61" s="168"/>
      <c r="R61" s="165" t="s">
        <v>1041</v>
      </c>
      <c r="S61" s="140" t="s">
        <v>926</v>
      </c>
      <c r="T61" s="143">
        <f>T60</f>
        <v>72014</v>
      </c>
      <c r="U61" s="140" t="s">
        <v>61</v>
      </c>
      <c r="V61" s="143" t="str">
        <f>V60</f>
        <v>MOG</v>
      </c>
      <c r="W61" s="140" t="s">
        <v>927</v>
      </c>
      <c r="X61">
        <v>1</v>
      </c>
    </row>
    <row r="62" spans="1:29" s="164" customFormat="1" x14ac:dyDescent="0.2">
      <c r="A62" s="224" t="s">
        <v>129</v>
      </c>
      <c r="B62">
        <v>72184</v>
      </c>
      <c r="C62" t="s">
        <v>946</v>
      </c>
      <c r="D62" s="140" t="s">
        <v>928</v>
      </c>
      <c r="E62" s="140" t="s">
        <v>123</v>
      </c>
      <c r="F62"/>
      <c r="G62" s="116">
        <f>G61+22.2</f>
        <v>1430.19</v>
      </c>
      <c r="H62" s="161">
        <f t="shared" si="19"/>
        <v>1430.19</v>
      </c>
      <c r="I62" s="230">
        <f>IF("generated"=1, "Path=Track_10_3, Scaled Offset=1430.1900000000000545696821063756943", 1430.19)</f>
        <v>1430.19</v>
      </c>
      <c r="J62"/>
      <c r="K62"/>
      <c r="L62"/>
      <c r="M62" s="168"/>
      <c r="N62" s="168"/>
      <c r="O62" s="168"/>
      <c r="P62" s="168"/>
      <c r="Q62" s="168"/>
      <c r="R62" s="165" t="s">
        <v>1041</v>
      </c>
      <c r="S62" s="140" t="s">
        <v>926</v>
      </c>
      <c r="T62" s="143">
        <f>T61</f>
        <v>72014</v>
      </c>
      <c r="U62" s="140" t="s">
        <v>61</v>
      </c>
      <c r="V62" s="143" t="str">
        <f>V61</f>
        <v>MOG</v>
      </c>
      <c r="W62" s="140" t="s">
        <v>927</v>
      </c>
      <c r="X62">
        <v>1</v>
      </c>
    </row>
    <row r="63" spans="1:29" s="61" customFormat="1" x14ac:dyDescent="0.2">
      <c r="A63" s="224" t="s">
        <v>930</v>
      </c>
      <c r="B63" s="81">
        <v>72013</v>
      </c>
      <c r="C63" s="61" t="str">
        <f>LEFT(C52,LEN(C52)-2)</f>
        <v>Mogra</v>
      </c>
      <c r="E63" s="61" t="s">
        <v>123</v>
      </c>
      <c r="G63" s="153"/>
      <c r="H63" s="160">
        <v>1246</v>
      </c>
      <c r="I63" s="232">
        <f>IF("generated"=1, "Path=Track_10_3, Scaled Offset=1246", 1246)</f>
        <v>1246</v>
      </c>
      <c r="J63" s="89"/>
      <c r="M63" s="88"/>
      <c r="N63" s="88"/>
      <c r="O63" s="88"/>
      <c r="P63" s="88"/>
      <c r="Q63" s="88"/>
      <c r="S63" s="61" t="s">
        <v>41</v>
      </c>
      <c r="T63" s="87">
        <v>40</v>
      </c>
      <c r="V63" s="87"/>
    </row>
    <row r="64" spans="1:29" s="61" customFormat="1" x14ac:dyDescent="0.2">
      <c r="A64" s="224" t="s">
        <v>930</v>
      </c>
      <c r="B64" s="81">
        <v>72013</v>
      </c>
      <c r="C64" s="61" t="str">
        <f>C63</f>
        <v>Mogra</v>
      </c>
      <c r="E64" s="61" t="s">
        <v>123</v>
      </c>
      <c r="G64" s="153"/>
      <c r="H64" s="160">
        <v>1434</v>
      </c>
      <c r="I64" s="232">
        <f>IF("generated"=1, "Path=Track_10_3, Scaled Offset=1434", 1434)</f>
        <v>1434</v>
      </c>
      <c r="J64" s="89"/>
      <c r="M64" s="88"/>
      <c r="N64" s="88"/>
      <c r="O64" s="88"/>
      <c r="P64" s="88"/>
      <c r="Q64" s="88"/>
      <c r="S64" s="61" t="s">
        <v>41</v>
      </c>
      <c r="T64" s="87">
        <v>40</v>
      </c>
      <c r="V64" s="87"/>
    </row>
    <row r="66" spans="1:29" s="62" customFormat="1" x14ac:dyDescent="0.2">
      <c r="A66" s="224" t="s">
        <v>129</v>
      </c>
      <c r="B66" s="154">
        <v>72013</v>
      </c>
      <c r="C66" s="61" t="s">
        <v>299</v>
      </c>
      <c r="D66" s="62" t="s">
        <v>69</v>
      </c>
      <c r="E66" s="94"/>
      <c r="G66" s="149"/>
      <c r="H66" s="158"/>
      <c r="I66" s="162"/>
      <c r="M66" s="63"/>
      <c r="N66" s="63"/>
      <c r="O66" s="63"/>
      <c r="P66" s="63"/>
      <c r="Q66" s="63"/>
      <c r="T66" s="64"/>
      <c r="V66" s="64"/>
    </row>
    <row r="67" spans="1:29" s="60" customFormat="1" x14ac:dyDescent="0.2">
      <c r="A67" s="224"/>
      <c r="B67" s="81"/>
      <c r="C67" s="60" t="s">
        <v>303</v>
      </c>
      <c r="D67" s="60" t="s">
        <v>51</v>
      </c>
      <c r="E67" s="94" t="s">
        <v>187</v>
      </c>
      <c r="G67" s="150">
        <v>1473.288</v>
      </c>
      <c r="H67" s="159">
        <f>G67+F67</f>
        <v>1473.288</v>
      </c>
      <c r="I67" s="90"/>
      <c r="J67" s="65"/>
      <c r="K67" s="60" t="s">
        <v>64</v>
      </c>
      <c r="M67" s="66">
        <v>2.5</v>
      </c>
      <c r="N67" s="66">
        <v>0</v>
      </c>
      <c r="O67" s="66"/>
      <c r="P67" s="66"/>
      <c r="Q67" s="66"/>
      <c r="R67" s="60" t="str">
        <f>$E$3</f>
        <v>Red</v>
      </c>
      <c r="S67" s="60" t="s">
        <v>68</v>
      </c>
      <c r="T67" s="67" t="str">
        <f>C67</f>
        <v>Mogra_S2</v>
      </c>
      <c r="U67" s="60" t="s">
        <v>50</v>
      </c>
      <c r="V67" s="67">
        <v>0</v>
      </c>
      <c r="W67" s="60" t="s">
        <v>67</v>
      </c>
      <c r="X67" s="60">
        <v>1</v>
      </c>
      <c r="Y67" s="60" t="s">
        <v>66</v>
      </c>
      <c r="Z67" s="60">
        <v>1</v>
      </c>
      <c r="AA67" s="60" t="s">
        <v>299</v>
      </c>
      <c r="AB67" s="74" t="s">
        <v>302</v>
      </c>
      <c r="AC67" s="60">
        <v>1</v>
      </c>
    </row>
    <row r="68" spans="1:29" s="60" customFormat="1" x14ac:dyDescent="0.2">
      <c r="A68" s="224"/>
      <c r="B68" s="81"/>
      <c r="C68" s="60" t="str">
        <f>AA68&amp;"_"&amp;AC68</f>
        <v>Mogra_1</v>
      </c>
      <c r="D68" s="60" t="s">
        <v>51</v>
      </c>
      <c r="E68" s="60" t="str">
        <f>E67</f>
        <v>MMRBEM_7_UP</v>
      </c>
      <c r="G68" s="151">
        <f>AVERAGE(H67,H69)</f>
        <v>1565.788</v>
      </c>
      <c r="H68" s="159">
        <f>F68+G68</f>
        <v>1565.788</v>
      </c>
      <c r="I68" s="90"/>
      <c r="J68" s="65"/>
      <c r="K68" s="60" t="s">
        <v>64</v>
      </c>
      <c r="M68" s="66">
        <v>2.5</v>
      </c>
      <c r="N68" s="66">
        <v>0</v>
      </c>
      <c r="O68" s="66"/>
      <c r="P68" s="66"/>
      <c r="Q68" s="66"/>
      <c r="R68" s="60" t="str">
        <f>$E$4</f>
        <v>Green</v>
      </c>
      <c r="S68" s="60" t="s">
        <v>68</v>
      </c>
      <c r="T68" s="67" t="str">
        <f>C68</f>
        <v>Mogra_1</v>
      </c>
      <c r="U68" s="60" t="s">
        <v>50</v>
      </c>
      <c r="V68" s="67">
        <v>0</v>
      </c>
      <c r="W68" s="60" t="s">
        <v>67</v>
      </c>
      <c r="X68" s="60">
        <v>1</v>
      </c>
      <c r="Y68" s="60" t="s">
        <v>66</v>
      </c>
      <c r="Z68" s="60">
        <v>1</v>
      </c>
      <c r="AA68" s="60" t="str">
        <f>AA67</f>
        <v>Mogra</v>
      </c>
      <c r="AB68" s="60" t="str">
        <f>AB67</f>
        <v>MOG</v>
      </c>
      <c r="AC68" s="60">
        <f>AC67</f>
        <v>1</v>
      </c>
    </row>
    <row r="69" spans="1:29" s="60" customFormat="1" x14ac:dyDescent="0.2">
      <c r="A69" s="224"/>
      <c r="B69" s="81"/>
      <c r="C69" s="60" t="s">
        <v>304</v>
      </c>
      <c r="D69" s="60" t="s">
        <v>51</v>
      </c>
      <c r="E69" s="94" t="s">
        <v>187</v>
      </c>
      <c r="G69" s="150">
        <v>1658.288</v>
      </c>
      <c r="H69" s="159">
        <f>G69+F69</f>
        <v>1658.288</v>
      </c>
      <c r="I69" s="90"/>
      <c r="J69" s="65"/>
      <c r="K69" s="60" t="s">
        <v>64</v>
      </c>
      <c r="M69" s="66">
        <v>2.5</v>
      </c>
      <c r="N69" s="66">
        <v>0</v>
      </c>
      <c r="O69" s="66"/>
      <c r="P69" s="66"/>
      <c r="Q69" s="66"/>
      <c r="R69" s="60" t="str">
        <f>$E$3</f>
        <v>Red</v>
      </c>
      <c r="S69" s="60" t="s">
        <v>68</v>
      </c>
      <c r="T69" s="67" t="str">
        <f>C69</f>
        <v>Mogra_E2</v>
      </c>
      <c r="U69" s="60" t="s">
        <v>50</v>
      </c>
      <c r="V69" s="67">
        <v>0</v>
      </c>
      <c r="W69" s="60" t="s">
        <v>67</v>
      </c>
      <c r="X69" s="60">
        <v>1</v>
      </c>
      <c r="Y69" s="60" t="s">
        <v>66</v>
      </c>
      <c r="Z69" s="60">
        <v>1</v>
      </c>
      <c r="AA69" s="60" t="s">
        <v>299</v>
      </c>
      <c r="AB69" s="74" t="s">
        <v>302</v>
      </c>
      <c r="AC69" s="60">
        <v>1</v>
      </c>
    </row>
    <row r="70" spans="1:29" s="70" customFormat="1" x14ac:dyDescent="0.2">
      <c r="A70" s="224" t="s">
        <v>129</v>
      </c>
      <c r="B70" s="154">
        <v>72020</v>
      </c>
      <c r="C70" s="68" t="str">
        <f>C68</f>
        <v>Mogra_1</v>
      </c>
      <c r="D70" s="69" t="s">
        <v>65</v>
      </c>
      <c r="E70" s="70" t="str">
        <f>E68</f>
        <v>MMRBEM_7_UP</v>
      </c>
      <c r="F70" s="70">
        <f>F68</f>
        <v>0</v>
      </c>
      <c r="G70" s="152">
        <f>H68</f>
        <v>1565.788</v>
      </c>
      <c r="H70" s="159">
        <f t="shared" ref="H70:H74" si="20">F70+G70</f>
        <v>1565.788</v>
      </c>
      <c r="I70" s="232">
        <f>IF("generated"=1, "Path=MMRBEM_7_UP, Scaled Offset=1565.7880000000000109139364212751389", 2057.79014312276)</f>
        <v>2057.7901431227601</v>
      </c>
      <c r="K70" s="69" t="s">
        <v>64</v>
      </c>
      <c r="M70" s="71">
        <f>2*M68</f>
        <v>5</v>
      </c>
      <c r="N70" s="71">
        <v>0</v>
      </c>
      <c r="O70" s="71"/>
      <c r="P70" s="71">
        <v>0</v>
      </c>
      <c r="Q70" s="71">
        <v>0</v>
      </c>
      <c r="S70" s="69" t="s">
        <v>63</v>
      </c>
      <c r="T70" s="72">
        <f>ABS(H69-H67)</f>
        <v>185</v>
      </c>
      <c r="U70" s="69" t="s">
        <v>62</v>
      </c>
      <c r="V70" s="73" t="str">
        <f>C70</f>
        <v>Mogra_1</v>
      </c>
      <c r="W70" s="68" t="s">
        <v>61</v>
      </c>
      <c r="X70" s="74" t="s">
        <v>302</v>
      </c>
      <c r="Y70" s="74" t="s">
        <v>60</v>
      </c>
      <c r="Z70" s="70" t="str">
        <f>LEFT(V70, LEN(V70)-2)</f>
        <v>Mogra</v>
      </c>
    </row>
    <row r="71" spans="1:29" s="70" customFormat="1" x14ac:dyDescent="0.2">
      <c r="A71" s="224" t="s">
        <v>129</v>
      </c>
      <c r="B71" s="154">
        <v>72021</v>
      </c>
      <c r="C71" s="70" t="str">
        <f>CONCATENATE("Platform Passenger - ",C70)</f>
        <v>Platform Passenger - Mogra_1</v>
      </c>
      <c r="D71" s="75" t="s">
        <v>59</v>
      </c>
      <c r="E71" s="70" t="str">
        <f t="shared" ref="E71:E76" si="21">E70</f>
        <v>MMRBEM_7_UP</v>
      </c>
      <c r="F71" s="70">
        <v>0</v>
      </c>
      <c r="G71" s="152">
        <f t="shared" ref="G71:G76" si="22">G70</f>
        <v>1565.788</v>
      </c>
      <c r="H71" s="159">
        <f t="shared" si="20"/>
        <v>1565.788</v>
      </c>
      <c r="I71" s="232">
        <f>IF("generated"=1, "Path=MMRBEM_7_UP, Scaled Offset=1565.7880000000000109139364212751389", 2057.79014312276)</f>
        <v>2057.7901431227601</v>
      </c>
      <c r="K71" s="76" t="str">
        <f t="shared" ref="K71:K76" si="23">K70</f>
        <v>BOTH</v>
      </c>
      <c r="M71" s="77">
        <f>M70/2</f>
        <v>2.5</v>
      </c>
      <c r="N71" s="77">
        <f>N70</f>
        <v>0</v>
      </c>
      <c r="O71" s="77"/>
      <c r="P71" s="77">
        <v>90</v>
      </c>
      <c r="Q71" s="77">
        <f>Q70</f>
        <v>0</v>
      </c>
      <c r="R71" s="75" t="s">
        <v>1091</v>
      </c>
      <c r="S71" s="70" t="s">
        <v>58</v>
      </c>
      <c r="T71" s="78" t="str">
        <f>CONCATENATE(X70,"_PAS"&amp;AC69)</f>
        <v>MOG_PAS1</v>
      </c>
      <c r="V71" s="79"/>
    </row>
    <row r="72" spans="1:29" s="70" customFormat="1" x14ac:dyDescent="0.2">
      <c r="A72" s="224" t="s">
        <v>129</v>
      </c>
      <c r="B72" s="154">
        <v>72022</v>
      </c>
      <c r="C72" s="70" t="str">
        <f>CONCATENATE("Passenger Alighting - ",C70)</f>
        <v>Passenger Alighting - Mogra_1</v>
      </c>
      <c r="D72" s="75" t="s">
        <v>57</v>
      </c>
      <c r="E72" s="70" t="str">
        <f t="shared" si="21"/>
        <v>MMRBEM_7_UP</v>
      </c>
      <c r="F72" s="70">
        <v>0</v>
      </c>
      <c r="G72" s="152">
        <f t="shared" si="22"/>
        <v>1565.788</v>
      </c>
      <c r="H72" s="159">
        <f t="shared" si="20"/>
        <v>1565.788</v>
      </c>
      <c r="I72" s="232">
        <f>IF("generated"=1, "Path=MMRBEM_7_UP, Scaled Offset=1565.7880000000000109139364212751389", 2057.79014312276)</f>
        <v>2057.7901431227601</v>
      </c>
      <c r="K72" s="76" t="str">
        <f t="shared" si="23"/>
        <v>BOTH</v>
      </c>
      <c r="M72" s="77">
        <f>M71</f>
        <v>2.5</v>
      </c>
      <c r="N72" s="77">
        <f>N71</f>
        <v>0</v>
      </c>
      <c r="O72" s="77"/>
      <c r="P72" s="77">
        <v>90</v>
      </c>
      <c r="Q72" s="77">
        <f>Q71</f>
        <v>0</v>
      </c>
      <c r="R72" s="75" t="s">
        <v>1091</v>
      </c>
      <c r="S72" s="70" t="s">
        <v>56</v>
      </c>
      <c r="T72" s="78">
        <f>B71</f>
        <v>72021</v>
      </c>
      <c r="V72" s="79"/>
    </row>
    <row r="73" spans="1:29" s="70" customFormat="1" x14ac:dyDescent="0.2">
      <c r="A73" s="224" t="s">
        <v>129</v>
      </c>
      <c r="B73" s="154">
        <v>72023</v>
      </c>
      <c r="C73" s="70" t="str">
        <f>CONCATENATE("Passenger Arriving - ",C68)</f>
        <v>Passenger Arriving - Mogra_1</v>
      </c>
      <c r="D73" s="75" t="s">
        <v>55</v>
      </c>
      <c r="E73" s="70" t="str">
        <f t="shared" si="21"/>
        <v>MMRBEM_7_UP</v>
      </c>
      <c r="F73" s="70">
        <v>0</v>
      </c>
      <c r="G73" s="152">
        <f t="shared" si="22"/>
        <v>1565.788</v>
      </c>
      <c r="H73" s="159">
        <f t="shared" si="20"/>
        <v>1565.788</v>
      </c>
      <c r="I73" s="232">
        <f>IF("generated"=1, "Path=MMRBEM_7_UP, Scaled Offset=1565.7880000000000109139364212751389", 2057.79014312276)</f>
        <v>2057.7901431227601</v>
      </c>
      <c r="K73" s="76" t="str">
        <f t="shared" si="23"/>
        <v>BOTH</v>
      </c>
      <c r="M73" s="77">
        <f>M72</f>
        <v>2.5</v>
      </c>
      <c r="N73" s="77">
        <f>N72</f>
        <v>0</v>
      </c>
      <c r="O73" s="77"/>
      <c r="P73" s="77">
        <v>90</v>
      </c>
      <c r="Q73" s="77">
        <f>Q72</f>
        <v>0</v>
      </c>
      <c r="R73" s="75" t="s">
        <v>52</v>
      </c>
      <c r="S73" s="70" t="str">
        <f t="shared" ref="S73:T73" si="24">S72</f>
        <v>Parent ID</v>
      </c>
      <c r="T73" s="78">
        <f t="shared" si="24"/>
        <v>72021</v>
      </c>
      <c r="V73" s="79"/>
    </row>
    <row r="74" spans="1:29" s="70" customFormat="1" x14ac:dyDescent="0.2">
      <c r="A74" s="224" t="s">
        <v>129</v>
      </c>
      <c r="B74" s="154">
        <v>72024</v>
      </c>
      <c r="C74" s="70" t="str">
        <f>CONCATENATE("Passenger Intoxicated - ",C70)</f>
        <v>Passenger Intoxicated - Mogra_1</v>
      </c>
      <c r="D74" s="75" t="s">
        <v>54</v>
      </c>
      <c r="E74" s="70" t="str">
        <f t="shared" si="21"/>
        <v>MMRBEM_7_UP</v>
      </c>
      <c r="F74" s="70">
        <v>0</v>
      </c>
      <c r="G74" s="152">
        <f t="shared" si="22"/>
        <v>1565.788</v>
      </c>
      <c r="H74" s="159">
        <f t="shared" si="20"/>
        <v>1565.788</v>
      </c>
      <c r="I74" s="232">
        <f>IF("generated"=1, "Path=MMRBEM_7_UP, Scaled Offset=1565.7880000000000109139364212751389", 2057.79014312276)</f>
        <v>2057.7901431227601</v>
      </c>
      <c r="K74" s="76" t="str">
        <f t="shared" si="23"/>
        <v>BOTH</v>
      </c>
      <c r="M74" s="77">
        <f>M73</f>
        <v>2.5</v>
      </c>
      <c r="N74" s="77">
        <f>N73</f>
        <v>0</v>
      </c>
      <c r="O74" s="77"/>
      <c r="P74" s="77">
        <v>90</v>
      </c>
      <c r="Q74" s="77">
        <f>Q73</f>
        <v>0</v>
      </c>
      <c r="R74" s="75" t="s">
        <v>52</v>
      </c>
      <c r="S74" s="70" t="str">
        <f t="shared" ref="S74:T74" si="25">S73</f>
        <v>Parent ID</v>
      </c>
      <c r="T74" s="78">
        <f t="shared" si="25"/>
        <v>72021</v>
      </c>
      <c r="V74" s="79"/>
    </row>
    <row r="75" spans="1:29" s="70" customFormat="1" x14ac:dyDescent="0.2">
      <c r="A75" s="224" t="s">
        <v>129</v>
      </c>
      <c r="B75" s="154">
        <v>72025</v>
      </c>
      <c r="C75" s="70" t="str">
        <f>CONCATENATE("Passenger Pram - ",C70)</f>
        <v>Passenger Pram - Mogra_1</v>
      </c>
      <c r="D75" s="75" t="s">
        <v>53</v>
      </c>
      <c r="E75" s="70" t="str">
        <f t="shared" si="21"/>
        <v>MMRBEM_7_UP</v>
      </c>
      <c r="F75" s="70">
        <v>0</v>
      </c>
      <c r="G75" s="152">
        <f t="shared" si="22"/>
        <v>1565.788</v>
      </c>
      <c r="H75" s="159">
        <f>F75+G75</f>
        <v>1565.788</v>
      </c>
      <c r="I75" s="232">
        <f>IF("generated"=1, "Path=MMRBEM_7_UP, Scaled Offset=1565.7880000000000109139364212751389", 2057.79014312276)</f>
        <v>2057.7901431227601</v>
      </c>
      <c r="K75" s="76" t="str">
        <f t="shared" si="23"/>
        <v>BOTH</v>
      </c>
      <c r="M75" s="77">
        <f>M74</f>
        <v>2.5</v>
      </c>
      <c r="N75" s="77">
        <f>N74</f>
        <v>0</v>
      </c>
      <c r="O75" s="77"/>
      <c r="P75" s="77">
        <v>90</v>
      </c>
      <c r="Q75" s="77">
        <f>Q74</f>
        <v>0</v>
      </c>
      <c r="R75" s="75" t="s">
        <v>52</v>
      </c>
      <c r="S75" s="70" t="str">
        <f t="shared" ref="S75:T75" si="26">S74</f>
        <v>Parent ID</v>
      </c>
      <c r="T75" s="78">
        <f t="shared" si="26"/>
        <v>72021</v>
      </c>
      <c r="V75" s="79"/>
    </row>
    <row r="76" spans="1:29" s="164" customFormat="1" x14ac:dyDescent="0.2">
      <c r="A76" s="224" t="s">
        <v>129</v>
      </c>
      <c r="B76" s="81">
        <v>72272</v>
      </c>
      <c r="C76" s="70" t="str">
        <f>CONCATENATE("PSD - ",C70)</f>
        <v>PSD - Mogra_1</v>
      </c>
      <c r="D76" s="165" t="s">
        <v>1042</v>
      </c>
      <c r="E76" s="70" t="str">
        <f t="shared" si="21"/>
        <v>MMRBEM_7_UP</v>
      </c>
      <c r="F76" s="70">
        <v>0</v>
      </c>
      <c r="G76" s="152">
        <f t="shared" si="22"/>
        <v>1565.788</v>
      </c>
      <c r="H76" s="159">
        <f t="shared" ref="H76" si="27">F76+G76</f>
        <v>1565.788</v>
      </c>
      <c r="I76" s="232">
        <f>IF("generated"=1, "Path=MMRBEM_7_UP, Scaled Offset=1565.7880000000000109139364212751389", 2057.79014312276)</f>
        <v>2057.7901431227601</v>
      </c>
      <c r="K76" s="76" t="str">
        <f t="shared" si="23"/>
        <v>BOTH</v>
      </c>
      <c r="M76" s="168">
        <f>M75-0.5</f>
        <v>2</v>
      </c>
      <c r="N76" s="168"/>
      <c r="O76" s="168"/>
      <c r="P76" s="168"/>
      <c r="Q76" s="168"/>
      <c r="R76" s="165"/>
      <c r="S76" s="165" t="s">
        <v>1043</v>
      </c>
      <c r="T76" s="165" t="str">
        <f>_xlfn.CONCAT("PSD_",T71)</f>
        <v>PSD_MOG_PAS1</v>
      </c>
      <c r="U76" s="165" t="s">
        <v>926</v>
      </c>
      <c r="V76" s="165">
        <f>B70</f>
        <v>72020</v>
      </c>
      <c r="W76" s="165"/>
      <c r="X76" s="165"/>
    </row>
    <row r="77" spans="1:29" s="164" customFormat="1" x14ac:dyDescent="0.2">
      <c r="A77" s="224" t="s">
        <v>129</v>
      </c>
      <c r="B77">
        <v>72185</v>
      </c>
      <c r="C77" t="s">
        <v>947</v>
      </c>
      <c r="D77" s="140" t="s">
        <v>928</v>
      </c>
      <c r="E77" s="140" t="s">
        <v>87</v>
      </c>
      <c r="F77"/>
      <c r="G77" s="116">
        <f>G78+22.2</f>
        <v>1353.44</v>
      </c>
      <c r="H77" s="159">
        <f t="shared" ref="H77:H80" si="28">F77+G77</f>
        <v>1353.44</v>
      </c>
      <c r="I77" s="230">
        <f>IF("generated"=1, "Path=Track_20_3_Track_1, Scaled Offset=1353.4400000000000545696821063756943", 1353.44)</f>
        <v>1353.44</v>
      </c>
      <c r="J77"/>
      <c r="K77"/>
      <c r="L77"/>
      <c r="M77" s="168"/>
      <c r="N77" s="168"/>
      <c r="O77" s="168"/>
      <c r="P77" s="168"/>
      <c r="Q77" s="168"/>
      <c r="R77" s="165" t="s">
        <v>1041</v>
      </c>
      <c r="S77" s="140" t="s">
        <v>926</v>
      </c>
      <c r="T77" s="143">
        <f>B70</f>
        <v>72020</v>
      </c>
      <c r="U77" s="140" t="s">
        <v>61</v>
      </c>
      <c r="V77" s="143" t="str">
        <f>X70</f>
        <v>MOG</v>
      </c>
      <c r="W77" s="140" t="s">
        <v>927</v>
      </c>
      <c r="X77">
        <v>2</v>
      </c>
    </row>
    <row r="78" spans="1:29" s="164" customFormat="1" x14ac:dyDescent="0.2">
      <c r="A78" s="224" t="s">
        <v>129</v>
      </c>
      <c r="B78">
        <v>72186</v>
      </c>
      <c r="C78" t="s">
        <v>948</v>
      </c>
      <c r="D78" s="140" t="s">
        <v>928</v>
      </c>
      <c r="E78" s="140" t="s">
        <v>87</v>
      </c>
      <c r="F78"/>
      <c r="G78" s="116">
        <v>1331.24</v>
      </c>
      <c r="H78" s="159">
        <f t="shared" si="28"/>
        <v>1331.24</v>
      </c>
      <c r="I78" s="230">
        <f>IF("generated"=1, "Path=Track_20_3_Track_1, Scaled Offset=1331.2400000000000090949470177292824", 1331.24)</f>
        <v>1331.24</v>
      </c>
      <c r="J78"/>
      <c r="K78"/>
      <c r="L78"/>
      <c r="M78" s="168"/>
      <c r="N78" s="168"/>
      <c r="O78" s="168"/>
      <c r="P78" s="168"/>
      <c r="Q78" s="168"/>
      <c r="R78" s="165" t="s">
        <v>1041</v>
      </c>
      <c r="S78" s="140" t="s">
        <v>926</v>
      </c>
      <c r="T78" s="143">
        <f>T77</f>
        <v>72020</v>
      </c>
      <c r="U78" s="140" t="s">
        <v>61</v>
      </c>
      <c r="V78" s="143" t="str">
        <f>V77</f>
        <v>MOG</v>
      </c>
      <c r="W78" s="140" t="s">
        <v>927</v>
      </c>
      <c r="X78">
        <v>2</v>
      </c>
    </row>
    <row r="79" spans="1:29" s="164" customFormat="1" x14ac:dyDescent="0.2">
      <c r="A79" s="224" t="s">
        <v>129</v>
      </c>
      <c r="B79">
        <v>72187</v>
      </c>
      <c r="C79" t="s">
        <v>949</v>
      </c>
      <c r="D79" s="140" t="s">
        <v>928</v>
      </c>
      <c r="E79" s="140" t="s">
        <v>87</v>
      </c>
      <c r="F79"/>
      <c r="G79" s="116">
        <v>1194.1300000000001</v>
      </c>
      <c r="H79" s="159">
        <f t="shared" si="28"/>
        <v>1194.1300000000001</v>
      </c>
      <c r="I79" s="230">
        <f>IF("generated"=1, "Path=Track_20_3_Track_1, Scaled Offset=1194.1300000000001091393642127513885", 1194.13)</f>
        <v>1194.1300000000001</v>
      </c>
      <c r="J79"/>
      <c r="K79"/>
      <c r="L79" s="164">
        <v>1</v>
      </c>
      <c r="M79" s="168"/>
      <c r="N79" s="168"/>
      <c r="O79" s="168"/>
      <c r="P79" s="168"/>
      <c r="Q79" s="168"/>
      <c r="R79" s="165" t="s">
        <v>1041</v>
      </c>
      <c r="S79" s="140" t="s">
        <v>926</v>
      </c>
      <c r="T79" s="143">
        <f>T78</f>
        <v>72020</v>
      </c>
      <c r="U79" s="140" t="s">
        <v>61</v>
      </c>
      <c r="V79" s="143" t="str">
        <f>V78</f>
        <v>MOG</v>
      </c>
      <c r="W79" s="140" t="s">
        <v>927</v>
      </c>
      <c r="X79" s="164">
        <v>1</v>
      </c>
    </row>
    <row r="80" spans="1:29" s="164" customFormat="1" x14ac:dyDescent="0.2">
      <c r="A80" s="224" t="s">
        <v>129</v>
      </c>
      <c r="B80">
        <v>72188</v>
      </c>
      <c r="C80" t="s">
        <v>950</v>
      </c>
      <c r="D80" s="140" t="s">
        <v>928</v>
      </c>
      <c r="E80" s="140" t="s">
        <v>87</v>
      </c>
      <c r="F80"/>
      <c r="G80" s="116">
        <f>G79-22.2</f>
        <v>1171.93</v>
      </c>
      <c r="H80" s="159">
        <f t="shared" si="28"/>
        <v>1171.93</v>
      </c>
      <c r="I80" s="230">
        <f>IF("generated"=1, "Path=Track_20_3_Track_1, Scaled Offset=1171.9300000000000636646291241049767", 1171.93)</f>
        <v>1171.93</v>
      </c>
      <c r="J80"/>
      <c r="K80"/>
      <c r="L80" s="164">
        <v>1</v>
      </c>
      <c r="M80" s="168"/>
      <c r="N80" s="168"/>
      <c r="O80" s="168"/>
      <c r="P80" s="168"/>
      <c r="Q80" s="168"/>
      <c r="R80" s="165" t="s">
        <v>1041</v>
      </c>
      <c r="S80" s="140" t="s">
        <v>926</v>
      </c>
      <c r="T80" s="143">
        <f>T79</f>
        <v>72020</v>
      </c>
      <c r="U80" s="140" t="s">
        <v>61</v>
      </c>
      <c r="V80" s="143" t="str">
        <f>V79</f>
        <v>MOG</v>
      </c>
      <c r="W80" s="140" t="s">
        <v>927</v>
      </c>
      <c r="X80" s="164">
        <v>1</v>
      </c>
    </row>
    <row r="81" spans="1:29" s="61" customFormat="1" x14ac:dyDescent="0.2">
      <c r="A81" s="224" t="s">
        <v>930</v>
      </c>
      <c r="B81" s="81">
        <v>72013</v>
      </c>
      <c r="C81" s="61" t="str">
        <f>LEFT(C70,LEN(C70)-2)</f>
        <v>Mogra</v>
      </c>
      <c r="E81" s="61" t="s">
        <v>87</v>
      </c>
      <c r="G81" s="153"/>
      <c r="H81" s="160">
        <v>1169</v>
      </c>
      <c r="I81" s="232">
        <f>IF("generated"=1, "Path=Track_20_3_Track_1, Scaled Offset=1169", 1169)</f>
        <v>1169</v>
      </c>
      <c r="J81" s="89"/>
      <c r="M81" s="88"/>
      <c r="N81" s="88"/>
      <c r="O81" s="88"/>
      <c r="P81" s="88"/>
      <c r="Q81" s="88"/>
      <c r="S81" s="61" t="s">
        <v>41</v>
      </c>
      <c r="T81" s="87">
        <v>40</v>
      </c>
      <c r="V81" s="87"/>
    </row>
    <row r="82" spans="1:29" s="61" customFormat="1" x14ac:dyDescent="0.2">
      <c r="A82" s="224" t="s">
        <v>930</v>
      </c>
      <c r="B82" s="81">
        <v>72013</v>
      </c>
      <c r="C82" s="61" t="str">
        <f>C81</f>
        <v>Mogra</v>
      </c>
      <c r="E82" s="61" t="s">
        <v>87</v>
      </c>
      <c r="G82" s="153"/>
      <c r="H82" s="160">
        <v>1357</v>
      </c>
      <c r="I82" s="232">
        <f>IF("generated"=1, "Path=Track_20_3_Track_1, Scaled Offset=1357", 1357)</f>
        <v>1357</v>
      </c>
      <c r="J82" s="89"/>
      <c r="M82" s="88"/>
      <c r="N82" s="88"/>
      <c r="O82" s="88"/>
      <c r="P82" s="88"/>
      <c r="Q82" s="88"/>
      <c r="S82" s="61" t="s">
        <v>41</v>
      </c>
      <c r="T82" s="87">
        <v>40</v>
      </c>
      <c r="V82" s="87"/>
    </row>
    <row r="84" spans="1:29" s="62" customFormat="1" x14ac:dyDescent="0.2">
      <c r="A84" s="224" t="s">
        <v>129</v>
      </c>
      <c r="B84" s="154">
        <v>72026</v>
      </c>
      <c r="C84" s="61" t="s">
        <v>305</v>
      </c>
      <c r="D84" s="62" t="s">
        <v>69</v>
      </c>
      <c r="G84" s="149"/>
      <c r="H84" s="158"/>
      <c r="I84" s="162"/>
      <c r="M84" s="63"/>
      <c r="N84" s="63"/>
      <c r="O84" s="63"/>
      <c r="P84" s="63"/>
      <c r="Q84" s="63"/>
      <c r="T84" s="64"/>
      <c r="V84" s="64"/>
    </row>
    <row r="85" spans="1:29" s="60" customFormat="1" x14ac:dyDescent="0.2">
      <c r="A85" s="224"/>
      <c r="B85" s="81"/>
      <c r="C85" s="60" t="s">
        <v>306</v>
      </c>
      <c r="D85" s="60" t="s">
        <v>51</v>
      </c>
      <c r="E85" t="s">
        <v>188</v>
      </c>
      <c r="G85" s="150">
        <v>3064.77</v>
      </c>
      <c r="H85" s="159">
        <f>G85+F85</f>
        <v>3064.77</v>
      </c>
      <c r="I85" s="90">
        <f>IF("generated"=1, "Path=Intermodal_Coronel_Platform_2_2, Scaled Offset=160.40000000000000568434188608080149", 160.4)</f>
        <v>160.4</v>
      </c>
      <c r="J85" s="65"/>
      <c r="K85" s="60" t="s">
        <v>64</v>
      </c>
      <c r="M85" s="66">
        <v>-2.5</v>
      </c>
      <c r="N85" s="66">
        <v>0</v>
      </c>
      <c r="O85" s="66"/>
      <c r="P85" s="66"/>
      <c r="Q85" s="66"/>
      <c r="R85" s="60" t="str">
        <f>$E$3</f>
        <v>Red</v>
      </c>
      <c r="S85" s="60" t="s">
        <v>68</v>
      </c>
      <c r="T85" s="67" t="str">
        <f>C85</f>
        <v>Jogeshwari (East)_S1</v>
      </c>
      <c r="U85" s="60" t="s">
        <v>50</v>
      </c>
      <c r="V85" s="67">
        <v>0</v>
      </c>
      <c r="W85" s="60" t="s">
        <v>67</v>
      </c>
      <c r="X85" s="60">
        <v>1</v>
      </c>
      <c r="Y85" s="60" t="s">
        <v>66</v>
      </c>
      <c r="Z85" s="60">
        <v>1</v>
      </c>
      <c r="AA85" s="61" t="s">
        <v>305</v>
      </c>
      <c r="AB85" s="74" t="s">
        <v>308</v>
      </c>
      <c r="AC85" s="60">
        <v>2</v>
      </c>
    </row>
    <row r="86" spans="1:29" s="60" customFormat="1" x14ac:dyDescent="0.2">
      <c r="A86" s="224"/>
      <c r="B86" s="81"/>
      <c r="C86" s="60" t="str">
        <f>AA86&amp;"_"&amp;AC86</f>
        <v>Jogeshwari (East)_2</v>
      </c>
      <c r="D86" s="60" t="s">
        <v>51</v>
      </c>
      <c r="E86" t="s">
        <v>188</v>
      </c>
      <c r="G86" s="151">
        <f>AVERAGE(H85,H87)</f>
        <v>3157.27</v>
      </c>
      <c r="H86" s="159">
        <f>F86+G86</f>
        <v>3157.27</v>
      </c>
      <c r="I86" s="90">
        <f>IF("generated"=1, "Path=East_Central_Line1_5, Scaled Offset=69.5", 69.5)</f>
        <v>69.5</v>
      </c>
      <c r="J86" s="65"/>
      <c r="K86" s="60" t="s">
        <v>64</v>
      </c>
      <c r="M86" s="66">
        <f>M85</f>
        <v>-2.5</v>
      </c>
      <c r="N86" s="66">
        <v>0</v>
      </c>
      <c r="O86" s="66"/>
      <c r="P86" s="66"/>
      <c r="Q86" s="66"/>
      <c r="R86" s="60" t="str">
        <f>$E$4</f>
        <v>Green</v>
      </c>
      <c r="S86" s="60" t="s">
        <v>68</v>
      </c>
      <c r="T86" s="67" t="str">
        <f>C86</f>
        <v>Jogeshwari (East)_2</v>
      </c>
      <c r="U86" s="60" t="s">
        <v>50</v>
      </c>
      <c r="V86" s="67">
        <v>0</v>
      </c>
      <c r="W86" s="60" t="s">
        <v>67</v>
      </c>
      <c r="X86" s="60">
        <v>1</v>
      </c>
      <c r="Y86" s="60" t="s">
        <v>66</v>
      </c>
      <c r="Z86" s="60">
        <v>1</v>
      </c>
      <c r="AA86" s="60" t="str">
        <f>AA85</f>
        <v>Jogeshwari (East)</v>
      </c>
      <c r="AB86" s="60" t="str">
        <f>AB85</f>
        <v>JOE</v>
      </c>
      <c r="AC86" s="60">
        <f>AC85</f>
        <v>2</v>
      </c>
    </row>
    <row r="87" spans="1:29" s="60" customFormat="1" x14ac:dyDescent="0.2">
      <c r="A87" s="224"/>
      <c r="B87" s="81"/>
      <c r="C87" s="60" t="s">
        <v>307</v>
      </c>
      <c r="D87" s="60" t="s">
        <v>51</v>
      </c>
      <c r="E87" t="s">
        <v>188</v>
      </c>
      <c r="G87" s="150">
        <v>3249.77</v>
      </c>
      <c r="H87" s="159">
        <f>G87+F87</f>
        <v>3249.77</v>
      </c>
      <c r="I87" s="90">
        <f>IF("generated"=1, "Path=Intermodal_Coronel_Platform_2_2, Scaled Offset=231", 231)</f>
        <v>231</v>
      </c>
      <c r="J87" s="65"/>
      <c r="K87" s="60" t="s">
        <v>64</v>
      </c>
      <c r="M87" s="66">
        <v>-2.5</v>
      </c>
      <c r="N87" s="66">
        <v>0</v>
      </c>
      <c r="O87" s="66"/>
      <c r="P87" s="66"/>
      <c r="Q87" s="66"/>
      <c r="R87" s="60" t="str">
        <f>$E$3</f>
        <v>Red</v>
      </c>
      <c r="S87" s="60" t="s">
        <v>68</v>
      </c>
      <c r="T87" s="67" t="str">
        <f>C87</f>
        <v>Jogeshwari (East)_E1</v>
      </c>
      <c r="U87" s="60" t="s">
        <v>50</v>
      </c>
      <c r="V87" s="67">
        <v>0</v>
      </c>
      <c r="W87" s="60" t="s">
        <v>67</v>
      </c>
      <c r="X87" s="60">
        <v>1</v>
      </c>
      <c r="Y87" s="60" t="s">
        <v>66</v>
      </c>
      <c r="Z87" s="60">
        <v>1</v>
      </c>
      <c r="AA87" s="61" t="s">
        <v>305</v>
      </c>
      <c r="AB87" s="74" t="s">
        <v>308</v>
      </c>
      <c r="AC87" s="60">
        <v>2</v>
      </c>
    </row>
    <row r="88" spans="1:29" s="70" customFormat="1" x14ac:dyDescent="0.2">
      <c r="A88" s="224" t="s">
        <v>129</v>
      </c>
      <c r="B88" s="154">
        <v>72027</v>
      </c>
      <c r="C88" s="68" t="str">
        <f>C86</f>
        <v>Jogeshwari (East)_2</v>
      </c>
      <c r="D88" s="69" t="s">
        <v>65</v>
      </c>
      <c r="E88" s="70" t="str">
        <f>E86</f>
        <v>MMRBEM_7_DOWN</v>
      </c>
      <c r="F88" s="70">
        <f>F86</f>
        <v>0</v>
      </c>
      <c r="G88" s="152">
        <f>H86</f>
        <v>3157.27</v>
      </c>
      <c r="H88" s="159">
        <f t="shared" ref="H88:H94" si="29">F88+G88</f>
        <v>3157.27</v>
      </c>
      <c r="I88" s="232">
        <f>IF("generated"=1, "Path=MMRBEM_7_DOWN, Scaled Offset=3157.2699999999999818101059645414352", 3623.46236955356)</f>
        <v>3623.4623695535602</v>
      </c>
      <c r="K88" s="69" t="s">
        <v>64</v>
      </c>
      <c r="M88" s="71">
        <f>2*M86</f>
        <v>-5</v>
      </c>
      <c r="N88" s="71">
        <v>0</v>
      </c>
      <c r="O88" s="71"/>
      <c r="P88" s="71">
        <v>0</v>
      </c>
      <c r="Q88" s="71">
        <v>0</v>
      </c>
      <c r="S88" s="69" t="s">
        <v>63</v>
      </c>
      <c r="T88" s="72">
        <f>ABS(H87-H85)</f>
        <v>185</v>
      </c>
      <c r="U88" s="69" t="s">
        <v>62</v>
      </c>
      <c r="V88" s="73" t="str">
        <f>C88</f>
        <v>Jogeshwari (East)_2</v>
      </c>
      <c r="W88" s="68" t="s">
        <v>61</v>
      </c>
      <c r="X88" s="74" t="s">
        <v>308</v>
      </c>
      <c r="Y88" s="74" t="s">
        <v>60</v>
      </c>
      <c r="Z88" s="70" t="str">
        <f>LEFT(V88, LEN(V88)-2)</f>
        <v>Jogeshwari (East)</v>
      </c>
    </row>
    <row r="89" spans="1:29" s="70" customFormat="1" x14ac:dyDescent="0.2">
      <c r="A89" s="224" t="s">
        <v>129</v>
      </c>
      <c r="B89" s="154">
        <v>72028</v>
      </c>
      <c r="C89" s="70" t="str">
        <f>CONCATENATE("Platform Passenger - ",C88)</f>
        <v>Platform Passenger - Jogeshwari (East)_2</v>
      </c>
      <c r="D89" s="75" t="s">
        <v>59</v>
      </c>
      <c r="E89" s="70" t="str">
        <f t="shared" ref="E89:E94" si="30">E88</f>
        <v>MMRBEM_7_DOWN</v>
      </c>
      <c r="F89" s="70">
        <v>0</v>
      </c>
      <c r="G89" s="152">
        <f t="shared" ref="G89:G94" si="31">G88</f>
        <v>3157.27</v>
      </c>
      <c r="H89" s="159">
        <f t="shared" si="29"/>
        <v>3157.27</v>
      </c>
      <c r="I89" s="232">
        <f>IF("generated"=1, "Path=MMRBEM_7_DOWN, Scaled Offset=3157.2699999999999818101059645414352", 3623.46236955356)</f>
        <v>3623.4623695535602</v>
      </c>
      <c r="K89" s="76" t="str">
        <f t="shared" ref="K89:K94" si="32">K88</f>
        <v>BOTH</v>
      </c>
      <c r="M89" s="77">
        <f>M88/2</f>
        <v>-2.5</v>
      </c>
      <c r="N89" s="77">
        <f>N88</f>
        <v>0</v>
      </c>
      <c r="O89" s="77"/>
      <c r="P89" s="77">
        <v>270</v>
      </c>
      <c r="Q89" s="77">
        <f>Q88</f>
        <v>0</v>
      </c>
      <c r="R89" s="75" t="s">
        <v>1091</v>
      </c>
      <c r="S89" s="70" t="s">
        <v>58</v>
      </c>
      <c r="T89" s="78" t="str">
        <f>CONCATENATE(X88,"_PAS"&amp;AC87)</f>
        <v>JOE_PAS2</v>
      </c>
      <c r="V89" s="79"/>
    </row>
    <row r="90" spans="1:29" s="70" customFormat="1" x14ac:dyDescent="0.2">
      <c r="A90" s="224" t="s">
        <v>129</v>
      </c>
      <c r="B90" s="154">
        <v>72029</v>
      </c>
      <c r="C90" s="70" t="str">
        <f>CONCATENATE("Passenger Alighting - ",C88)</f>
        <v>Passenger Alighting - Jogeshwari (East)_2</v>
      </c>
      <c r="D90" s="75" t="s">
        <v>57</v>
      </c>
      <c r="E90" s="70" t="str">
        <f t="shared" si="30"/>
        <v>MMRBEM_7_DOWN</v>
      </c>
      <c r="F90" s="70">
        <v>0</v>
      </c>
      <c r="G90" s="152">
        <f t="shared" si="31"/>
        <v>3157.27</v>
      </c>
      <c r="H90" s="159">
        <f t="shared" si="29"/>
        <v>3157.27</v>
      </c>
      <c r="I90" s="232">
        <f>IF("generated"=1, "Path=MMRBEM_7_DOWN, Scaled Offset=3157.2699999999999818101059645414352", 3623.46236955356)</f>
        <v>3623.4623695535602</v>
      </c>
      <c r="K90" s="76" t="str">
        <f t="shared" si="32"/>
        <v>BOTH</v>
      </c>
      <c r="M90" s="77">
        <f>M89</f>
        <v>-2.5</v>
      </c>
      <c r="N90" s="77">
        <f>N89</f>
        <v>0</v>
      </c>
      <c r="O90" s="77"/>
      <c r="P90" s="77">
        <v>270</v>
      </c>
      <c r="Q90" s="77">
        <f>Q89</f>
        <v>0</v>
      </c>
      <c r="R90" s="75" t="s">
        <v>1091</v>
      </c>
      <c r="S90" s="70" t="s">
        <v>56</v>
      </c>
      <c r="T90" s="78">
        <f>B89</f>
        <v>72028</v>
      </c>
      <c r="V90" s="79"/>
    </row>
    <row r="91" spans="1:29" s="70" customFormat="1" x14ac:dyDescent="0.2">
      <c r="A91" s="224" t="s">
        <v>129</v>
      </c>
      <c r="B91" s="154">
        <v>72030</v>
      </c>
      <c r="C91" s="70" t="str">
        <f>CONCATENATE("Passenger Arriving - ",C86)</f>
        <v>Passenger Arriving - Jogeshwari (East)_2</v>
      </c>
      <c r="D91" s="75" t="s">
        <v>55</v>
      </c>
      <c r="E91" s="70" t="str">
        <f t="shared" si="30"/>
        <v>MMRBEM_7_DOWN</v>
      </c>
      <c r="F91" s="70">
        <v>0</v>
      </c>
      <c r="G91" s="152">
        <f t="shared" si="31"/>
        <v>3157.27</v>
      </c>
      <c r="H91" s="159">
        <f t="shared" si="29"/>
        <v>3157.27</v>
      </c>
      <c r="I91" s="232">
        <f>IF("generated"=1, "Path=MMRBEM_7_DOWN, Scaled Offset=3157.2699999999999818101059645414352", 3623.46236955356)</f>
        <v>3623.4623695535602</v>
      </c>
      <c r="K91" s="76" t="str">
        <f t="shared" si="32"/>
        <v>BOTH</v>
      </c>
      <c r="M91" s="77">
        <f>M90</f>
        <v>-2.5</v>
      </c>
      <c r="N91" s="77">
        <f>N90</f>
        <v>0</v>
      </c>
      <c r="O91" s="77"/>
      <c r="P91" s="77">
        <v>270</v>
      </c>
      <c r="Q91" s="77">
        <f>Q90</f>
        <v>0</v>
      </c>
      <c r="R91" s="75" t="s">
        <v>52</v>
      </c>
      <c r="S91" s="70" t="str">
        <f t="shared" ref="S91:T91" si="33">S90</f>
        <v>Parent ID</v>
      </c>
      <c r="T91" s="78">
        <f t="shared" si="33"/>
        <v>72028</v>
      </c>
      <c r="V91" s="79"/>
    </row>
    <row r="92" spans="1:29" s="70" customFormat="1" x14ac:dyDescent="0.2">
      <c r="A92" s="224" t="s">
        <v>129</v>
      </c>
      <c r="B92" s="154">
        <v>72031</v>
      </c>
      <c r="C92" s="70" t="str">
        <f>CONCATENATE("Passenger Intoxicated - ",C88)</f>
        <v>Passenger Intoxicated - Jogeshwari (East)_2</v>
      </c>
      <c r="D92" s="75" t="s">
        <v>54</v>
      </c>
      <c r="E92" s="70" t="str">
        <f t="shared" si="30"/>
        <v>MMRBEM_7_DOWN</v>
      </c>
      <c r="F92" s="70">
        <v>0</v>
      </c>
      <c r="G92" s="152">
        <f t="shared" si="31"/>
        <v>3157.27</v>
      </c>
      <c r="H92" s="159">
        <f t="shared" si="29"/>
        <v>3157.27</v>
      </c>
      <c r="I92" s="232">
        <f>IF("generated"=1, "Path=MMRBEM_7_DOWN, Scaled Offset=3157.2699999999999818101059645414352", 3623.46236955356)</f>
        <v>3623.4623695535602</v>
      </c>
      <c r="K92" s="76" t="str">
        <f t="shared" si="32"/>
        <v>BOTH</v>
      </c>
      <c r="M92" s="77">
        <f>M91</f>
        <v>-2.5</v>
      </c>
      <c r="N92" s="77">
        <f>N91</f>
        <v>0</v>
      </c>
      <c r="O92" s="77"/>
      <c r="P92" s="77">
        <v>270</v>
      </c>
      <c r="Q92" s="77">
        <f>Q91</f>
        <v>0</v>
      </c>
      <c r="R92" s="75" t="s">
        <v>52</v>
      </c>
      <c r="S92" s="70" t="str">
        <f t="shared" ref="S92:T92" si="34">S91</f>
        <v>Parent ID</v>
      </c>
      <c r="T92" s="78">
        <f t="shared" si="34"/>
        <v>72028</v>
      </c>
      <c r="V92" s="79"/>
    </row>
    <row r="93" spans="1:29" s="70" customFormat="1" x14ac:dyDescent="0.2">
      <c r="A93" s="224" t="s">
        <v>129</v>
      </c>
      <c r="B93" s="154">
        <v>72032</v>
      </c>
      <c r="C93" s="70" t="str">
        <f>CONCATENATE("Passenger Pram - ",C88)</f>
        <v>Passenger Pram - Jogeshwari (East)_2</v>
      </c>
      <c r="D93" s="75" t="s">
        <v>53</v>
      </c>
      <c r="E93" s="70" t="str">
        <f t="shared" si="30"/>
        <v>MMRBEM_7_DOWN</v>
      </c>
      <c r="F93" s="70">
        <v>0</v>
      </c>
      <c r="G93" s="152">
        <f t="shared" si="31"/>
        <v>3157.27</v>
      </c>
      <c r="H93" s="159">
        <f t="shared" si="29"/>
        <v>3157.27</v>
      </c>
      <c r="I93" s="232">
        <f>IF("generated"=1, "Path=MMRBEM_7_DOWN, Scaled Offset=3157.2699999999999818101059645414352", 3623.46236955356)</f>
        <v>3623.4623695535602</v>
      </c>
      <c r="K93" s="76" t="str">
        <f t="shared" si="32"/>
        <v>BOTH</v>
      </c>
      <c r="M93" s="77">
        <f>M92</f>
        <v>-2.5</v>
      </c>
      <c r="N93" s="77">
        <f>N92</f>
        <v>0</v>
      </c>
      <c r="O93" s="77"/>
      <c r="P93" s="77">
        <v>270</v>
      </c>
      <c r="Q93" s="77">
        <f>Q92</f>
        <v>0</v>
      </c>
      <c r="R93" s="75" t="s">
        <v>52</v>
      </c>
      <c r="S93" s="70" t="str">
        <f t="shared" ref="S93:T93" si="35">S92</f>
        <v>Parent ID</v>
      </c>
      <c r="T93" s="78">
        <f t="shared" si="35"/>
        <v>72028</v>
      </c>
      <c r="V93" s="79"/>
    </row>
    <row r="94" spans="1:29" s="164" customFormat="1" x14ac:dyDescent="0.2">
      <c r="A94" s="224" t="s">
        <v>129</v>
      </c>
      <c r="B94" s="81">
        <v>72273</v>
      </c>
      <c r="C94" s="70" t="str">
        <f>CONCATENATE("PSD - ",C88)</f>
        <v>PSD - Jogeshwari (East)_2</v>
      </c>
      <c r="D94" s="165" t="s">
        <v>1042</v>
      </c>
      <c r="E94" s="70" t="str">
        <f t="shared" si="30"/>
        <v>MMRBEM_7_DOWN</v>
      </c>
      <c r="F94" s="70">
        <v>0</v>
      </c>
      <c r="G94" s="152">
        <f t="shared" si="31"/>
        <v>3157.27</v>
      </c>
      <c r="H94" s="159">
        <f t="shared" si="29"/>
        <v>3157.27</v>
      </c>
      <c r="I94" s="232">
        <f>IF("generated"=1, "Path=MMRBEM_7_DOWN, Scaled Offset=3157.2699999999999818101059645414352", 3623.46236955356)</f>
        <v>3623.4623695535602</v>
      </c>
      <c r="K94" s="76" t="str">
        <f t="shared" si="32"/>
        <v>BOTH</v>
      </c>
      <c r="M94" s="168">
        <f>M93+0.5</f>
        <v>-2</v>
      </c>
      <c r="N94" s="168"/>
      <c r="O94" s="168"/>
      <c r="P94" s="168"/>
      <c r="Q94" s="168"/>
      <c r="R94" s="165"/>
      <c r="S94" s="165" t="s">
        <v>1043</v>
      </c>
      <c r="T94" s="165" t="str">
        <f>_xlfn.CONCAT("PSD_",T89)</f>
        <v>PSD_JOE_PAS2</v>
      </c>
      <c r="U94" s="165" t="s">
        <v>926</v>
      </c>
      <c r="V94" s="165">
        <f>B88</f>
        <v>72027</v>
      </c>
      <c r="W94" s="165"/>
      <c r="X94" s="165"/>
    </row>
    <row r="95" spans="1:29" s="164" customFormat="1" x14ac:dyDescent="0.2">
      <c r="A95" s="224" t="s">
        <v>129</v>
      </c>
      <c r="B95">
        <v>72189</v>
      </c>
      <c r="C95" t="s">
        <v>951</v>
      </c>
      <c r="D95" s="140" t="s">
        <v>928</v>
      </c>
      <c r="E95" s="140" t="s">
        <v>123</v>
      </c>
      <c r="F95"/>
      <c r="G95">
        <f>G96+22.2</f>
        <v>3014.0299999999997</v>
      </c>
      <c r="H95" s="161">
        <f t="shared" ref="H95:H98" si="36">G95+F95</f>
        <v>3014.0299999999997</v>
      </c>
      <c r="I95" s="230">
        <f>IF("generated"=1, "Path=Track_10_3, Scaled Offset=3014.0299999999997453414835035800934", 3014.02999999999)</f>
        <v>3014.0299999999902</v>
      </c>
      <c r="J95"/>
      <c r="K95"/>
      <c r="L95"/>
      <c r="M95" s="168"/>
      <c r="N95" s="168"/>
      <c r="O95" s="168"/>
      <c r="P95" s="168"/>
      <c r="Q95" s="168"/>
      <c r="R95" s="165" t="s">
        <v>1041</v>
      </c>
      <c r="S95" s="140" t="s">
        <v>926</v>
      </c>
      <c r="T95" s="143">
        <f>B88</f>
        <v>72027</v>
      </c>
      <c r="U95" s="140" t="s">
        <v>61</v>
      </c>
      <c r="V95" s="143" t="str">
        <f>X88</f>
        <v>JOE</v>
      </c>
      <c r="W95" s="140" t="s">
        <v>927</v>
      </c>
      <c r="X95">
        <v>1</v>
      </c>
    </row>
    <row r="96" spans="1:29" s="164" customFormat="1" x14ac:dyDescent="0.2">
      <c r="A96" s="224" t="s">
        <v>129</v>
      </c>
      <c r="B96">
        <v>72190</v>
      </c>
      <c r="C96" t="s">
        <v>952</v>
      </c>
      <c r="D96" s="140" t="s">
        <v>928</v>
      </c>
      <c r="E96" s="140" t="s">
        <v>123</v>
      </c>
      <c r="F96"/>
      <c r="G96">
        <v>2991.83</v>
      </c>
      <c r="H96" s="161">
        <f t="shared" si="36"/>
        <v>2991.83</v>
      </c>
      <c r="I96" s="230">
        <f>IF("generated"=1, "Path=Track_10_3, Scaled Offset=2991.829999999999927240423858165741", 2991.82999999999)</f>
        <v>2991.8299999999899</v>
      </c>
      <c r="J96"/>
      <c r="K96"/>
      <c r="L96"/>
      <c r="M96" s="168"/>
      <c r="N96" s="168"/>
      <c r="O96" s="168"/>
      <c r="P96" s="168"/>
      <c r="Q96" s="168"/>
      <c r="R96" s="165" t="s">
        <v>1041</v>
      </c>
      <c r="S96" s="140" t="s">
        <v>926</v>
      </c>
      <c r="T96" s="143">
        <f>T95</f>
        <v>72027</v>
      </c>
      <c r="U96" s="140" t="s">
        <v>61</v>
      </c>
      <c r="V96" s="143" t="str">
        <f>V95</f>
        <v>JOE</v>
      </c>
      <c r="W96" s="140" t="s">
        <v>927</v>
      </c>
      <c r="X96">
        <v>1</v>
      </c>
    </row>
    <row r="97" spans="1:29" s="164" customFormat="1" x14ac:dyDescent="0.2">
      <c r="A97" s="224" t="s">
        <v>129</v>
      </c>
      <c r="B97">
        <v>72191</v>
      </c>
      <c r="C97" t="s">
        <v>953</v>
      </c>
      <c r="D97" s="140" t="s">
        <v>928</v>
      </c>
      <c r="E97" s="140" t="s">
        <v>123</v>
      </c>
      <c r="F97"/>
      <c r="G97">
        <v>2855.8</v>
      </c>
      <c r="H97" s="161">
        <f t="shared" si="36"/>
        <v>2855.8</v>
      </c>
      <c r="I97" s="230">
        <f>IF("generated"=1, "Path=Track_10_3, Scaled Offset=2855.8000000000001818989403545856476", 2855.8)</f>
        <v>2855.8</v>
      </c>
      <c r="J97"/>
      <c r="K97"/>
      <c r="L97">
        <v>1</v>
      </c>
      <c r="M97" s="168"/>
      <c r="N97" s="168"/>
      <c r="O97" s="168"/>
      <c r="P97" s="168"/>
      <c r="Q97" s="168"/>
      <c r="R97" s="165" t="s">
        <v>1041</v>
      </c>
      <c r="S97" s="140" t="s">
        <v>926</v>
      </c>
      <c r="T97" s="143">
        <f>T96</f>
        <v>72027</v>
      </c>
      <c r="U97" s="140" t="s">
        <v>61</v>
      </c>
      <c r="V97" s="143" t="str">
        <f>V96</f>
        <v>JOE</v>
      </c>
      <c r="W97" s="140" t="s">
        <v>927</v>
      </c>
      <c r="X97">
        <v>2</v>
      </c>
    </row>
    <row r="98" spans="1:29" s="164" customFormat="1" x14ac:dyDescent="0.2">
      <c r="A98" s="224" t="s">
        <v>129</v>
      </c>
      <c r="B98">
        <v>72192</v>
      </c>
      <c r="C98" t="s">
        <v>954</v>
      </c>
      <c r="D98" s="140" t="s">
        <v>928</v>
      </c>
      <c r="E98" s="140" t="s">
        <v>123</v>
      </c>
      <c r="F98"/>
      <c r="G98">
        <f>G97-22.2</f>
        <v>2833.6000000000004</v>
      </c>
      <c r="H98" s="161">
        <f t="shared" si="36"/>
        <v>2833.6000000000004</v>
      </c>
      <c r="I98" s="230">
        <f>IF("generated"=1, "Path=Track_10_3, Scaled Offset=2833.6000000000003637978807091712952", 2833.6)</f>
        <v>2833.6</v>
      </c>
      <c r="J98"/>
      <c r="K98"/>
      <c r="L98">
        <v>1</v>
      </c>
      <c r="M98" s="168"/>
      <c r="N98" s="168"/>
      <c r="O98" s="168"/>
      <c r="P98" s="168"/>
      <c r="Q98" s="168"/>
      <c r="R98" s="165" t="s">
        <v>1041</v>
      </c>
      <c r="S98" s="140" t="s">
        <v>926</v>
      </c>
      <c r="T98" s="143">
        <f>T97</f>
        <v>72027</v>
      </c>
      <c r="U98" s="140" t="s">
        <v>61</v>
      </c>
      <c r="V98" s="143" t="str">
        <f>V97</f>
        <v>JOE</v>
      </c>
      <c r="W98" s="140" t="s">
        <v>927</v>
      </c>
      <c r="X98">
        <v>2</v>
      </c>
    </row>
    <row r="99" spans="1:29" s="61" customFormat="1" x14ac:dyDescent="0.2">
      <c r="A99" s="224" t="s">
        <v>930</v>
      </c>
      <c r="B99" s="81">
        <v>72026</v>
      </c>
      <c r="C99" s="61" t="str">
        <f>LEFT(C88,LEN(C88)-2)</f>
        <v>Jogeshwari (East)</v>
      </c>
      <c r="E99" s="61" t="s">
        <v>123</v>
      </c>
      <c r="G99" s="153"/>
      <c r="H99" s="160">
        <v>2830</v>
      </c>
      <c r="I99" s="232">
        <f>IF("generated"=1, "Path=Track_10_3, Scaled Offset=2830", 2830)</f>
        <v>2830</v>
      </c>
      <c r="J99" s="89"/>
      <c r="M99" s="88"/>
      <c r="N99" s="88"/>
      <c r="O99" s="88"/>
      <c r="P99" s="88"/>
      <c r="Q99" s="88"/>
      <c r="S99" s="61" t="s">
        <v>41</v>
      </c>
      <c r="T99" s="87">
        <v>40</v>
      </c>
      <c r="V99" s="87"/>
    </row>
    <row r="100" spans="1:29" s="61" customFormat="1" x14ac:dyDescent="0.2">
      <c r="A100" s="224" t="s">
        <v>930</v>
      </c>
      <c r="B100" s="81">
        <v>72026</v>
      </c>
      <c r="C100" s="61" t="str">
        <f>C99</f>
        <v>Jogeshwari (East)</v>
      </c>
      <c r="E100" s="61" t="s">
        <v>123</v>
      </c>
      <c r="G100" s="153"/>
      <c r="H100" s="160">
        <v>3018</v>
      </c>
      <c r="I100" s="232">
        <f>IF("generated"=1, "Path=Track_10_3, Scaled Offset=3018", 3018)</f>
        <v>3018</v>
      </c>
      <c r="J100" s="89"/>
      <c r="M100" s="88"/>
      <c r="N100" s="88"/>
      <c r="O100" s="88"/>
      <c r="P100" s="88"/>
      <c r="Q100" s="88"/>
      <c r="S100" s="61" t="s">
        <v>41</v>
      </c>
      <c r="T100" s="87">
        <v>40</v>
      </c>
      <c r="V100" s="87"/>
    </row>
    <row r="102" spans="1:29" s="62" customFormat="1" x14ac:dyDescent="0.2">
      <c r="A102" s="224" t="s">
        <v>129</v>
      </c>
      <c r="B102" s="154">
        <v>72026</v>
      </c>
      <c r="C102" s="61" t="s">
        <v>305</v>
      </c>
      <c r="D102" s="62" t="s">
        <v>69</v>
      </c>
      <c r="E102" s="94"/>
      <c r="G102" s="149"/>
      <c r="H102" s="158"/>
      <c r="I102" s="162"/>
      <c r="M102" s="63"/>
      <c r="N102" s="63"/>
      <c r="O102" s="63"/>
      <c r="P102" s="63"/>
      <c r="Q102" s="63"/>
      <c r="T102" s="64"/>
      <c r="V102" s="64"/>
    </row>
    <row r="103" spans="1:29" s="60" customFormat="1" x14ac:dyDescent="0.2">
      <c r="A103" s="224"/>
      <c r="B103" s="81"/>
      <c r="C103" s="60" t="s">
        <v>309</v>
      </c>
      <c r="D103" s="60" t="s">
        <v>51</v>
      </c>
      <c r="E103" s="94" t="s">
        <v>187</v>
      </c>
      <c r="G103" s="150">
        <v>3064.2809999999999</v>
      </c>
      <c r="H103" s="159">
        <f>G103+F103</f>
        <v>3064.2809999999999</v>
      </c>
      <c r="I103" s="90"/>
      <c r="J103" s="65"/>
      <c r="K103" s="60" t="s">
        <v>64</v>
      </c>
      <c r="M103" s="66">
        <v>2.5</v>
      </c>
      <c r="N103" s="66">
        <v>0</v>
      </c>
      <c r="O103" s="66"/>
      <c r="P103" s="66"/>
      <c r="Q103" s="66"/>
      <c r="R103" s="60" t="str">
        <f>$E$3</f>
        <v>Red</v>
      </c>
      <c r="S103" s="60" t="s">
        <v>68</v>
      </c>
      <c r="T103" s="67" t="str">
        <f>C103</f>
        <v>Jogeshwari (East)_S2</v>
      </c>
      <c r="U103" s="60" t="s">
        <v>50</v>
      </c>
      <c r="V103" s="67">
        <v>0</v>
      </c>
      <c r="W103" s="60" t="s">
        <v>67</v>
      </c>
      <c r="X103" s="60">
        <v>1</v>
      </c>
      <c r="Y103" s="60" t="s">
        <v>66</v>
      </c>
      <c r="Z103" s="60">
        <v>1</v>
      </c>
      <c r="AA103" s="60" t="s">
        <v>305</v>
      </c>
      <c r="AB103" s="74" t="s">
        <v>308</v>
      </c>
      <c r="AC103" s="60">
        <v>1</v>
      </c>
    </row>
    <row r="104" spans="1:29" s="60" customFormat="1" x14ac:dyDescent="0.2">
      <c r="A104" s="224"/>
      <c r="B104" s="81"/>
      <c r="C104" s="60" t="str">
        <f>AA104&amp;"_"&amp;AC104</f>
        <v>Jogeshwari (East)_1</v>
      </c>
      <c r="D104" s="60" t="s">
        <v>51</v>
      </c>
      <c r="E104" s="60" t="str">
        <f>E103</f>
        <v>MMRBEM_7_UP</v>
      </c>
      <c r="G104" s="151">
        <f>AVERAGE(H103,H105)</f>
        <v>3156.7809999999999</v>
      </c>
      <c r="H104" s="159">
        <f>F104+G104</f>
        <v>3156.7809999999999</v>
      </c>
      <c r="I104" s="90"/>
      <c r="J104" s="65"/>
      <c r="K104" s="60" t="s">
        <v>64</v>
      </c>
      <c r="M104" s="66">
        <v>2.5</v>
      </c>
      <c r="N104" s="66">
        <v>0</v>
      </c>
      <c r="O104" s="66"/>
      <c r="P104" s="66"/>
      <c r="Q104" s="66"/>
      <c r="R104" s="60" t="str">
        <f>$E$4</f>
        <v>Green</v>
      </c>
      <c r="S104" s="60" t="s">
        <v>68</v>
      </c>
      <c r="T104" s="67" t="str">
        <f>C104</f>
        <v>Jogeshwari (East)_1</v>
      </c>
      <c r="U104" s="60" t="s">
        <v>50</v>
      </c>
      <c r="V104" s="67">
        <v>0</v>
      </c>
      <c r="W104" s="60" t="s">
        <v>67</v>
      </c>
      <c r="X104" s="60">
        <v>1</v>
      </c>
      <c r="Y104" s="60" t="s">
        <v>66</v>
      </c>
      <c r="Z104" s="60">
        <v>1</v>
      </c>
      <c r="AA104" s="60" t="str">
        <f>AA103</f>
        <v>Jogeshwari (East)</v>
      </c>
      <c r="AB104" s="60" t="str">
        <f>AB103</f>
        <v>JOE</v>
      </c>
      <c r="AC104" s="60">
        <f>AC103</f>
        <v>1</v>
      </c>
    </row>
    <row r="105" spans="1:29" s="60" customFormat="1" x14ac:dyDescent="0.2">
      <c r="A105" s="224"/>
      <c r="B105" s="81"/>
      <c r="C105" s="60" t="s">
        <v>310</v>
      </c>
      <c r="D105" s="60" t="s">
        <v>51</v>
      </c>
      <c r="E105" s="94" t="s">
        <v>187</v>
      </c>
      <c r="G105" s="150">
        <v>3249.2809999999999</v>
      </c>
      <c r="H105" s="159">
        <f>G105+F105</f>
        <v>3249.2809999999999</v>
      </c>
      <c r="I105" s="90"/>
      <c r="J105" s="65"/>
      <c r="K105" s="60" t="s">
        <v>64</v>
      </c>
      <c r="M105" s="66">
        <v>2.5</v>
      </c>
      <c r="N105" s="66">
        <v>0</v>
      </c>
      <c r="O105" s="66"/>
      <c r="P105" s="66"/>
      <c r="Q105" s="66"/>
      <c r="R105" s="60" t="str">
        <f>$E$3</f>
        <v>Red</v>
      </c>
      <c r="S105" s="60" t="s">
        <v>68</v>
      </c>
      <c r="T105" s="67" t="str">
        <f>C105</f>
        <v>Jogeshwari (East)_E2</v>
      </c>
      <c r="U105" s="60" t="s">
        <v>50</v>
      </c>
      <c r="V105" s="67">
        <v>0</v>
      </c>
      <c r="W105" s="60" t="s">
        <v>67</v>
      </c>
      <c r="X105" s="60">
        <v>1</v>
      </c>
      <c r="Y105" s="60" t="s">
        <v>66</v>
      </c>
      <c r="Z105" s="60">
        <v>1</v>
      </c>
      <c r="AA105" s="60" t="s">
        <v>305</v>
      </c>
      <c r="AB105" s="74" t="s">
        <v>308</v>
      </c>
      <c r="AC105" s="60">
        <v>1</v>
      </c>
    </row>
    <row r="106" spans="1:29" s="70" customFormat="1" x14ac:dyDescent="0.2">
      <c r="A106" s="224" t="s">
        <v>129</v>
      </c>
      <c r="B106" s="154">
        <v>72033</v>
      </c>
      <c r="C106" s="68" t="str">
        <f>C104</f>
        <v>Jogeshwari (East)_1</v>
      </c>
      <c r="D106" s="69" t="s">
        <v>65</v>
      </c>
      <c r="E106" s="70" t="str">
        <f>E104</f>
        <v>MMRBEM_7_UP</v>
      </c>
      <c r="F106" s="70">
        <f>F104</f>
        <v>0</v>
      </c>
      <c r="G106" s="152">
        <f>H104</f>
        <v>3156.7809999999999</v>
      </c>
      <c r="H106" s="159">
        <f t="shared" ref="H106:H112" si="37">F106+G106</f>
        <v>3156.7809999999999</v>
      </c>
      <c r="I106" s="232">
        <f>IF("generated"=1, "Path=MMRBEM_7_UP, Scaled Offset=3156.7809999999999490682967007160187", 3623.40326820317)</f>
        <v>3623.4032682031698</v>
      </c>
      <c r="K106" s="69" t="s">
        <v>64</v>
      </c>
      <c r="M106" s="71">
        <f>2*M104</f>
        <v>5</v>
      </c>
      <c r="N106" s="71">
        <v>0</v>
      </c>
      <c r="O106" s="71"/>
      <c r="P106" s="71">
        <v>0</v>
      </c>
      <c r="Q106" s="71">
        <v>0</v>
      </c>
      <c r="S106" s="69" t="s">
        <v>63</v>
      </c>
      <c r="T106" s="72">
        <f>ABS(H105-H103)</f>
        <v>185</v>
      </c>
      <c r="U106" s="69" t="s">
        <v>62</v>
      </c>
      <c r="V106" s="73" t="str">
        <f>C106</f>
        <v>Jogeshwari (East)_1</v>
      </c>
      <c r="W106" s="68" t="s">
        <v>61</v>
      </c>
      <c r="X106" s="74" t="s">
        <v>308</v>
      </c>
      <c r="Y106" s="74" t="s">
        <v>60</v>
      </c>
      <c r="Z106" s="70" t="str">
        <f>LEFT(V106, LEN(V106)-2)</f>
        <v>Jogeshwari (East)</v>
      </c>
    </row>
    <row r="107" spans="1:29" s="70" customFormat="1" x14ac:dyDescent="0.2">
      <c r="A107" s="224" t="s">
        <v>129</v>
      </c>
      <c r="B107" s="154">
        <v>72034</v>
      </c>
      <c r="C107" s="70" t="str">
        <f>CONCATENATE("Platform Passenger - ",C106)</f>
        <v>Platform Passenger - Jogeshwari (East)_1</v>
      </c>
      <c r="D107" s="75" t="s">
        <v>59</v>
      </c>
      <c r="E107" s="70" t="str">
        <f t="shared" ref="E107:E112" si="38">E106</f>
        <v>MMRBEM_7_UP</v>
      </c>
      <c r="F107" s="70">
        <v>0</v>
      </c>
      <c r="G107" s="152">
        <f t="shared" ref="G107:G112" si="39">G106</f>
        <v>3156.7809999999999</v>
      </c>
      <c r="H107" s="159">
        <f t="shared" si="37"/>
        <v>3156.7809999999999</v>
      </c>
      <c r="I107" s="232">
        <f>IF("generated"=1, "Path=MMRBEM_7_UP, Scaled Offset=3156.7809999999999490682967007160187", 3623.40326820317)</f>
        <v>3623.4032682031698</v>
      </c>
      <c r="K107" s="76" t="str">
        <f t="shared" ref="K107:K112" si="40">K106</f>
        <v>BOTH</v>
      </c>
      <c r="M107" s="77">
        <f>M106/2</f>
        <v>2.5</v>
      </c>
      <c r="N107" s="77">
        <f>N106</f>
        <v>0</v>
      </c>
      <c r="O107" s="77"/>
      <c r="P107" s="77">
        <v>90</v>
      </c>
      <c r="Q107" s="77">
        <f>Q106</f>
        <v>0</v>
      </c>
      <c r="R107" s="75" t="s">
        <v>1091</v>
      </c>
      <c r="S107" s="70" t="s">
        <v>58</v>
      </c>
      <c r="T107" s="78" t="str">
        <f>CONCATENATE(X106,"_PAS"&amp;AC105)</f>
        <v>JOE_PAS1</v>
      </c>
      <c r="V107" s="79"/>
    </row>
    <row r="108" spans="1:29" s="70" customFormat="1" x14ac:dyDescent="0.2">
      <c r="A108" s="224" t="s">
        <v>129</v>
      </c>
      <c r="B108" s="154">
        <v>72035</v>
      </c>
      <c r="C108" s="70" t="str">
        <f>CONCATENATE("Passenger Alighting - ",C106)</f>
        <v>Passenger Alighting - Jogeshwari (East)_1</v>
      </c>
      <c r="D108" s="75" t="s">
        <v>57</v>
      </c>
      <c r="E108" s="70" t="str">
        <f t="shared" si="38"/>
        <v>MMRBEM_7_UP</v>
      </c>
      <c r="F108" s="70">
        <v>0</v>
      </c>
      <c r="G108" s="152">
        <f t="shared" si="39"/>
        <v>3156.7809999999999</v>
      </c>
      <c r="H108" s="159">
        <f t="shared" si="37"/>
        <v>3156.7809999999999</v>
      </c>
      <c r="I108" s="232">
        <f>IF("generated"=1, "Path=MMRBEM_7_UP, Scaled Offset=3156.7809999999999490682967007160187", 3623.40326820317)</f>
        <v>3623.4032682031698</v>
      </c>
      <c r="K108" s="76" t="str">
        <f t="shared" si="40"/>
        <v>BOTH</v>
      </c>
      <c r="M108" s="77">
        <f>M107</f>
        <v>2.5</v>
      </c>
      <c r="N108" s="77">
        <f>N107</f>
        <v>0</v>
      </c>
      <c r="O108" s="77"/>
      <c r="P108" s="77">
        <v>90</v>
      </c>
      <c r="Q108" s="77">
        <f>Q107</f>
        <v>0</v>
      </c>
      <c r="R108" s="75" t="s">
        <v>1091</v>
      </c>
      <c r="S108" s="70" t="s">
        <v>56</v>
      </c>
      <c r="T108" s="78">
        <f>B107</f>
        <v>72034</v>
      </c>
      <c r="V108" s="79"/>
    </row>
    <row r="109" spans="1:29" s="70" customFormat="1" x14ac:dyDescent="0.2">
      <c r="A109" s="224" t="s">
        <v>129</v>
      </c>
      <c r="B109" s="154">
        <v>72036</v>
      </c>
      <c r="C109" s="70" t="str">
        <f>CONCATENATE("Passenger Arriving - ",C104)</f>
        <v>Passenger Arriving - Jogeshwari (East)_1</v>
      </c>
      <c r="D109" s="75" t="s">
        <v>55</v>
      </c>
      <c r="E109" s="70" t="str">
        <f t="shared" si="38"/>
        <v>MMRBEM_7_UP</v>
      </c>
      <c r="F109" s="70">
        <v>0</v>
      </c>
      <c r="G109" s="152">
        <f t="shared" si="39"/>
        <v>3156.7809999999999</v>
      </c>
      <c r="H109" s="159">
        <f t="shared" si="37"/>
        <v>3156.7809999999999</v>
      </c>
      <c r="I109" s="232">
        <f>IF("generated"=1, "Path=MMRBEM_7_UP, Scaled Offset=3156.7809999999999490682967007160187", 3623.40326820317)</f>
        <v>3623.4032682031698</v>
      </c>
      <c r="K109" s="76" t="str">
        <f t="shared" si="40"/>
        <v>BOTH</v>
      </c>
      <c r="M109" s="77">
        <f>M108</f>
        <v>2.5</v>
      </c>
      <c r="N109" s="77">
        <f>N108</f>
        <v>0</v>
      </c>
      <c r="O109" s="77"/>
      <c r="P109" s="77">
        <v>90</v>
      </c>
      <c r="Q109" s="77">
        <f>Q108</f>
        <v>0</v>
      </c>
      <c r="R109" s="75" t="s">
        <v>52</v>
      </c>
      <c r="S109" s="70" t="str">
        <f t="shared" ref="S109:T109" si="41">S108</f>
        <v>Parent ID</v>
      </c>
      <c r="T109" s="78">
        <f t="shared" si="41"/>
        <v>72034</v>
      </c>
      <c r="V109" s="79"/>
    </row>
    <row r="110" spans="1:29" s="70" customFormat="1" x14ac:dyDescent="0.2">
      <c r="A110" s="224" t="s">
        <v>129</v>
      </c>
      <c r="B110" s="154">
        <v>72037</v>
      </c>
      <c r="C110" s="70" t="str">
        <f>CONCATENATE("Passenger Intoxicated - ",C106)</f>
        <v>Passenger Intoxicated - Jogeshwari (East)_1</v>
      </c>
      <c r="D110" s="75" t="s">
        <v>54</v>
      </c>
      <c r="E110" s="70" t="str">
        <f t="shared" si="38"/>
        <v>MMRBEM_7_UP</v>
      </c>
      <c r="F110" s="70">
        <v>0</v>
      </c>
      <c r="G110" s="152">
        <f t="shared" si="39"/>
        <v>3156.7809999999999</v>
      </c>
      <c r="H110" s="159">
        <f t="shared" si="37"/>
        <v>3156.7809999999999</v>
      </c>
      <c r="I110" s="232">
        <f>IF("generated"=1, "Path=MMRBEM_7_UP, Scaled Offset=3156.7809999999999490682967007160187", 3623.40326820317)</f>
        <v>3623.4032682031698</v>
      </c>
      <c r="K110" s="76" t="str">
        <f t="shared" si="40"/>
        <v>BOTH</v>
      </c>
      <c r="M110" s="77">
        <f>M109</f>
        <v>2.5</v>
      </c>
      <c r="N110" s="77">
        <f>N109</f>
        <v>0</v>
      </c>
      <c r="O110" s="77"/>
      <c r="P110" s="77">
        <v>90</v>
      </c>
      <c r="Q110" s="77">
        <f>Q109</f>
        <v>0</v>
      </c>
      <c r="R110" s="75" t="s">
        <v>52</v>
      </c>
      <c r="S110" s="70" t="str">
        <f t="shared" ref="S110:T110" si="42">S109</f>
        <v>Parent ID</v>
      </c>
      <c r="T110" s="78">
        <f t="shared" si="42"/>
        <v>72034</v>
      </c>
      <c r="V110" s="79"/>
    </row>
    <row r="111" spans="1:29" s="70" customFormat="1" x14ac:dyDescent="0.2">
      <c r="A111" s="224" t="s">
        <v>129</v>
      </c>
      <c r="B111" s="154">
        <v>72038</v>
      </c>
      <c r="C111" s="70" t="str">
        <f>CONCATENATE("Passenger Pram - ",C106)</f>
        <v>Passenger Pram - Jogeshwari (East)_1</v>
      </c>
      <c r="D111" s="75" t="s">
        <v>53</v>
      </c>
      <c r="E111" s="70" t="str">
        <f t="shared" si="38"/>
        <v>MMRBEM_7_UP</v>
      </c>
      <c r="F111" s="70">
        <v>0</v>
      </c>
      <c r="G111" s="152">
        <f t="shared" si="39"/>
        <v>3156.7809999999999</v>
      </c>
      <c r="H111" s="159">
        <f t="shared" si="37"/>
        <v>3156.7809999999999</v>
      </c>
      <c r="I111" s="232">
        <f>IF("generated"=1, "Path=MMRBEM_7_UP, Scaled Offset=3156.7809999999999490682967007160187", 3623.40326820317)</f>
        <v>3623.4032682031698</v>
      </c>
      <c r="K111" s="76" t="str">
        <f t="shared" si="40"/>
        <v>BOTH</v>
      </c>
      <c r="M111" s="77">
        <f>M110</f>
        <v>2.5</v>
      </c>
      <c r="N111" s="77">
        <f>N110</f>
        <v>0</v>
      </c>
      <c r="O111" s="77"/>
      <c r="P111" s="77">
        <v>90</v>
      </c>
      <c r="Q111" s="77">
        <f>Q110</f>
        <v>0</v>
      </c>
      <c r="R111" s="75" t="s">
        <v>52</v>
      </c>
      <c r="S111" s="70" t="str">
        <f t="shared" ref="S111:T111" si="43">S110</f>
        <v>Parent ID</v>
      </c>
      <c r="T111" s="78">
        <f t="shared" si="43"/>
        <v>72034</v>
      </c>
      <c r="V111" s="79"/>
    </row>
    <row r="112" spans="1:29" s="164" customFormat="1" x14ac:dyDescent="0.2">
      <c r="A112" s="224" t="s">
        <v>129</v>
      </c>
      <c r="B112" s="81">
        <v>72274</v>
      </c>
      <c r="C112" s="70" t="str">
        <f>CONCATENATE("PSD - ",C106)</f>
        <v>PSD - Jogeshwari (East)_1</v>
      </c>
      <c r="D112" s="165" t="s">
        <v>1042</v>
      </c>
      <c r="E112" s="70" t="str">
        <f t="shared" si="38"/>
        <v>MMRBEM_7_UP</v>
      </c>
      <c r="F112" s="70">
        <v>0</v>
      </c>
      <c r="G112" s="152">
        <f t="shared" si="39"/>
        <v>3156.7809999999999</v>
      </c>
      <c r="H112" s="159">
        <f t="shared" si="37"/>
        <v>3156.7809999999999</v>
      </c>
      <c r="I112" s="232">
        <f>IF("generated"=1, "Path=MMRBEM_7_UP, Scaled Offset=3156.7809999999999490682967007160187", 3623.40326820317)</f>
        <v>3623.4032682031698</v>
      </c>
      <c r="K112" s="76" t="str">
        <f t="shared" si="40"/>
        <v>BOTH</v>
      </c>
      <c r="M112" s="168">
        <f>M111-0.5</f>
        <v>2</v>
      </c>
      <c r="N112" s="168"/>
      <c r="O112" s="168"/>
      <c r="P112" s="168"/>
      <c r="Q112" s="168"/>
      <c r="R112" s="165"/>
      <c r="S112" s="165" t="s">
        <v>1043</v>
      </c>
      <c r="T112" s="165" t="str">
        <f>_xlfn.CONCAT("PSD_",T107)</f>
        <v>PSD_JOE_PAS1</v>
      </c>
      <c r="U112" s="165" t="s">
        <v>926</v>
      </c>
      <c r="V112" s="165">
        <f>B106</f>
        <v>72033</v>
      </c>
      <c r="W112" s="165"/>
      <c r="X112" s="165"/>
    </row>
    <row r="113" spans="1:29" s="164" customFormat="1" x14ac:dyDescent="0.2">
      <c r="A113" s="224" t="s">
        <v>129</v>
      </c>
      <c r="B113">
        <v>72193</v>
      </c>
      <c r="C113" t="s">
        <v>955</v>
      </c>
      <c r="D113" s="140" t="s">
        <v>928</v>
      </c>
      <c r="E113" s="140" t="s">
        <v>87</v>
      </c>
      <c r="F113"/>
      <c r="G113">
        <f>G114+22.2</f>
        <v>2935.7</v>
      </c>
      <c r="H113" s="161">
        <f t="shared" ref="H113:H116" si="44">G113+F113</f>
        <v>2935.7</v>
      </c>
      <c r="I113" s="230">
        <f>IF("generated"=1, "Path=Track_20_3_Track_1, Scaled Offset=2935.6999999999998181010596454143524", 2935.69999999999)</f>
        <v>2935.6999999999898</v>
      </c>
      <c r="J113"/>
      <c r="K113"/>
      <c r="L113"/>
      <c r="M113" s="168"/>
      <c r="N113" s="168"/>
      <c r="O113" s="168"/>
      <c r="P113" s="168"/>
      <c r="Q113" s="168"/>
      <c r="R113" s="165" t="s">
        <v>1041</v>
      </c>
      <c r="S113" s="140" t="s">
        <v>926</v>
      </c>
      <c r="T113" s="143">
        <f>B106</f>
        <v>72033</v>
      </c>
      <c r="U113" s="140" t="s">
        <v>61</v>
      </c>
      <c r="V113" s="143" t="str">
        <f>X106</f>
        <v>JOE</v>
      </c>
      <c r="W113" s="140" t="s">
        <v>927</v>
      </c>
      <c r="X113">
        <v>2</v>
      </c>
    </row>
    <row r="114" spans="1:29" s="164" customFormat="1" x14ac:dyDescent="0.2">
      <c r="A114" s="224" t="s">
        <v>129</v>
      </c>
      <c r="B114">
        <v>72194</v>
      </c>
      <c r="C114" t="s">
        <v>956</v>
      </c>
      <c r="D114" s="140" t="s">
        <v>928</v>
      </c>
      <c r="E114" s="140" t="s">
        <v>87</v>
      </c>
      <c r="F114"/>
      <c r="G114">
        <v>2913.5</v>
      </c>
      <c r="H114" s="161">
        <f t="shared" si="44"/>
        <v>2913.5</v>
      </c>
      <c r="I114" s="230">
        <f>IF("generated"=1, "Path=Track_20_3_Track_1, Scaled Offset=2913.5", 2913.5)</f>
        <v>2913.5</v>
      </c>
      <c r="J114"/>
      <c r="K114"/>
      <c r="L114"/>
      <c r="M114" s="168"/>
      <c r="N114" s="168"/>
      <c r="O114" s="168"/>
      <c r="P114" s="168"/>
      <c r="Q114" s="168"/>
      <c r="R114" s="165" t="s">
        <v>1041</v>
      </c>
      <c r="S114" s="140" t="s">
        <v>926</v>
      </c>
      <c r="T114" s="143">
        <f>T113</f>
        <v>72033</v>
      </c>
      <c r="U114" s="140" t="s">
        <v>61</v>
      </c>
      <c r="V114" s="143" t="str">
        <f>V113</f>
        <v>JOE</v>
      </c>
      <c r="W114" s="140" t="s">
        <v>927</v>
      </c>
      <c r="X114">
        <v>2</v>
      </c>
    </row>
    <row r="115" spans="1:29" s="164" customFormat="1" x14ac:dyDescent="0.2">
      <c r="A115" s="224" t="s">
        <v>129</v>
      </c>
      <c r="B115">
        <v>72195</v>
      </c>
      <c r="C115" t="s">
        <v>957</v>
      </c>
      <c r="D115" s="140" t="s">
        <v>928</v>
      </c>
      <c r="E115" s="140" t="s">
        <v>87</v>
      </c>
      <c r="F115"/>
      <c r="G115">
        <v>2777.6</v>
      </c>
      <c r="H115" s="161">
        <f t="shared" si="44"/>
        <v>2777.6</v>
      </c>
      <c r="I115" s="230">
        <f>IF("generated"=1, "Path=Track_20_3_Track_1, Scaled Offset=2777.5999999999999090505298227071762", 2777.59999999999)</f>
        <v>2777.5999999999899</v>
      </c>
      <c r="J115"/>
      <c r="K115"/>
      <c r="L115" s="164">
        <v>1</v>
      </c>
      <c r="M115" s="168"/>
      <c r="N115" s="168"/>
      <c r="O115" s="168"/>
      <c r="P115" s="168"/>
      <c r="Q115" s="168"/>
      <c r="R115" s="165" t="s">
        <v>1041</v>
      </c>
      <c r="S115" s="140" t="s">
        <v>926</v>
      </c>
      <c r="T115" s="143">
        <f>T114</f>
        <v>72033</v>
      </c>
      <c r="U115" s="140" t="s">
        <v>61</v>
      </c>
      <c r="V115" s="143" t="str">
        <f>V114</f>
        <v>JOE</v>
      </c>
      <c r="W115" s="140" t="s">
        <v>927</v>
      </c>
      <c r="X115" s="164">
        <v>1</v>
      </c>
    </row>
    <row r="116" spans="1:29" s="164" customFormat="1" x14ac:dyDescent="0.2">
      <c r="A116" s="224" t="s">
        <v>129</v>
      </c>
      <c r="B116">
        <v>72196</v>
      </c>
      <c r="C116" t="s">
        <v>958</v>
      </c>
      <c r="D116" s="140" t="s">
        <v>928</v>
      </c>
      <c r="E116" s="140" t="s">
        <v>87</v>
      </c>
      <c r="F116"/>
      <c r="G116">
        <f>G115-22.2</f>
        <v>2755.4</v>
      </c>
      <c r="H116" s="161">
        <f t="shared" si="44"/>
        <v>2755.4</v>
      </c>
      <c r="I116" s="230">
        <f>IF("generated"=1, "Path=Track_20_3_Track_1, Scaled Offset=2755.4000000000000909494701772928238", 2755.4)</f>
        <v>2755.4</v>
      </c>
      <c r="J116"/>
      <c r="K116"/>
      <c r="L116" s="164">
        <v>1</v>
      </c>
      <c r="M116" s="168"/>
      <c r="N116" s="168"/>
      <c r="O116" s="168"/>
      <c r="P116" s="168"/>
      <c r="Q116" s="168"/>
      <c r="R116" s="165" t="s">
        <v>1041</v>
      </c>
      <c r="S116" s="140" t="s">
        <v>926</v>
      </c>
      <c r="T116" s="143">
        <f>T115</f>
        <v>72033</v>
      </c>
      <c r="U116" s="140" t="s">
        <v>61</v>
      </c>
      <c r="V116" s="143" t="str">
        <f>V115</f>
        <v>JOE</v>
      </c>
      <c r="W116" s="140" t="s">
        <v>927</v>
      </c>
      <c r="X116" s="164">
        <v>1</v>
      </c>
    </row>
    <row r="117" spans="1:29" s="61" customFormat="1" x14ac:dyDescent="0.2">
      <c r="A117" s="224" t="s">
        <v>930</v>
      </c>
      <c r="B117" s="81">
        <v>72026</v>
      </c>
      <c r="C117" s="61" t="str">
        <f>LEFT(C106,LEN(C106)-2)</f>
        <v>Jogeshwari (East)</v>
      </c>
      <c r="E117" s="61" t="s">
        <v>87</v>
      </c>
      <c r="G117" s="153"/>
      <c r="H117" s="160">
        <v>2750</v>
      </c>
      <c r="I117" s="232">
        <f>IF("generated"=1, "Path=Track_20_3_Track_1, Scaled Offset=2750", 2750)</f>
        <v>2750</v>
      </c>
      <c r="J117" s="89"/>
      <c r="M117" s="88"/>
      <c r="N117" s="88"/>
      <c r="O117" s="88"/>
      <c r="P117" s="88"/>
      <c r="Q117" s="88"/>
      <c r="S117" s="61" t="s">
        <v>41</v>
      </c>
      <c r="T117" s="87">
        <v>40</v>
      </c>
      <c r="V117" s="87"/>
    </row>
    <row r="118" spans="1:29" s="61" customFormat="1" x14ac:dyDescent="0.2">
      <c r="A118" s="224" t="s">
        <v>930</v>
      </c>
      <c r="B118" s="81">
        <v>72026</v>
      </c>
      <c r="C118" s="61" t="str">
        <f>C117</f>
        <v>Jogeshwari (East)</v>
      </c>
      <c r="E118" s="61" t="s">
        <v>87</v>
      </c>
      <c r="G118" s="153"/>
      <c r="H118" s="160">
        <v>2940</v>
      </c>
      <c r="I118" s="232">
        <f>IF("generated"=1, "Path=Track_20_3_Track_1, Scaled Offset=2940", 2940)</f>
        <v>2940</v>
      </c>
      <c r="J118" s="89"/>
      <c r="M118" s="88"/>
      <c r="N118" s="88"/>
      <c r="O118" s="88"/>
      <c r="P118" s="88"/>
      <c r="Q118" s="88"/>
      <c r="S118" s="61" t="s">
        <v>41</v>
      </c>
      <c r="T118" s="87">
        <v>40</v>
      </c>
      <c r="V118" s="87"/>
    </row>
    <row r="120" spans="1:29" s="62" customFormat="1" x14ac:dyDescent="0.2">
      <c r="A120" s="224" t="s">
        <v>129</v>
      </c>
      <c r="B120" s="154">
        <v>72039</v>
      </c>
      <c r="C120" s="61" t="s">
        <v>311</v>
      </c>
      <c r="D120" s="62" t="s">
        <v>69</v>
      </c>
      <c r="G120" s="149"/>
      <c r="H120" s="158"/>
      <c r="I120" s="162"/>
      <c r="M120" s="63"/>
      <c r="N120" s="63"/>
      <c r="O120" s="63"/>
      <c r="P120" s="63"/>
      <c r="Q120" s="63"/>
      <c r="T120" s="64"/>
      <c r="V120" s="64"/>
    </row>
    <row r="121" spans="1:29" s="60" customFormat="1" x14ac:dyDescent="0.2">
      <c r="A121" s="224"/>
      <c r="B121" s="81"/>
      <c r="C121" s="60" t="s">
        <v>312</v>
      </c>
      <c r="D121" s="60" t="s">
        <v>51</v>
      </c>
      <c r="E121" t="s">
        <v>188</v>
      </c>
      <c r="G121" s="150">
        <v>4125.8379999999997</v>
      </c>
      <c r="H121" s="159">
        <f>G121+F121</f>
        <v>4125.8379999999997</v>
      </c>
      <c r="I121" s="90">
        <f>IF("generated"=1, "Path=Intermodal_Coronel_Platform_2_2, Scaled Offset=160.40000000000000568434188608080149", 160.4)</f>
        <v>160.4</v>
      </c>
      <c r="J121" s="65"/>
      <c r="K121" s="60" t="s">
        <v>64</v>
      </c>
      <c r="M121" s="66">
        <v>-2.5</v>
      </c>
      <c r="N121" s="66">
        <v>0</v>
      </c>
      <c r="O121" s="66"/>
      <c r="P121" s="66"/>
      <c r="Q121" s="66"/>
      <c r="R121" s="60" t="str">
        <f>$E$3</f>
        <v>Red</v>
      </c>
      <c r="S121" s="60" t="s">
        <v>68</v>
      </c>
      <c r="T121" s="67" t="str">
        <f>C121</f>
        <v>Goregaon (East)_S1</v>
      </c>
      <c r="U121" s="60" t="s">
        <v>50</v>
      </c>
      <c r="V121" s="67">
        <v>0</v>
      </c>
      <c r="W121" s="60" t="s">
        <v>67</v>
      </c>
      <c r="X121" s="60">
        <v>1</v>
      </c>
      <c r="Y121" s="60" t="s">
        <v>66</v>
      </c>
      <c r="Z121" s="60">
        <v>1</v>
      </c>
      <c r="AA121" s="61" t="s">
        <v>311</v>
      </c>
      <c r="AB121" s="74" t="s">
        <v>316</v>
      </c>
      <c r="AC121" s="60">
        <v>2</v>
      </c>
    </row>
    <row r="122" spans="1:29" s="60" customFormat="1" x14ac:dyDescent="0.2">
      <c r="A122" s="224"/>
      <c r="B122" s="81"/>
      <c r="C122" s="60" t="str">
        <f>AA122&amp;"_"&amp;AC122</f>
        <v>Goregaon (East)_2</v>
      </c>
      <c r="D122" s="60" t="s">
        <v>51</v>
      </c>
      <c r="E122" t="s">
        <v>188</v>
      </c>
      <c r="G122" s="151">
        <f>AVERAGE(H121,H123)</f>
        <v>4218.3379999999997</v>
      </c>
      <c r="H122" s="159">
        <f>F122+G122</f>
        <v>4218.3379999999997</v>
      </c>
      <c r="I122" s="90">
        <f>IF("generated"=1, "Path=East_Central_Line1_5, Scaled Offset=69.5", 69.5)</f>
        <v>69.5</v>
      </c>
      <c r="J122" s="65"/>
      <c r="K122" s="60" t="s">
        <v>64</v>
      </c>
      <c r="M122" s="66">
        <f>M121</f>
        <v>-2.5</v>
      </c>
      <c r="N122" s="66">
        <v>0</v>
      </c>
      <c r="O122" s="66"/>
      <c r="P122" s="66"/>
      <c r="Q122" s="66"/>
      <c r="R122" s="60" t="str">
        <f>$E$4</f>
        <v>Green</v>
      </c>
      <c r="S122" s="60" t="s">
        <v>68</v>
      </c>
      <c r="T122" s="67" t="str">
        <f>C122</f>
        <v>Goregaon (East)_2</v>
      </c>
      <c r="U122" s="60" t="s">
        <v>50</v>
      </c>
      <c r="V122" s="67">
        <v>0</v>
      </c>
      <c r="W122" s="60" t="s">
        <v>67</v>
      </c>
      <c r="X122" s="60">
        <v>1</v>
      </c>
      <c r="Y122" s="60" t="s">
        <v>66</v>
      </c>
      <c r="Z122" s="60">
        <v>1</v>
      </c>
      <c r="AA122" s="60" t="str">
        <f>AA121</f>
        <v>Goregaon (East)</v>
      </c>
      <c r="AB122" s="60" t="str">
        <f>AB121</f>
        <v>GOE</v>
      </c>
      <c r="AC122" s="60">
        <f>AC121</f>
        <v>2</v>
      </c>
    </row>
    <row r="123" spans="1:29" s="60" customFormat="1" x14ac:dyDescent="0.2">
      <c r="A123" s="224"/>
      <c r="B123" s="81"/>
      <c r="C123" s="60" t="s">
        <v>313</v>
      </c>
      <c r="D123" s="60" t="s">
        <v>51</v>
      </c>
      <c r="E123" t="s">
        <v>188</v>
      </c>
      <c r="G123" s="150">
        <v>4310.8379999999997</v>
      </c>
      <c r="H123" s="159">
        <f>G123+F123</f>
        <v>4310.8379999999997</v>
      </c>
      <c r="I123" s="90">
        <f>IF("generated"=1, "Path=Intermodal_Coronel_Platform_2_2, Scaled Offset=231", 231)</f>
        <v>231</v>
      </c>
      <c r="J123" s="65"/>
      <c r="K123" s="60" t="s">
        <v>64</v>
      </c>
      <c r="M123" s="66">
        <v>-2.5</v>
      </c>
      <c r="N123" s="66">
        <v>0</v>
      </c>
      <c r="O123" s="66"/>
      <c r="P123" s="66"/>
      <c r="Q123" s="66"/>
      <c r="R123" s="60" t="str">
        <f>$E$3</f>
        <v>Red</v>
      </c>
      <c r="S123" s="60" t="s">
        <v>68</v>
      </c>
      <c r="T123" s="67" t="str">
        <f>C123</f>
        <v>Goregaon (East)_E1</v>
      </c>
      <c r="U123" s="60" t="s">
        <v>50</v>
      </c>
      <c r="V123" s="67">
        <v>0</v>
      </c>
      <c r="W123" s="60" t="s">
        <v>67</v>
      </c>
      <c r="X123" s="60">
        <v>1</v>
      </c>
      <c r="Y123" s="60" t="s">
        <v>66</v>
      </c>
      <c r="Z123" s="60">
        <v>1</v>
      </c>
      <c r="AA123" s="61" t="s">
        <v>311</v>
      </c>
      <c r="AB123" s="74" t="s">
        <v>316</v>
      </c>
      <c r="AC123" s="60">
        <v>2</v>
      </c>
    </row>
    <row r="124" spans="1:29" s="70" customFormat="1" x14ac:dyDescent="0.2">
      <c r="A124" s="224" t="s">
        <v>129</v>
      </c>
      <c r="B124" s="154">
        <v>72040</v>
      </c>
      <c r="C124" s="68" t="str">
        <f>C122</f>
        <v>Goregaon (East)_2</v>
      </c>
      <c r="D124" s="69" t="s">
        <v>65</v>
      </c>
      <c r="E124" s="70" t="str">
        <f>E122</f>
        <v>MMRBEM_7_DOWN</v>
      </c>
      <c r="F124" s="70">
        <f>F122</f>
        <v>0</v>
      </c>
      <c r="G124" s="152">
        <f>H122</f>
        <v>4218.3379999999997</v>
      </c>
      <c r="H124" s="159">
        <f t="shared" ref="H124:H130" si="45">F124+G124</f>
        <v>4218.3379999999997</v>
      </c>
      <c r="I124" s="232">
        <f>IF("generated"=1, "Path=MMRBEM_7_DOWN, Scaled Offset=4218.3379999999997380655258893966675", 4667.20002567829)</f>
        <v>4667.2000256782903</v>
      </c>
      <c r="K124" s="69" t="s">
        <v>64</v>
      </c>
      <c r="M124" s="71">
        <f>2*M122</f>
        <v>-5</v>
      </c>
      <c r="N124" s="71">
        <v>0</v>
      </c>
      <c r="O124" s="71"/>
      <c r="P124" s="71">
        <v>0</v>
      </c>
      <c r="Q124" s="71">
        <v>0</v>
      </c>
      <c r="S124" s="69" t="s">
        <v>63</v>
      </c>
      <c r="T124" s="72">
        <f>ABS(H123-H121)</f>
        <v>185</v>
      </c>
      <c r="U124" s="69" t="s">
        <v>62</v>
      </c>
      <c r="V124" s="73" t="str">
        <f>C124</f>
        <v>Goregaon (East)_2</v>
      </c>
      <c r="W124" s="68" t="s">
        <v>61</v>
      </c>
      <c r="X124" s="74" t="s">
        <v>316</v>
      </c>
      <c r="Y124" s="74" t="s">
        <v>60</v>
      </c>
      <c r="Z124" s="70" t="str">
        <f>LEFT(V124, LEN(V124)-2)</f>
        <v>Goregaon (East)</v>
      </c>
    </row>
    <row r="125" spans="1:29" s="70" customFormat="1" x14ac:dyDescent="0.2">
      <c r="A125" s="224" t="s">
        <v>129</v>
      </c>
      <c r="B125" s="154">
        <v>72041</v>
      </c>
      <c r="C125" s="70" t="str">
        <f>CONCATENATE("Platform Passenger - ",C124)</f>
        <v>Platform Passenger - Goregaon (East)_2</v>
      </c>
      <c r="D125" s="75" t="s">
        <v>59</v>
      </c>
      <c r="E125" s="70" t="str">
        <f t="shared" ref="E125:E130" si="46">E124</f>
        <v>MMRBEM_7_DOWN</v>
      </c>
      <c r="F125" s="70">
        <v>0</v>
      </c>
      <c r="G125" s="152">
        <f t="shared" ref="G125:G130" si="47">G124</f>
        <v>4218.3379999999997</v>
      </c>
      <c r="H125" s="159">
        <f t="shared" si="45"/>
        <v>4218.3379999999997</v>
      </c>
      <c r="I125" s="232">
        <f>IF("generated"=1, "Path=MMRBEM_7_DOWN, Scaled Offset=4218.3379999999997380655258893966675", 4667.20002567829)</f>
        <v>4667.2000256782903</v>
      </c>
      <c r="K125" s="76" t="str">
        <f t="shared" ref="K125:K130" si="48">K124</f>
        <v>BOTH</v>
      </c>
      <c r="M125" s="77">
        <f>M124/2</f>
        <v>-2.5</v>
      </c>
      <c r="N125" s="77">
        <f>N124</f>
        <v>0</v>
      </c>
      <c r="O125" s="77"/>
      <c r="P125" s="77">
        <v>270</v>
      </c>
      <c r="Q125" s="77">
        <f>Q124</f>
        <v>0</v>
      </c>
      <c r="R125" s="75" t="s">
        <v>1091</v>
      </c>
      <c r="S125" s="70" t="s">
        <v>58</v>
      </c>
      <c r="T125" s="78" t="str">
        <f>CONCATENATE(X124,"_PAS"&amp;AC123)</f>
        <v>GOE_PAS2</v>
      </c>
      <c r="V125" s="79"/>
    </row>
    <row r="126" spans="1:29" s="70" customFormat="1" x14ac:dyDescent="0.2">
      <c r="A126" s="224" t="s">
        <v>129</v>
      </c>
      <c r="B126" s="154">
        <v>72042</v>
      </c>
      <c r="C126" s="70" t="str">
        <f>CONCATENATE("Passenger Alighting - ",C124)</f>
        <v>Passenger Alighting - Goregaon (East)_2</v>
      </c>
      <c r="D126" s="75" t="s">
        <v>57</v>
      </c>
      <c r="E126" s="70" t="str">
        <f t="shared" si="46"/>
        <v>MMRBEM_7_DOWN</v>
      </c>
      <c r="F126" s="70">
        <v>0</v>
      </c>
      <c r="G126" s="152">
        <f t="shared" si="47"/>
        <v>4218.3379999999997</v>
      </c>
      <c r="H126" s="159">
        <f t="shared" si="45"/>
        <v>4218.3379999999997</v>
      </c>
      <c r="I126" s="232">
        <f>IF("generated"=1, "Path=MMRBEM_7_DOWN, Scaled Offset=4218.3379999999997380655258893966675", 4667.20002567829)</f>
        <v>4667.2000256782903</v>
      </c>
      <c r="K126" s="76" t="str">
        <f t="shared" si="48"/>
        <v>BOTH</v>
      </c>
      <c r="M126" s="77">
        <f>M125</f>
        <v>-2.5</v>
      </c>
      <c r="N126" s="77">
        <f>N125</f>
        <v>0</v>
      </c>
      <c r="O126" s="77"/>
      <c r="P126" s="77">
        <v>270</v>
      </c>
      <c r="Q126" s="77">
        <f>Q125</f>
        <v>0</v>
      </c>
      <c r="R126" s="75" t="s">
        <v>1091</v>
      </c>
      <c r="S126" s="70" t="s">
        <v>56</v>
      </c>
      <c r="T126" s="78">
        <f>B125</f>
        <v>72041</v>
      </c>
      <c r="V126" s="79"/>
    </row>
    <row r="127" spans="1:29" s="70" customFormat="1" x14ac:dyDescent="0.2">
      <c r="A127" s="224" t="s">
        <v>129</v>
      </c>
      <c r="B127" s="154">
        <v>72043</v>
      </c>
      <c r="C127" s="70" t="str">
        <f>CONCATENATE("Passenger Arriving - ",C122)</f>
        <v>Passenger Arriving - Goregaon (East)_2</v>
      </c>
      <c r="D127" s="75" t="s">
        <v>55</v>
      </c>
      <c r="E127" s="70" t="str">
        <f t="shared" si="46"/>
        <v>MMRBEM_7_DOWN</v>
      </c>
      <c r="F127" s="70">
        <v>0</v>
      </c>
      <c r="G127" s="152">
        <f t="shared" si="47"/>
        <v>4218.3379999999997</v>
      </c>
      <c r="H127" s="159">
        <f t="shared" si="45"/>
        <v>4218.3379999999997</v>
      </c>
      <c r="I127" s="232">
        <f>IF("generated"=1, "Path=MMRBEM_7_DOWN, Scaled Offset=4218.3379999999997380655258893966675", 4667.20002567829)</f>
        <v>4667.2000256782903</v>
      </c>
      <c r="K127" s="76" t="str">
        <f t="shared" si="48"/>
        <v>BOTH</v>
      </c>
      <c r="M127" s="77">
        <f>M126</f>
        <v>-2.5</v>
      </c>
      <c r="N127" s="77">
        <f>N126</f>
        <v>0</v>
      </c>
      <c r="O127" s="77"/>
      <c r="P127" s="77">
        <v>270</v>
      </c>
      <c r="Q127" s="77">
        <f>Q126</f>
        <v>0</v>
      </c>
      <c r="R127" s="75" t="s">
        <v>52</v>
      </c>
      <c r="S127" s="70" t="str">
        <f t="shared" ref="S127:T127" si="49">S126</f>
        <v>Parent ID</v>
      </c>
      <c r="T127" s="78">
        <f t="shared" si="49"/>
        <v>72041</v>
      </c>
      <c r="V127" s="79"/>
    </row>
    <row r="128" spans="1:29" s="70" customFormat="1" x14ac:dyDescent="0.2">
      <c r="A128" s="224" t="s">
        <v>129</v>
      </c>
      <c r="B128" s="154">
        <v>72044</v>
      </c>
      <c r="C128" s="70" t="str">
        <f>CONCATENATE("Passenger Intoxicated - ",C124)</f>
        <v>Passenger Intoxicated - Goregaon (East)_2</v>
      </c>
      <c r="D128" s="75" t="s">
        <v>54</v>
      </c>
      <c r="E128" s="70" t="str">
        <f t="shared" si="46"/>
        <v>MMRBEM_7_DOWN</v>
      </c>
      <c r="F128" s="70">
        <v>0</v>
      </c>
      <c r="G128" s="152">
        <f t="shared" si="47"/>
        <v>4218.3379999999997</v>
      </c>
      <c r="H128" s="159">
        <f t="shared" si="45"/>
        <v>4218.3379999999997</v>
      </c>
      <c r="I128" s="232">
        <f>IF("generated"=1, "Path=MMRBEM_7_DOWN, Scaled Offset=4218.3379999999997380655258893966675", 4667.20002567829)</f>
        <v>4667.2000256782903</v>
      </c>
      <c r="K128" s="76" t="str">
        <f t="shared" si="48"/>
        <v>BOTH</v>
      </c>
      <c r="M128" s="77">
        <f>M127</f>
        <v>-2.5</v>
      </c>
      <c r="N128" s="77">
        <f>N127</f>
        <v>0</v>
      </c>
      <c r="O128" s="77"/>
      <c r="P128" s="77">
        <v>270</v>
      </c>
      <c r="Q128" s="77">
        <f>Q127</f>
        <v>0</v>
      </c>
      <c r="R128" s="75" t="s">
        <v>52</v>
      </c>
      <c r="S128" s="70" t="str">
        <f t="shared" ref="S128:T128" si="50">S127</f>
        <v>Parent ID</v>
      </c>
      <c r="T128" s="78">
        <f t="shared" si="50"/>
        <v>72041</v>
      </c>
      <c r="V128" s="79"/>
    </row>
    <row r="129" spans="1:29" s="70" customFormat="1" x14ac:dyDescent="0.2">
      <c r="A129" s="224" t="s">
        <v>129</v>
      </c>
      <c r="B129" s="154">
        <v>72045</v>
      </c>
      <c r="C129" s="70" t="str">
        <f>CONCATENATE("Passenger Pram - ",C124)</f>
        <v>Passenger Pram - Goregaon (East)_2</v>
      </c>
      <c r="D129" s="75" t="s">
        <v>53</v>
      </c>
      <c r="E129" s="70" t="str">
        <f t="shared" si="46"/>
        <v>MMRBEM_7_DOWN</v>
      </c>
      <c r="F129" s="70">
        <v>0</v>
      </c>
      <c r="G129" s="152">
        <f t="shared" si="47"/>
        <v>4218.3379999999997</v>
      </c>
      <c r="H129" s="159">
        <f t="shared" si="45"/>
        <v>4218.3379999999997</v>
      </c>
      <c r="I129" s="232">
        <f>IF("generated"=1, "Path=MMRBEM_7_DOWN, Scaled Offset=4218.3379999999997380655258893966675", 4667.20002567829)</f>
        <v>4667.2000256782903</v>
      </c>
      <c r="K129" s="76" t="str">
        <f t="shared" si="48"/>
        <v>BOTH</v>
      </c>
      <c r="M129" s="77">
        <f>M128</f>
        <v>-2.5</v>
      </c>
      <c r="N129" s="77">
        <f>N128</f>
        <v>0</v>
      </c>
      <c r="O129" s="77"/>
      <c r="P129" s="77">
        <v>270</v>
      </c>
      <c r="Q129" s="77">
        <f>Q128</f>
        <v>0</v>
      </c>
      <c r="R129" s="75" t="s">
        <v>52</v>
      </c>
      <c r="S129" s="70" t="str">
        <f t="shared" ref="S129:T129" si="51">S128</f>
        <v>Parent ID</v>
      </c>
      <c r="T129" s="78">
        <f t="shared" si="51"/>
        <v>72041</v>
      </c>
      <c r="V129" s="79"/>
    </row>
    <row r="130" spans="1:29" s="164" customFormat="1" x14ac:dyDescent="0.2">
      <c r="A130" s="224" t="s">
        <v>129</v>
      </c>
      <c r="B130" s="81">
        <v>72275</v>
      </c>
      <c r="C130" s="70" t="str">
        <f>CONCATENATE("PSD - ",C124)</f>
        <v>PSD - Goregaon (East)_2</v>
      </c>
      <c r="D130" s="165" t="s">
        <v>1042</v>
      </c>
      <c r="E130" s="70" t="str">
        <f t="shared" si="46"/>
        <v>MMRBEM_7_DOWN</v>
      </c>
      <c r="F130" s="70">
        <v>0</v>
      </c>
      <c r="G130" s="152">
        <f t="shared" si="47"/>
        <v>4218.3379999999997</v>
      </c>
      <c r="H130" s="159">
        <f t="shared" si="45"/>
        <v>4218.3379999999997</v>
      </c>
      <c r="I130" s="232">
        <f>IF("generated"=1, "Path=MMRBEM_7_DOWN, Scaled Offset=4218.3379999999997380655258893966675", 4667.20002567829)</f>
        <v>4667.2000256782903</v>
      </c>
      <c r="K130" s="76" t="str">
        <f t="shared" si="48"/>
        <v>BOTH</v>
      </c>
      <c r="M130" s="168">
        <f>M129+0.5</f>
        <v>-2</v>
      </c>
      <c r="N130" s="168"/>
      <c r="O130" s="168"/>
      <c r="P130" s="168"/>
      <c r="Q130" s="168"/>
      <c r="R130" s="165"/>
      <c r="S130" s="165" t="s">
        <v>1043</v>
      </c>
      <c r="T130" s="165" t="str">
        <f>_xlfn.CONCAT("PSD_",T125)</f>
        <v>PSD_GOE_PAS2</v>
      </c>
      <c r="U130" s="165" t="s">
        <v>926</v>
      </c>
      <c r="V130" s="165">
        <f>B124</f>
        <v>72040</v>
      </c>
      <c r="W130" s="165"/>
      <c r="X130" s="165"/>
    </row>
    <row r="131" spans="1:29" s="164" customFormat="1" x14ac:dyDescent="0.2">
      <c r="A131" s="224" t="s">
        <v>129</v>
      </c>
      <c r="B131">
        <v>72197</v>
      </c>
      <c r="C131" t="s">
        <v>959</v>
      </c>
      <c r="D131" s="140" t="s">
        <v>928</v>
      </c>
      <c r="E131" s="140" t="s">
        <v>123</v>
      </c>
      <c r="F131"/>
      <c r="G131">
        <f>G132+22.2</f>
        <v>4058.1</v>
      </c>
      <c r="H131" s="161">
        <f t="shared" ref="H131:H134" si="52">G131+F131</f>
        <v>4058.1</v>
      </c>
      <c r="I131" s="230">
        <f>IF("generated"=1, "Path=Track_10_3, Scaled Offset=4058.0999999999999090505298227071762", 4058.09999999999)</f>
        <v>4058.0999999999899</v>
      </c>
      <c r="J131"/>
      <c r="K131"/>
      <c r="L131"/>
      <c r="M131" s="168"/>
      <c r="N131" s="168"/>
      <c r="O131" s="168"/>
      <c r="P131" s="168"/>
      <c r="Q131" s="168"/>
      <c r="R131" s="165" t="s">
        <v>1041</v>
      </c>
      <c r="S131" s="140" t="s">
        <v>926</v>
      </c>
      <c r="T131" s="143">
        <f>B124</f>
        <v>72040</v>
      </c>
      <c r="U131" s="140" t="s">
        <v>61</v>
      </c>
      <c r="V131" s="143" t="str">
        <f>X124</f>
        <v>GOE</v>
      </c>
      <c r="W131" s="140" t="s">
        <v>927</v>
      </c>
      <c r="X131">
        <v>1</v>
      </c>
    </row>
    <row r="132" spans="1:29" s="164" customFormat="1" x14ac:dyDescent="0.2">
      <c r="A132" s="224" t="s">
        <v>129</v>
      </c>
      <c r="B132">
        <v>72198</v>
      </c>
      <c r="C132" t="s">
        <v>960</v>
      </c>
      <c r="D132" s="140" t="s">
        <v>928</v>
      </c>
      <c r="E132" s="140" t="s">
        <v>123</v>
      </c>
      <c r="F132"/>
      <c r="G132">
        <v>4035.9</v>
      </c>
      <c r="H132" s="161">
        <f t="shared" si="52"/>
        <v>4035.9</v>
      </c>
      <c r="I132" s="230">
        <f>IF("generated"=1, "Path=Track_10_3, Scaled Offset=4035.9000000000000909494701772928238", 4035.9)</f>
        <v>4035.9</v>
      </c>
      <c r="J132"/>
      <c r="K132"/>
      <c r="L132"/>
      <c r="M132" s="168"/>
      <c r="N132" s="168"/>
      <c r="O132" s="168"/>
      <c r="P132" s="168"/>
      <c r="Q132" s="168"/>
      <c r="R132" s="165" t="s">
        <v>1041</v>
      </c>
      <c r="S132" s="140" t="s">
        <v>926</v>
      </c>
      <c r="T132" s="143">
        <f>T131</f>
        <v>72040</v>
      </c>
      <c r="U132" s="140" t="s">
        <v>61</v>
      </c>
      <c r="V132" s="143" t="str">
        <f>V131</f>
        <v>GOE</v>
      </c>
      <c r="W132" s="140" t="s">
        <v>927</v>
      </c>
      <c r="X132">
        <v>1</v>
      </c>
    </row>
    <row r="133" spans="1:29" s="164" customFormat="1" x14ac:dyDescent="0.2">
      <c r="A133" s="224" t="s">
        <v>129</v>
      </c>
      <c r="B133">
        <v>72199</v>
      </c>
      <c r="C133" t="s">
        <v>961</v>
      </c>
      <c r="D133" s="140" t="s">
        <v>928</v>
      </c>
      <c r="E133" s="140" t="s">
        <v>123</v>
      </c>
      <c r="F133"/>
      <c r="G133">
        <v>3899.88</v>
      </c>
      <c r="H133" s="161">
        <f t="shared" si="52"/>
        <v>3899.88</v>
      </c>
      <c r="I133" s="230">
        <f>IF("generated"=1, "Path=Track_10_3, Scaled Offset=3899.8800000000001091393642127513885", 3899.88)</f>
        <v>3899.88</v>
      </c>
      <c r="J133"/>
      <c r="K133"/>
      <c r="L133">
        <v>1</v>
      </c>
      <c r="M133" s="168"/>
      <c r="N133" s="168"/>
      <c r="O133" s="168"/>
      <c r="P133" s="168"/>
      <c r="Q133" s="168"/>
      <c r="R133" s="165" t="s">
        <v>1041</v>
      </c>
      <c r="S133" s="140" t="s">
        <v>926</v>
      </c>
      <c r="T133" s="143">
        <f>T132</f>
        <v>72040</v>
      </c>
      <c r="U133" s="140" t="s">
        <v>61</v>
      </c>
      <c r="V133" s="143" t="str">
        <f>V132</f>
        <v>GOE</v>
      </c>
      <c r="W133" s="140" t="s">
        <v>927</v>
      </c>
      <c r="X133">
        <v>2</v>
      </c>
    </row>
    <row r="134" spans="1:29" s="164" customFormat="1" x14ac:dyDescent="0.2">
      <c r="A134" s="224" t="s">
        <v>129</v>
      </c>
      <c r="B134">
        <v>72200</v>
      </c>
      <c r="C134" t="s">
        <v>962</v>
      </c>
      <c r="D134" s="140" t="s">
        <v>928</v>
      </c>
      <c r="E134" s="140" t="s">
        <v>123</v>
      </c>
      <c r="F134"/>
      <c r="G134">
        <f>G133-22.2</f>
        <v>3877.6800000000003</v>
      </c>
      <c r="H134" s="161">
        <f t="shared" si="52"/>
        <v>3877.6800000000003</v>
      </c>
      <c r="I134" s="230">
        <f>IF("generated"=1, "Path=Track_10_3, Scaled Offset=3877.6800000000002910383045673370361", 3877.68)</f>
        <v>3877.68</v>
      </c>
      <c r="J134"/>
      <c r="K134"/>
      <c r="L134">
        <v>1</v>
      </c>
      <c r="M134" s="168"/>
      <c r="N134" s="168"/>
      <c r="O134" s="168"/>
      <c r="P134" s="168"/>
      <c r="Q134" s="168"/>
      <c r="R134" s="165" t="s">
        <v>1041</v>
      </c>
      <c r="S134" s="140" t="s">
        <v>926</v>
      </c>
      <c r="T134" s="143">
        <f>T133</f>
        <v>72040</v>
      </c>
      <c r="U134" s="140" t="s">
        <v>61</v>
      </c>
      <c r="V134" s="143" t="str">
        <f>V133</f>
        <v>GOE</v>
      </c>
      <c r="W134" s="140" t="s">
        <v>927</v>
      </c>
      <c r="X134">
        <v>2</v>
      </c>
    </row>
    <row r="135" spans="1:29" s="61" customFormat="1" x14ac:dyDescent="0.2">
      <c r="A135" s="224" t="s">
        <v>930</v>
      </c>
      <c r="B135" s="81">
        <v>72039</v>
      </c>
      <c r="C135" s="61" t="str">
        <f>LEFT(C124,LEN(C124)-2)</f>
        <v>Goregaon (East)</v>
      </c>
      <c r="E135" s="61" t="s">
        <v>123</v>
      </c>
      <c r="G135" s="153"/>
      <c r="H135" s="160">
        <v>3873</v>
      </c>
      <c r="I135" s="232">
        <f>IF("generated"=1, "Path=Track_10_3, Scaled Offset=3873", 3873)</f>
        <v>3873</v>
      </c>
      <c r="J135" s="89"/>
      <c r="M135" s="88"/>
      <c r="N135" s="88"/>
      <c r="O135" s="88"/>
      <c r="P135" s="88"/>
      <c r="Q135" s="88"/>
      <c r="S135" s="61" t="s">
        <v>41</v>
      </c>
      <c r="T135" s="87">
        <v>40</v>
      </c>
      <c r="V135" s="87"/>
    </row>
    <row r="136" spans="1:29" s="61" customFormat="1" x14ac:dyDescent="0.2">
      <c r="A136" s="224" t="s">
        <v>930</v>
      </c>
      <c r="B136" s="81">
        <v>72039</v>
      </c>
      <c r="C136" s="61" t="str">
        <f>C135</f>
        <v>Goregaon (East)</v>
      </c>
      <c r="E136" s="61" t="s">
        <v>123</v>
      </c>
      <c r="G136" s="153"/>
      <c r="H136" s="160">
        <v>4062</v>
      </c>
      <c r="I136" s="232">
        <f>IF("generated"=1, "Path=Track_10_3, Scaled Offset=4062", 4062)</f>
        <v>4062</v>
      </c>
      <c r="J136" s="89"/>
      <c r="M136" s="88"/>
      <c r="N136" s="88"/>
      <c r="O136" s="88"/>
      <c r="P136" s="88"/>
      <c r="Q136" s="88"/>
      <c r="S136" s="61" t="s">
        <v>41</v>
      </c>
      <c r="T136" s="87">
        <v>40</v>
      </c>
      <c r="V136" s="87"/>
    </row>
    <row r="138" spans="1:29" s="62" customFormat="1" x14ac:dyDescent="0.2">
      <c r="A138" s="224" t="s">
        <v>129</v>
      </c>
      <c r="B138" s="154">
        <v>72039</v>
      </c>
      <c r="C138" s="61" t="s">
        <v>311</v>
      </c>
      <c r="D138" s="62" t="s">
        <v>69</v>
      </c>
      <c r="E138" s="94"/>
      <c r="G138" s="149"/>
      <c r="H138" s="158"/>
      <c r="I138" s="162"/>
      <c r="M138" s="63"/>
      <c r="N138" s="63"/>
      <c r="O138" s="63"/>
      <c r="P138" s="63"/>
      <c r="Q138" s="63"/>
      <c r="T138" s="64"/>
      <c r="V138" s="64"/>
    </row>
    <row r="139" spans="1:29" s="60" customFormat="1" x14ac:dyDescent="0.2">
      <c r="A139" s="224"/>
      <c r="B139" s="81"/>
      <c r="C139" s="60" t="s">
        <v>314</v>
      </c>
      <c r="D139" s="60" t="s">
        <v>51</v>
      </c>
      <c r="E139" s="94" t="s">
        <v>187</v>
      </c>
      <c r="G139" s="150">
        <v>4126.4340000000002</v>
      </c>
      <c r="H139" s="159">
        <f>G139+F139</f>
        <v>4126.4340000000002</v>
      </c>
      <c r="I139" s="90"/>
      <c r="J139" s="65"/>
      <c r="K139" s="60" t="s">
        <v>64</v>
      </c>
      <c r="M139" s="66">
        <v>2.5</v>
      </c>
      <c r="N139" s="66">
        <v>0</v>
      </c>
      <c r="O139" s="66"/>
      <c r="P139" s="66"/>
      <c r="Q139" s="66"/>
      <c r="R139" s="60" t="str">
        <f>$E$3</f>
        <v>Red</v>
      </c>
      <c r="S139" s="60" t="s">
        <v>68</v>
      </c>
      <c r="T139" s="67" t="str">
        <f>C139</f>
        <v>Goregaon (East)_S2</v>
      </c>
      <c r="U139" s="60" t="s">
        <v>50</v>
      </c>
      <c r="V139" s="67">
        <v>0</v>
      </c>
      <c r="W139" s="60" t="s">
        <v>67</v>
      </c>
      <c r="X139" s="60">
        <v>1</v>
      </c>
      <c r="Y139" s="60" t="s">
        <v>66</v>
      </c>
      <c r="Z139" s="60">
        <v>1</v>
      </c>
      <c r="AA139" s="60" t="s">
        <v>311</v>
      </c>
      <c r="AB139" s="74" t="s">
        <v>316</v>
      </c>
      <c r="AC139" s="60">
        <v>1</v>
      </c>
    </row>
    <row r="140" spans="1:29" s="60" customFormat="1" x14ac:dyDescent="0.2">
      <c r="A140" s="224"/>
      <c r="B140" s="81"/>
      <c r="C140" s="60" t="str">
        <f>AA140&amp;"_"&amp;AC140</f>
        <v>Goregaon (East)_1</v>
      </c>
      <c r="D140" s="60" t="s">
        <v>51</v>
      </c>
      <c r="E140" s="60" t="str">
        <f>E139</f>
        <v>MMRBEM_7_UP</v>
      </c>
      <c r="G140" s="151">
        <f>AVERAGE(H139,H141)</f>
        <v>4218.9340000000002</v>
      </c>
      <c r="H140" s="159">
        <f>F140+G140</f>
        <v>4218.9340000000002</v>
      </c>
      <c r="I140" s="90"/>
      <c r="J140" s="65"/>
      <c r="K140" s="60" t="s">
        <v>64</v>
      </c>
      <c r="M140" s="66">
        <v>2.5</v>
      </c>
      <c r="N140" s="66">
        <v>0</v>
      </c>
      <c r="O140" s="66"/>
      <c r="P140" s="66"/>
      <c r="Q140" s="66"/>
      <c r="R140" s="60" t="str">
        <f>$E$4</f>
        <v>Green</v>
      </c>
      <c r="S140" s="60" t="s">
        <v>68</v>
      </c>
      <c r="T140" s="67" t="str">
        <f>C140</f>
        <v>Goregaon (East)_1</v>
      </c>
      <c r="U140" s="60" t="s">
        <v>50</v>
      </c>
      <c r="V140" s="67">
        <v>0</v>
      </c>
      <c r="W140" s="60" t="s">
        <v>67</v>
      </c>
      <c r="X140" s="60">
        <v>1</v>
      </c>
      <c r="Y140" s="60" t="s">
        <v>66</v>
      </c>
      <c r="Z140" s="60">
        <v>1</v>
      </c>
      <c r="AA140" s="60" t="str">
        <f>AA139</f>
        <v>Goregaon (East)</v>
      </c>
      <c r="AB140" s="60" t="str">
        <f>AB139</f>
        <v>GOE</v>
      </c>
      <c r="AC140" s="60">
        <f>AC139</f>
        <v>1</v>
      </c>
    </row>
    <row r="141" spans="1:29" s="60" customFormat="1" x14ac:dyDescent="0.2">
      <c r="A141" s="224"/>
      <c r="B141" s="81"/>
      <c r="C141" s="60" t="s">
        <v>315</v>
      </c>
      <c r="D141" s="60" t="s">
        <v>51</v>
      </c>
      <c r="E141" s="94" t="s">
        <v>187</v>
      </c>
      <c r="G141" s="150">
        <v>4311.4340000000002</v>
      </c>
      <c r="H141" s="159">
        <f>G141+F141</f>
        <v>4311.4340000000002</v>
      </c>
      <c r="I141" s="90"/>
      <c r="J141" s="65"/>
      <c r="K141" s="60" t="s">
        <v>64</v>
      </c>
      <c r="M141" s="66">
        <v>2.5</v>
      </c>
      <c r="N141" s="66">
        <v>0</v>
      </c>
      <c r="O141" s="66"/>
      <c r="P141" s="66"/>
      <c r="Q141" s="66"/>
      <c r="R141" s="60" t="str">
        <f>$E$3</f>
        <v>Red</v>
      </c>
      <c r="S141" s="60" t="s">
        <v>68</v>
      </c>
      <c r="T141" s="67" t="str">
        <f>C141</f>
        <v>Goregaon (East)_E2</v>
      </c>
      <c r="U141" s="60" t="s">
        <v>50</v>
      </c>
      <c r="V141" s="67">
        <v>0</v>
      </c>
      <c r="W141" s="60" t="s">
        <v>67</v>
      </c>
      <c r="X141" s="60">
        <v>1</v>
      </c>
      <c r="Y141" s="60" t="s">
        <v>66</v>
      </c>
      <c r="Z141" s="60">
        <v>1</v>
      </c>
      <c r="AA141" s="60" t="s">
        <v>311</v>
      </c>
      <c r="AB141" s="74" t="s">
        <v>316</v>
      </c>
      <c r="AC141" s="60">
        <v>1</v>
      </c>
    </row>
    <row r="142" spans="1:29" s="70" customFormat="1" x14ac:dyDescent="0.2">
      <c r="A142" s="224" t="s">
        <v>129</v>
      </c>
      <c r="B142" s="154">
        <v>72046</v>
      </c>
      <c r="C142" s="68" t="str">
        <f>C140</f>
        <v>Goregaon (East)_1</v>
      </c>
      <c r="D142" s="69" t="s">
        <v>65</v>
      </c>
      <c r="E142" s="70" t="str">
        <f>E140</f>
        <v>MMRBEM_7_UP</v>
      </c>
      <c r="F142" s="70">
        <f>F140</f>
        <v>0</v>
      </c>
      <c r="G142" s="152">
        <f>H140</f>
        <v>4218.9340000000002</v>
      </c>
      <c r="H142" s="159">
        <f t="shared" ref="H142:H148" si="53">F142+G142</f>
        <v>4218.9340000000002</v>
      </c>
      <c r="I142" s="232">
        <f>IF("generated"=1, "Path=MMRBEM_7_UP, Scaled Offset=4218.9340000000001964508555829524994", 4668.61256682581)</f>
        <v>4668.6125668258101</v>
      </c>
      <c r="K142" s="69" t="s">
        <v>64</v>
      </c>
      <c r="M142" s="71">
        <f>2*M140</f>
        <v>5</v>
      </c>
      <c r="N142" s="71">
        <v>0</v>
      </c>
      <c r="O142" s="71"/>
      <c r="P142" s="71">
        <v>0</v>
      </c>
      <c r="Q142" s="71">
        <v>0</v>
      </c>
      <c r="S142" s="69" t="s">
        <v>63</v>
      </c>
      <c r="T142" s="72">
        <f>ABS(H141-H139)</f>
        <v>185</v>
      </c>
      <c r="U142" s="69" t="s">
        <v>62</v>
      </c>
      <c r="V142" s="73" t="str">
        <f>C142</f>
        <v>Goregaon (East)_1</v>
      </c>
      <c r="W142" s="68" t="s">
        <v>61</v>
      </c>
      <c r="X142" s="74" t="s">
        <v>316</v>
      </c>
      <c r="Y142" s="74" t="s">
        <v>60</v>
      </c>
      <c r="Z142" s="70" t="str">
        <f>LEFT(V142, LEN(V142)-2)</f>
        <v>Goregaon (East)</v>
      </c>
    </row>
    <row r="143" spans="1:29" s="70" customFormat="1" x14ac:dyDescent="0.2">
      <c r="A143" s="224" t="s">
        <v>129</v>
      </c>
      <c r="B143" s="154">
        <v>72047</v>
      </c>
      <c r="C143" s="70" t="str">
        <f>CONCATENATE("Platform Passenger - ",C142)</f>
        <v>Platform Passenger - Goregaon (East)_1</v>
      </c>
      <c r="D143" s="75" t="s">
        <v>59</v>
      </c>
      <c r="E143" s="70" t="str">
        <f t="shared" ref="E143:E148" si="54">E142</f>
        <v>MMRBEM_7_UP</v>
      </c>
      <c r="F143" s="70">
        <v>0</v>
      </c>
      <c r="G143" s="152">
        <f t="shared" ref="G143:G148" si="55">G142</f>
        <v>4218.9340000000002</v>
      </c>
      <c r="H143" s="159">
        <f t="shared" si="53"/>
        <v>4218.9340000000002</v>
      </c>
      <c r="I143" s="232">
        <f>IF("generated"=1, "Path=MMRBEM_7_UP, Scaled Offset=4218.9340000000001964508555829524994", 4668.61256682581)</f>
        <v>4668.6125668258101</v>
      </c>
      <c r="K143" s="76" t="str">
        <f t="shared" ref="K143:K148" si="56">K142</f>
        <v>BOTH</v>
      </c>
      <c r="M143" s="77">
        <f>M142/2</f>
        <v>2.5</v>
      </c>
      <c r="N143" s="77">
        <f>N142</f>
        <v>0</v>
      </c>
      <c r="O143" s="77"/>
      <c r="P143" s="77">
        <v>90</v>
      </c>
      <c r="Q143" s="77">
        <f>Q142</f>
        <v>0</v>
      </c>
      <c r="R143" s="75" t="s">
        <v>1091</v>
      </c>
      <c r="S143" s="70" t="s">
        <v>58</v>
      </c>
      <c r="T143" s="78" t="str">
        <f>CONCATENATE(X142,"_PAS"&amp;AC141)</f>
        <v>GOE_PAS1</v>
      </c>
      <c r="V143" s="79"/>
    </row>
    <row r="144" spans="1:29" s="70" customFormat="1" x14ac:dyDescent="0.2">
      <c r="A144" s="224" t="s">
        <v>129</v>
      </c>
      <c r="B144" s="154">
        <v>72048</v>
      </c>
      <c r="C144" s="70" t="str">
        <f>CONCATENATE("Passenger Alighting - ",C142)</f>
        <v>Passenger Alighting - Goregaon (East)_1</v>
      </c>
      <c r="D144" s="75" t="s">
        <v>57</v>
      </c>
      <c r="E144" s="70" t="str">
        <f t="shared" si="54"/>
        <v>MMRBEM_7_UP</v>
      </c>
      <c r="F144" s="70">
        <v>0</v>
      </c>
      <c r="G144" s="152">
        <f t="shared" si="55"/>
        <v>4218.9340000000002</v>
      </c>
      <c r="H144" s="159">
        <f t="shared" si="53"/>
        <v>4218.9340000000002</v>
      </c>
      <c r="I144" s="232">
        <f>IF("generated"=1, "Path=MMRBEM_7_UP, Scaled Offset=4218.9340000000001964508555829524994", 4668.61256682581)</f>
        <v>4668.6125668258101</v>
      </c>
      <c r="K144" s="76" t="str">
        <f t="shared" si="56"/>
        <v>BOTH</v>
      </c>
      <c r="M144" s="77">
        <f>M143</f>
        <v>2.5</v>
      </c>
      <c r="N144" s="77">
        <f>N143</f>
        <v>0</v>
      </c>
      <c r="O144" s="77"/>
      <c r="P144" s="77">
        <v>90</v>
      </c>
      <c r="Q144" s="77">
        <f>Q143</f>
        <v>0</v>
      </c>
      <c r="R144" s="75" t="s">
        <v>1091</v>
      </c>
      <c r="S144" s="70" t="s">
        <v>56</v>
      </c>
      <c r="T144" s="78">
        <f>B143</f>
        <v>72047</v>
      </c>
      <c r="V144" s="79"/>
    </row>
    <row r="145" spans="1:29" s="70" customFormat="1" x14ac:dyDescent="0.2">
      <c r="A145" s="224" t="s">
        <v>129</v>
      </c>
      <c r="B145" s="154">
        <v>72049</v>
      </c>
      <c r="C145" s="70" t="str">
        <f>CONCATENATE("Passenger Arriving - ",C140)</f>
        <v>Passenger Arriving - Goregaon (East)_1</v>
      </c>
      <c r="D145" s="75" t="s">
        <v>55</v>
      </c>
      <c r="E145" s="70" t="str">
        <f t="shared" si="54"/>
        <v>MMRBEM_7_UP</v>
      </c>
      <c r="F145" s="70">
        <v>0</v>
      </c>
      <c r="G145" s="152">
        <f t="shared" si="55"/>
        <v>4218.9340000000002</v>
      </c>
      <c r="H145" s="159">
        <f t="shared" si="53"/>
        <v>4218.9340000000002</v>
      </c>
      <c r="I145" s="232">
        <f>IF("generated"=1, "Path=MMRBEM_7_UP, Scaled Offset=4218.9340000000001964508555829524994", 4668.61256682581)</f>
        <v>4668.6125668258101</v>
      </c>
      <c r="K145" s="76" t="str">
        <f t="shared" si="56"/>
        <v>BOTH</v>
      </c>
      <c r="M145" s="77">
        <f>M144</f>
        <v>2.5</v>
      </c>
      <c r="N145" s="77">
        <f>N144</f>
        <v>0</v>
      </c>
      <c r="O145" s="77"/>
      <c r="P145" s="77">
        <v>90</v>
      </c>
      <c r="Q145" s="77">
        <f>Q144</f>
        <v>0</v>
      </c>
      <c r="R145" s="75" t="s">
        <v>52</v>
      </c>
      <c r="S145" s="70" t="str">
        <f t="shared" ref="S145:T145" si="57">S144</f>
        <v>Parent ID</v>
      </c>
      <c r="T145" s="78">
        <f t="shared" si="57"/>
        <v>72047</v>
      </c>
      <c r="V145" s="79"/>
    </row>
    <row r="146" spans="1:29" s="70" customFormat="1" x14ac:dyDescent="0.2">
      <c r="A146" s="224" t="s">
        <v>129</v>
      </c>
      <c r="B146" s="154">
        <v>72050</v>
      </c>
      <c r="C146" s="70" t="str">
        <f>CONCATENATE("Passenger Intoxicated - ",C142)</f>
        <v>Passenger Intoxicated - Goregaon (East)_1</v>
      </c>
      <c r="D146" s="75" t="s">
        <v>54</v>
      </c>
      <c r="E146" s="70" t="str">
        <f t="shared" si="54"/>
        <v>MMRBEM_7_UP</v>
      </c>
      <c r="F146" s="70">
        <v>0</v>
      </c>
      <c r="G146" s="152">
        <f t="shared" si="55"/>
        <v>4218.9340000000002</v>
      </c>
      <c r="H146" s="159">
        <f t="shared" si="53"/>
        <v>4218.9340000000002</v>
      </c>
      <c r="I146" s="232">
        <f>IF("generated"=1, "Path=MMRBEM_7_UP, Scaled Offset=4218.9340000000001964508555829524994", 4668.61256682581)</f>
        <v>4668.6125668258101</v>
      </c>
      <c r="K146" s="76" t="str">
        <f t="shared" si="56"/>
        <v>BOTH</v>
      </c>
      <c r="M146" s="77">
        <f>M145</f>
        <v>2.5</v>
      </c>
      <c r="N146" s="77">
        <f>N145</f>
        <v>0</v>
      </c>
      <c r="O146" s="77"/>
      <c r="P146" s="77">
        <v>90</v>
      </c>
      <c r="Q146" s="77">
        <f>Q145</f>
        <v>0</v>
      </c>
      <c r="R146" s="75" t="s">
        <v>52</v>
      </c>
      <c r="S146" s="70" t="str">
        <f t="shared" ref="S146:T146" si="58">S145</f>
        <v>Parent ID</v>
      </c>
      <c r="T146" s="78">
        <f t="shared" si="58"/>
        <v>72047</v>
      </c>
      <c r="V146" s="79"/>
    </row>
    <row r="147" spans="1:29" s="70" customFormat="1" x14ac:dyDescent="0.2">
      <c r="A147" s="224" t="s">
        <v>129</v>
      </c>
      <c r="B147" s="154">
        <v>72051</v>
      </c>
      <c r="C147" s="70" t="str">
        <f>CONCATENATE("Passenger Pram - ",C142)</f>
        <v>Passenger Pram - Goregaon (East)_1</v>
      </c>
      <c r="D147" s="75" t="s">
        <v>53</v>
      </c>
      <c r="E147" s="70" t="str">
        <f t="shared" si="54"/>
        <v>MMRBEM_7_UP</v>
      </c>
      <c r="F147" s="70">
        <v>0</v>
      </c>
      <c r="G147" s="152">
        <f t="shared" si="55"/>
        <v>4218.9340000000002</v>
      </c>
      <c r="H147" s="159">
        <f t="shared" si="53"/>
        <v>4218.9340000000002</v>
      </c>
      <c r="I147" s="232">
        <f>IF("generated"=1, "Path=MMRBEM_7_UP, Scaled Offset=4218.9340000000001964508555829524994", 4668.61256682581)</f>
        <v>4668.6125668258101</v>
      </c>
      <c r="K147" s="76" t="str">
        <f t="shared" si="56"/>
        <v>BOTH</v>
      </c>
      <c r="M147" s="77">
        <f>M146</f>
        <v>2.5</v>
      </c>
      <c r="N147" s="77">
        <f>N146</f>
        <v>0</v>
      </c>
      <c r="O147" s="77"/>
      <c r="P147" s="77">
        <v>90</v>
      </c>
      <c r="Q147" s="77">
        <f>Q146</f>
        <v>0</v>
      </c>
      <c r="R147" s="75" t="s">
        <v>52</v>
      </c>
      <c r="S147" s="70" t="str">
        <f t="shared" ref="S147:T147" si="59">S146</f>
        <v>Parent ID</v>
      </c>
      <c r="T147" s="78">
        <f t="shared" si="59"/>
        <v>72047</v>
      </c>
      <c r="V147" s="79"/>
    </row>
    <row r="148" spans="1:29" s="164" customFormat="1" x14ac:dyDescent="0.2">
      <c r="A148" s="224" t="s">
        <v>129</v>
      </c>
      <c r="B148" s="81">
        <v>72276</v>
      </c>
      <c r="C148" s="70" t="str">
        <f>CONCATENATE("PSD - ",C142)</f>
        <v>PSD - Goregaon (East)_1</v>
      </c>
      <c r="D148" s="165" t="s">
        <v>1042</v>
      </c>
      <c r="E148" s="70" t="str">
        <f t="shared" si="54"/>
        <v>MMRBEM_7_UP</v>
      </c>
      <c r="F148" s="70">
        <v>0</v>
      </c>
      <c r="G148" s="152">
        <f t="shared" si="55"/>
        <v>4218.9340000000002</v>
      </c>
      <c r="H148" s="159">
        <f t="shared" si="53"/>
        <v>4218.9340000000002</v>
      </c>
      <c r="I148" s="232">
        <f>IF("generated"=1, "Path=MMRBEM_7_UP, Scaled Offset=4218.9340000000001964508555829524994", 4668.61256682581)</f>
        <v>4668.6125668258101</v>
      </c>
      <c r="K148" s="76" t="str">
        <f t="shared" si="56"/>
        <v>BOTH</v>
      </c>
      <c r="M148" s="168">
        <f>M147-0.5</f>
        <v>2</v>
      </c>
      <c r="N148" s="168"/>
      <c r="O148" s="168"/>
      <c r="P148" s="168"/>
      <c r="Q148" s="168"/>
      <c r="R148" s="165"/>
      <c r="S148" s="165" t="s">
        <v>1043</v>
      </c>
      <c r="T148" s="165" t="str">
        <f>_xlfn.CONCAT("PSD_",T143)</f>
        <v>PSD_GOE_PAS1</v>
      </c>
      <c r="U148" s="165" t="s">
        <v>926</v>
      </c>
      <c r="V148" s="165">
        <f>B142</f>
        <v>72046</v>
      </c>
      <c r="W148" s="165"/>
      <c r="X148" s="165"/>
    </row>
    <row r="149" spans="1:29" s="164" customFormat="1" x14ac:dyDescent="0.2">
      <c r="A149" s="224" t="s">
        <v>129</v>
      </c>
      <c r="B149">
        <v>72201</v>
      </c>
      <c r="C149" t="s">
        <v>963</v>
      </c>
      <c r="D149" s="140" t="s">
        <v>928</v>
      </c>
      <c r="E149" s="140" t="s">
        <v>87</v>
      </c>
      <c r="F149"/>
      <c r="G149">
        <f>G150+22.2</f>
        <v>3980.9199999999996</v>
      </c>
      <c r="H149" s="161">
        <f t="shared" ref="H149:H152" si="60">G149+F149</f>
        <v>3980.9199999999996</v>
      </c>
      <c r="I149" s="230">
        <f>IF("generated"=1, "Path=Track_20_3_Track_1, Scaled Offset=3980.9199999999996180122252553701401", 3980.91999999999)</f>
        <v>3980.9199999999901</v>
      </c>
      <c r="J149"/>
      <c r="K149"/>
      <c r="L149"/>
      <c r="M149" s="168"/>
      <c r="N149" s="168"/>
      <c r="O149" s="168"/>
      <c r="P149" s="168"/>
      <c r="Q149" s="168"/>
      <c r="R149" s="165" t="s">
        <v>1041</v>
      </c>
      <c r="S149" s="140" t="s">
        <v>926</v>
      </c>
      <c r="T149" s="143">
        <f>B142</f>
        <v>72046</v>
      </c>
      <c r="U149" s="140" t="s">
        <v>61</v>
      </c>
      <c r="V149" s="143" t="str">
        <f>X142</f>
        <v>GOE</v>
      </c>
      <c r="W149" s="140" t="s">
        <v>927</v>
      </c>
      <c r="X149">
        <v>2</v>
      </c>
    </row>
    <row r="150" spans="1:29" s="164" customFormat="1" x14ac:dyDescent="0.2">
      <c r="A150" s="224" t="s">
        <v>129</v>
      </c>
      <c r="B150">
        <v>72202</v>
      </c>
      <c r="C150" t="s">
        <v>964</v>
      </c>
      <c r="D150" s="140" t="s">
        <v>928</v>
      </c>
      <c r="E150" s="140" t="s">
        <v>87</v>
      </c>
      <c r="F150"/>
      <c r="G150">
        <v>3958.72</v>
      </c>
      <c r="H150" s="161">
        <f t="shared" si="60"/>
        <v>3958.72</v>
      </c>
      <c r="I150" s="230">
        <f>IF("generated"=1, "Path=Track_20_3_Track_1, Scaled Offset=3958.7199999999997999111656099557877", 3958.71999999999)</f>
        <v>3958.7199999999898</v>
      </c>
      <c r="J150"/>
      <c r="K150"/>
      <c r="L150"/>
      <c r="M150" s="168"/>
      <c r="N150" s="168"/>
      <c r="O150" s="168"/>
      <c r="P150" s="168"/>
      <c r="Q150" s="168"/>
      <c r="R150" s="165" t="s">
        <v>1041</v>
      </c>
      <c r="S150" s="140" t="s">
        <v>926</v>
      </c>
      <c r="T150" s="143">
        <f>T149</f>
        <v>72046</v>
      </c>
      <c r="U150" s="140" t="s">
        <v>61</v>
      </c>
      <c r="V150" s="143" t="str">
        <f>V149</f>
        <v>GOE</v>
      </c>
      <c r="W150" s="140" t="s">
        <v>927</v>
      </c>
      <c r="X150">
        <v>2</v>
      </c>
    </row>
    <row r="151" spans="1:29" s="164" customFormat="1" x14ac:dyDescent="0.2">
      <c r="A151" s="224" t="s">
        <v>129</v>
      </c>
      <c r="B151">
        <v>72203</v>
      </c>
      <c r="C151" t="s">
        <v>965</v>
      </c>
      <c r="D151" s="140" t="s">
        <v>928</v>
      </c>
      <c r="E151" s="140" t="s">
        <v>87</v>
      </c>
      <c r="F151"/>
      <c r="G151">
        <v>3822.7</v>
      </c>
      <c r="H151" s="161">
        <f t="shared" si="60"/>
        <v>3822.7</v>
      </c>
      <c r="I151" s="230">
        <f>IF("generated"=1, "Path=Track_20_3_Track_1, Scaled Offset=3822.6999999999998181010596454143524", 3822.69999999999)</f>
        <v>3822.6999999999898</v>
      </c>
      <c r="J151"/>
      <c r="K151"/>
      <c r="L151" s="164">
        <v>1</v>
      </c>
      <c r="M151" s="168"/>
      <c r="N151" s="168"/>
      <c r="O151" s="168"/>
      <c r="P151" s="168"/>
      <c r="Q151" s="168"/>
      <c r="R151" s="165" t="s">
        <v>1041</v>
      </c>
      <c r="S151" s="140" t="s">
        <v>926</v>
      </c>
      <c r="T151" s="143">
        <f>T150</f>
        <v>72046</v>
      </c>
      <c r="U151" s="140" t="s">
        <v>61</v>
      </c>
      <c r="V151" s="143" t="str">
        <f>V150</f>
        <v>GOE</v>
      </c>
      <c r="W151" s="140" t="s">
        <v>927</v>
      </c>
      <c r="X151" s="164">
        <v>1</v>
      </c>
    </row>
    <row r="152" spans="1:29" s="164" customFormat="1" x14ac:dyDescent="0.2">
      <c r="A152" s="224" t="s">
        <v>129</v>
      </c>
      <c r="B152">
        <v>72204</v>
      </c>
      <c r="C152" t="s">
        <v>966</v>
      </c>
      <c r="D152" s="140" t="s">
        <v>928</v>
      </c>
      <c r="E152" s="140" t="s">
        <v>87</v>
      </c>
      <c r="F152"/>
      <c r="G152">
        <f>G151-22.2</f>
        <v>3800.5</v>
      </c>
      <c r="H152" s="161">
        <f t="shared" si="60"/>
        <v>3800.5</v>
      </c>
      <c r="I152" s="230">
        <f>IF("generated"=1, "Path=Track_20_3_Track_1, Scaled Offset=3800.5", 3800.5)</f>
        <v>3800.5</v>
      </c>
      <c r="J152"/>
      <c r="K152"/>
      <c r="L152" s="164">
        <v>1</v>
      </c>
      <c r="M152" s="168"/>
      <c r="N152" s="168"/>
      <c r="O152" s="168"/>
      <c r="P152" s="168"/>
      <c r="Q152" s="168"/>
      <c r="R152" s="165" t="s">
        <v>1041</v>
      </c>
      <c r="S152" s="140" t="s">
        <v>926</v>
      </c>
      <c r="T152" s="143">
        <f>T151</f>
        <v>72046</v>
      </c>
      <c r="U152" s="140" t="s">
        <v>61</v>
      </c>
      <c r="V152" s="143" t="str">
        <f>V151</f>
        <v>GOE</v>
      </c>
      <c r="W152" s="140" t="s">
        <v>927</v>
      </c>
      <c r="X152" s="164">
        <v>1</v>
      </c>
    </row>
    <row r="153" spans="1:29" s="61" customFormat="1" x14ac:dyDescent="0.2">
      <c r="A153" s="224" t="s">
        <v>930</v>
      </c>
      <c r="B153" s="81">
        <v>72039</v>
      </c>
      <c r="C153" s="61" t="str">
        <f>LEFT(C142,LEN(C142)-2)</f>
        <v>Goregaon (East)</v>
      </c>
      <c r="E153" s="61" t="s">
        <v>87</v>
      </c>
      <c r="G153" s="153"/>
      <c r="H153" s="160">
        <v>3795</v>
      </c>
      <c r="I153" s="232">
        <f>IF("generated"=1, "Path=Track_20_3_Track_1, Scaled Offset=3795", 3795)</f>
        <v>3795</v>
      </c>
      <c r="J153" s="89"/>
      <c r="M153" s="88"/>
      <c r="N153" s="88"/>
      <c r="O153" s="88"/>
      <c r="P153" s="88"/>
      <c r="Q153" s="88"/>
      <c r="S153" s="61" t="s">
        <v>41</v>
      </c>
      <c r="T153" s="87">
        <v>40</v>
      </c>
      <c r="V153" s="87"/>
    </row>
    <row r="154" spans="1:29" s="61" customFormat="1" x14ac:dyDescent="0.2">
      <c r="A154" s="224" t="s">
        <v>930</v>
      </c>
      <c r="B154" s="81">
        <v>72039</v>
      </c>
      <c r="C154" s="61" t="str">
        <f>C153</f>
        <v>Goregaon (East)</v>
      </c>
      <c r="E154" s="61" t="s">
        <v>87</v>
      </c>
      <c r="G154" s="153"/>
      <c r="H154" s="160">
        <v>3985</v>
      </c>
      <c r="I154" s="232">
        <f>IF("generated"=1, "Path=Track_20_3_Track_1, Scaled Offset=3985", 3985)</f>
        <v>3985</v>
      </c>
      <c r="J154" s="89"/>
      <c r="M154" s="88"/>
      <c r="N154" s="88"/>
      <c r="O154" s="88"/>
      <c r="P154" s="88"/>
      <c r="Q154" s="88"/>
      <c r="S154" s="61" t="s">
        <v>41</v>
      </c>
      <c r="T154" s="87">
        <v>40</v>
      </c>
      <c r="V154" s="87"/>
    </row>
    <row r="156" spans="1:29" s="62" customFormat="1" x14ac:dyDescent="0.2">
      <c r="A156" s="224" t="s">
        <v>129</v>
      </c>
      <c r="B156" s="154">
        <v>72052</v>
      </c>
      <c r="C156" s="61" t="s">
        <v>317</v>
      </c>
      <c r="D156" s="62" t="s">
        <v>69</v>
      </c>
      <c r="G156" s="149"/>
      <c r="H156" s="158"/>
      <c r="I156" s="162"/>
      <c r="M156" s="63"/>
      <c r="N156" s="63"/>
      <c r="O156" s="63"/>
      <c r="P156" s="63"/>
      <c r="Q156" s="63"/>
      <c r="T156" s="64"/>
      <c r="V156" s="64"/>
    </row>
    <row r="157" spans="1:29" s="60" customFormat="1" x14ac:dyDescent="0.2">
      <c r="A157" s="224"/>
      <c r="B157" s="81"/>
      <c r="C157" s="60" t="s">
        <v>318</v>
      </c>
      <c r="D157" s="60" t="s">
        <v>51</v>
      </c>
      <c r="E157" t="s">
        <v>188</v>
      </c>
      <c r="G157" s="150">
        <v>6026.223</v>
      </c>
      <c r="H157" s="159">
        <f>G157+F157</f>
        <v>6026.223</v>
      </c>
      <c r="I157" s="90">
        <f>IF("generated"=1, "Path=Intermodal_Coronel_Platform_2_2, Scaled Offset=160.40000000000000568434188608080149", 160.4)</f>
        <v>160.4</v>
      </c>
      <c r="J157" s="65"/>
      <c r="K157" s="60" t="s">
        <v>64</v>
      </c>
      <c r="M157" s="66">
        <v>-2.5</v>
      </c>
      <c r="N157" s="66">
        <v>0</v>
      </c>
      <c r="O157" s="66"/>
      <c r="P157" s="66"/>
      <c r="Q157" s="66"/>
      <c r="R157" s="60" t="str">
        <f>$E$3</f>
        <v>Red</v>
      </c>
      <c r="S157" s="60" t="s">
        <v>68</v>
      </c>
      <c r="T157" s="67" t="str">
        <f>C157</f>
        <v>Aarey_S1</v>
      </c>
      <c r="U157" s="60" t="s">
        <v>50</v>
      </c>
      <c r="V157" s="67">
        <v>0</v>
      </c>
      <c r="W157" s="60" t="s">
        <v>67</v>
      </c>
      <c r="X157" s="60">
        <v>1</v>
      </c>
      <c r="Y157" s="60" t="s">
        <v>66</v>
      </c>
      <c r="Z157" s="60">
        <v>1</v>
      </c>
      <c r="AA157" s="61" t="s">
        <v>317</v>
      </c>
      <c r="AB157" s="74" t="s">
        <v>322</v>
      </c>
      <c r="AC157" s="60">
        <v>2</v>
      </c>
    </row>
    <row r="158" spans="1:29" s="60" customFormat="1" x14ac:dyDescent="0.2">
      <c r="A158" s="224"/>
      <c r="B158" s="81"/>
      <c r="C158" s="60" t="str">
        <f>AA158&amp;"_"&amp;AC158</f>
        <v>Aarey_2</v>
      </c>
      <c r="D158" s="60" t="s">
        <v>51</v>
      </c>
      <c r="E158" t="s">
        <v>188</v>
      </c>
      <c r="G158" s="151">
        <f>AVERAGE(H157,H159)</f>
        <v>6118.723</v>
      </c>
      <c r="H158" s="159">
        <f>F158+G158</f>
        <v>6118.723</v>
      </c>
      <c r="I158" s="90">
        <f>IF("generated"=1, "Path=East_Central_Line1_5, Scaled Offset=69.5", 69.5)</f>
        <v>69.5</v>
      </c>
      <c r="J158" s="65"/>
      <c r="K158" s="60" t="s">
        <v>64</v>
      </c>
      <c r="M158" s="66">
        <f>M157</f>
        <v>-2.5</v>
      </c>
      <c r="N158" s="66">
        <v>0</v>
      </c>
      <c r="O158" s="66"/>
      <c r="P158" s="66"/>
      <c r="Q158" s="66"/>
      <c r="R158" s="60" t="str">
        <f>$E$4</f>
        <v>Green</v>
      </c>
      <c r="S158" s="60" t="s">
        <v>68</v>
      </c>
      <c r="T158" s="67" t="str">
        <f>C158</f>
        <v>Aarey_2</v>
      </c>
      <c r="U158" s="60" t="s">
        <v>50</v>
      </c>
      <c r="V158" s="67">
        <v>0</v>
      </c>
      <c r="W158" s="60" t="s">
        <v>67</v>
      </c>
      <c r="X158" s="60">
        <v>1</v>
      </c>
      <c r="Y158" s="60" t="s">
        <v>66</v>
      </c>
      <c r="Z158" s="60">
        <v>1</v>
      </c>
      <c r="AA158" s="60" t="str">
        <f>AA157</f>
        <v>Aarey</v>
      </c>
      <c r="AB158" s="60" t="str">
        <f>AB157</f>
        <v>AAR</v>
      </c>
      <c r="AC158" s="60">
        <f>AC157</f>
        <v>2</v>
      </c>
    </row>
    <row r="159" spans="1:29" s="60" customFormat="1" x14ac:dyDescent="0.2">
      <c r="A159" s="224"/>
      <c r="B159" s="81"/>
      <c r="C159" s="60" t="s">
        <v>319</v>
      </c>
      <c r="D159" s="60" t="s">
        <v>51</v>
      </c>
      <c r="E159" t="s">
        <v>188</v>
      </c>
      <c r="G159" s="150">
        <v>6211.223</v>
      </c>
      <c r="H159" s="159">
        <f>G159+F159</f>
        <v>6211.223</v>
      </c>
      <c r="I159" s="90">
        <f>IF("generated"=1, "Path=Intermodal_Coronel_Platform_2_2, Scaled Offset=231", 231)</f>
        <v>231</v>
      </c>
      <c r="J159" s="65"/>
      <c r="K159" s="60" t="s">
        <v>64</v>
      </c>
      <c r="M159" s="66">
        <v>-2.5</v>
      </c>
      <c r="N159" s="66">
        <v>0</v>
      </c>
      <c r="O159" s="66"/>
      <c r="P159" s="66"/>
      <c r="Q159" s="66"/>
      <c r="R159" s="60" t="str">
        <f>$E$3</f>
        <v>Red</v>
      </c>
      <c r="S159" s="60" t="s">
        <v>68</v>
      </c>
      <c r="T159" s="67" t="str">
        <f>C159</f>
        <v>Aarey_E1</v>
      </c>
      <c r="U159" s="60" t="s">
        <v>50</v>
      </c>
      <c r="V159" s="67">
        <v>0</v>
      </c>
      <c r="W159" s="60" t="s">
        <v>67</v>
      </c>
      <c r="X159" s="60">
        <v>1</v>
      </c>
      <c r="Y159" s="60" t="s">
        <v>66</v>
      </c>
      <c r="Z159" s="60">
        <v>1</v>
      </c>
      <c r="AA159" s="61" t="s">
        <v>317</v>
      </c>
      <c r="AB159" s="74" t="s">
        <v>322</v>
      </c>
      <c r="AC159" s="60">
        <v>2</v>
      </c>
    </row>
    <row r="160" spans="1:29" s="70" customFormat="1" x14ac:dyDescent="0.2">
      <c r="A160" s="224" t="s">
        <v>129</v>
      </c>
      <c r="B160" s="154">
        <v>72053</v>
      </c>
      <c r="C160" s="68" t="str">
        <f>C158</f>
        <v>Aarey_2</v>
      </c>
      <c r="D160" s="69" t="s">
        <v>65</v>
      </c>
      <c r="E160" s="70" t="str">
        <f>E158</f>
        <v>MMRBEM_7_DOWN</v>
      </c>
      <c r="F160" s="70">
        <f>F158</f>
        <v>0</v>
      </c>
      <c r="G160" s="152">
        <f>H158</f>
        <v>6118.723</v>
      </c>
      <c r="H160" s="159">
        <f t="shared" ref="H160:H170" si="61">F160+G160</f>
        <v>6118.723</v>
      </c>
      <c r="I160" s="232">
        <f>IF("generated"=1, "Path=MMRBEM_7_DOWN, Scaled Offset=6118.7229999999999563442543148994446", 6537.12913008832)</f>
        <v>6537.1291300883204</v>
      </c>
      <c r="K160" s="69" t="s">
        <v>64</v>
      </c>
      <c r="M160" s="71">
        <f>2*M158</f>
        <v>-5</v>
      </c>
      <c r="N160" s="71">
        <v>0</v>
      </c>
      <c r="O160" s="71"/>
      <c r="P160" s="71">
        <v>0</v>
      </c>
      <c r="Q160" s="71">
        <v>0</v>
      </c>
      <c r="S160" s="69" t="s">
        <v>63</v>
      </c>
      <c r="T160" s="72">
        <f>ABS(H159-H157)</f>
        <v>185</v>
      </c>
      <c r="U160" s="69" t="s">
        <v>62</v>
      </c>
      <c r="V160" s="73" t="str">
        <f>C160</f>
        <v>Aarey_2</v>
      </c>
      <c r="W160" s="68" t="s">
        <v>61</v>
      </c>
      <c r="X160" s="74" t="s">
        <v>322</v>
      </c>
      <c r="Y160" s="74" t="s">
        <v>60</v>
      </c>
      <c r="Z160" s="70" t="str">
        <f>LEFT(V160, LEN(V160)-2)</f>
        <v>Aarey</v>
      </c>
    </row>
    <row r="161" spans="1:29" s="70" customFormat="1" x14ac:dyDescent="0.2">
      <c r="A161" s="224" t="s">
        <v>129</v>
      </c>
      <c r="B161" s="154">
        <v>72054</v>
      </c>
      <c r="C161" s="70" t="str">
        <f>CONCATENATE("Platform Passenger - ",C160)</f>
        <v>Platform Passenger - Aarey_2</v>
      </c>
      <c r="D161" s="75" t="s">
        <v>59</v>
      </c>
      <c r="E161" s="70" t="str">
        <f t="shared" ref="E161:E166" si="62">E160</f>
        <v>MMRBEM_7_DOWN</v>
      </c>
      <c r="F161" s="70">
        <v>0</v>
      </c>
      <c r="G161" s="152">
        <f t="shared" ref="G161:G166" si="63">G160</f>
        <v>6118.723</v>
      </c>
      <c r="H161" s="159">
        <f t="shared" si="61"/>
        <v>6118.723</v>
      </c>
      <c r="I161" s="232">
        <f>IF("generated"=1, "Path=MMRBEM_7_DOWN, Scaled Offset=6118.7229999999999563442543148994446", 6537.12913008832)</f>
        <v>6537.1291300883204</v>
      </c>
      <c r="K161" s="76" t="str">
        <f t="shared" ref="K161:K166" si="64">K160</f>
        <v>BOTH</v>
      </c>
      <c r="M161" s="77">
        <f>M160/2</f>
        <v>-2.5</v>
      </c>
      <c r="N161" s="77">
        <f>N160</f>
        <v>0</v>
      </c>
      <c r="O161" s="77"/>
      <c r="P161" s="77">
        <v>270</v>
      </c>
      <c r="Q161" s="77">
        <f>Q160</f>
        <v>0</v>
      </c>
      <c r="R161" s="75" t="s">
        <v>1091</v>
      </c>
      <c r="S161" s="70" t="s">
        <v>58</v>
      </c>
      <c r="T161" s="78" t="str">
        <f>CONCATENATE(X160,"_PAS"&amp;AC159)</f>
        <v>AAR_PAS2</v>
      </c>
      <c r="V161" s="79"/>
    </row>
    <row r="162" spans="1:29" s="70" customFormat="1" x14ac:dyDescent="0.2">
      <c r="A162" s="224" t="s">
        <v>129</v>
      </c>
      <c r="B162" s="154">
        <v>72055</v>
      </c>
      <c r="C162" s="70" t="str">
        <f>CONCATENATE("Passenger Alighting - ",C160)</f>
        <v>Passenger Alighting - Aarey_2</v>
      </c>
      <c r="D162" s="75" t="s">
        <v>57</v>
      </c>
      <c r="E162" s="70" t="str">
        <f t="shared" si="62"/>
        <v>MMRBEM_7_DOWN</v>
      </c>
      <c r="F162" s="70">
        <v>0</v>
      </c>
      <c r="G162" s="152">
        <f t="shared" si="63"/>
        <v>6118.723</v>
      </c>
      <c r="H162" s="159">
        <f t="shared" si="61"/>
        <v>6118.723</v>
      </c>
      <c r="I162" s="232">
        <f>IF("generated"=1, "Path=MMRBEM_7_DOWN, Scaled Offset=6118.7229999999999563442543148994446", 6537.12913008832)</f>
        <v>6537.1291300883204</v>
      </c>
      <c r="K162" s="76" t="str">
        <f t="shared" si="64"/>
        <v>BOTH</v>
      </c>
      <c r="M162" s="77">
        <f>M161</f>
        <v>-2.5</v>
      </c>
      <c r="N162" s="77">
        <f>N161</f>
        <v>0</v>
      </c>
      <c r="O162" s="77"/>
      <c r="P162" s="77">
        <v>270</v>
      </c>
      <c r="Q162" s="77">
        <f>Q161</f>
        <v>0</v>
      </c>
      <c r="R162" s="75" t="s">
        <v>1091</v>
      </c>
      <c r="S162" s="70" t="s">
        <v>56</v>
      </c>
      <c r="T162" s="78">
        <f>B161</f>
        <v>72054</v>
      </c>
      <c r="V162" s="79"/>
    </row>
    <row r="163" spans="1:29" s="70" customFormat="1" x14ac:dyDescent="0.2">
      <c r="A163" s="224" t="s">
        <v>129</v>
      </c>
      <c r="B163" s="154">
        <v>72056</v>
      </c>
      <c r="C163" s="70" t="str">
        <f>CONCATENATE("Passenger Arriving - ",C158)</f>
        <v>Passenger Arriving - Aarey_2</v>
      </c>
      <c r="D163" s="75" t="s">
        <v>55</v>
      </c>
      <c r="E163" s="70" t="str">
        <f t="shared" si="62"/>
        <v>MMRBEM_7_DOWN</v>
      </c>
      <c r="F163" s="70">
        <v>0</v>
      </c>
      <c r="G163" s="152">
        <f t="shared" si="63"/>
        <v>6118.723</v>
      </c>
      <c r="H163" s="159">
        <f t="shared" si="61"/>
        <v>6118.723</v>
      </c>
      <c r="I163" s="232">
        <f>IF("generated"=1, "Path=MMRBEM_7_DOWN, Scaled Offset=6118.7229999999999563442543148994446", 6537.12913008832)</f>
        <v>6537.1291300883204</v>
      </c>
      <c r="K163" s="76" t="str">
        <f t="shared" si="64"/>
        <v>BOTH</v>
      </c>
      <c r="M163" s="77">
        <f>M162</f>
        <v>-2.5</v>
      </c>
      <c r="N163" s="77">
        <f>N162</f>
        <v>0</v>
      </c>
      <c r="O163" s="77"/>
      <c r="P163" s="77">
        <v>270</v>
      </c>
      <c r="Q163" s="77">
        <f>Q162</f>
        <v>0</v>
      </c>
      <c r="R163" s="75" t="s">
        <v>52</v>
      </c>
      <c r="S163" s="70" t="str">
        <f t="shared" ref="S163:T163" si="65">S162</f>
        <v>Parent ID</v>
      </c>
      <c r="T163" s="78">
        <f t="shared" si="65"/>
        <v>72054</v>
      </c>
      <c r="V163" s="79"/>
    </row>
    <row r="164" spans="1:29" s="70" customFormat="1" x14ac:dyDescent="0.2">
      <c r="A164" s="224" t="s">
        <v>129</v>
      </c>
      <c r="B164" s="154">
        <v>72057</v>
      </c>
      <c r="C164" s="70" t="str">
        <f>CONCATENATE("Passenger Intoxicated - ",C160)</f>
        <v>Passenger Intoxicated - Aarey_2</v>
      </c>
      <c r="D164" s="75" t="s">
        <v>54</v>
      </c>
      <c r="E164" s="70" t="str">
        <f t="shared" si="62"/>
        <v>MMRBEM_7_DOWN</v>
      </c>
      <c r="F164" s="70">
        <v>0</v>
      </c>
      <c r="G164" s="152">
        <f t="shared" si="63"/>
        <v>6118.723</v>
      </c>
      <c r="H164" s="159">
        <f t="shared" si="61"/>
        <v>6118.723</v>
      </c>
      <c r="I164" s="232">
        <f>IF("generated"=1, "Path=MMRBEM_7_DOWN, Scaled Offset=6118.7229999999999563442543148994446", 6537.12913008832)</f>
        <v>6537.1291300883204</v>
      </c>
      <c r="K164" s="76" t="str">
        <f t="shared" si="64"/>
        <v>BOTH</v>
      </c>
      <c r="M164" s="77">
        <f>M163</f>
        <v>-2.5</v>
      </c>
      <c r="N164" s="77">
        <f>N163</f>
        <v>0</v>
      </c>
      <c r="O164" s="77"/>
      <c r="P164" s="77">
        <v>270</v>
      </c>
      <c r="Q164" s="77">
        <f>Q163</f>
        <v>0</v>
      </c>
      <c r="R164" s="75" t="s">
        <v>52</v>
      </c>
      <c r="S164" s="70" t="str">
        <f t="shared" ref="S164:T164" si="66">S163</f>
        <v>Parent ID</v>
      </c>
      <c r="T164" s="78">
        <f t="shared" si="66"/>
        <v>72054</v>
      </c>
      <c r="V164" s="79"/>
    </row>
    <row r="165" spans="1:29" s="70" customFormat="1" x14ac:dyDescent="0.2">
      <c r="A165" s="224" t="s">
        <v>129</v>
      </c>
      <c r="B165" s="154">
        <v>72058</v>
      </c>
      <c r="C165" s="70" t="str">
        <f>CONCATENATE("Passenger Pram - ",C160)</f>
        <v>Passenger Pram - Aarey_2</v>
      </c>
      <c r="D165" s="75" t="s">
        <v>53</v>
      </c>
      <c r="E165" s="70" t="str">
        <f t="shared" si="62"/>
        <v>MMRBEM_7_DOWN</v>
      </c>
      <c r="F165" s="70">
        <v>0</v>
      </c>
      <c r="G165" s="152">
        <f t="shared" si="63"/>
        <v>6118.723</v>
      </c>
      <c r="H165" s="159">
        <f t="shared" si="61"/>
        <v>6118.723</v>
      </c>
      <c r="I165" s="232">
        <f>IF("generated"=1, "Path=MMRBEM_7_DOWN, Scaled Offset=6118.7229999999999563442543148994446", 6537.12913008832)</f>
        <v>6537.1291300883204</v>
      </c>
      <c r="K165" s="76" t="str">
        <f t="shared" si="64"/>
        <v>BOTH</v>
      </c>
      <c r="M165" s="77">
        <f>M164</f>
        <v>-2.5</v>
      </c>
      <c r="N165" s="77">
        <f>N164</f>
        <v>0</v>
      </c>
      <c r="O165" s="77"/>
      <c r="P165" s="77">
        <v>270</v>
      </c>
      <c r="Q165" s="77">
        <f>Q164</f>
        <v>0</v>
      </c>
      <c r="R165" s="75" t="s">
        <v>52</v>
      </c>
      <c r="S165" s="70" t="str">
        <f t="shared" ref="S165:T165" si="67">S164</f>
        <v>Parent ID</v>
      </c>
      <c r="T165" s="78">
        <f t="shared" si="67"/>
        <v>72054</v>
      </c>
      <c r="V165" s="79"/>
    </row>
    <row r="166" spans="1:29" s="164" customFormat="1" x14ac:dyDescent="0.2">
      <c r="A166" s="224" t="s">
        <v>129</v>
      </c>
      <c r="B166" s="81">
        <v>72277</v>
      </c>
      <c r="C166" s="70" t="str">
        <f>CONCATENATE("PSD - ",C160)</f>
        <v>PSD - Aarey_2</v>
      </c>
      <c r="D166" s="165" t="s">
        <v>1042</v>
      </c>
      <c r="E166" s="70" t="str">
        <f t="shared" si="62"/>
        <v>MMRBEM_7_DOWN</v>
      </c>
      <c r="F166" s="70">
        <v>0</v>
      </c>
      <c r="G166" s="152">
        <f t="shared" si="63"/>
        <v>6118.723</v>
      </c>
      <c r="H166" s="159">
        <f t="shared" si="61"/>
        <v>6118.723</v>
      </c>
      <c r="I166" s="232">
        <f>IF("generated"=1, "Path=MMRBEM_7_DOWN, Scaled Offset=6118.7229999999999563442543148994446", 6537.12913008832)</f>
        <v>6537.1291300883204</v>
      </c>
      <c r="K166" s="76" t="str">
        <f t="shared" si="64"/>
        <v>BOTH</v>
      </c>
      <c r="M166" s="168">
        <f>M165+0.5</f>
        <v>-2</v>
      </c>
      <c r="N166" s="168"/>
      <c r="O166" s="168"/>
      <c r="P166" s="168"/>
      <c r="Q166" s="168"/>
      <c r="R166" s="165"/>
      <c r="S166" s="165" t="s">
        <v>1043</v>
      </c>
      <c r="T166" s="165" t="str">
        <f>_xlfn.CONCAT("PSD_",T161)</f>
        <v>PSD_AAR_PAS2</v>
      </c>
      <c r="U166" s="165" t="s">
        <v>926</v>
      </c>
      <c r="V166" s="165">
        <f>B160</f>
        <v>72053</v>
      </c>
      <c r="W166" s="165"/>
      <c r="X166" s="165"/>
    </row>
    <row r="167" spans="1:29" s="164" customFormat="1" x14ac:dyDescent="0.2">
      <c r="A167" s="224" t="s">
        <v>129</v>
      </c>
      <c r="B167" s="81">
        <v>72205</v>
      </c>
      <c r="C167" s="164" t="s">
        <v>969</v>
      </c>
      <c r="D167" s="140" t="s">
        <v>928</v>
      </c>
      <c r="E167" s="70" t="s">
        <v>124</v>
      </c>
      <c r="G167" s="166">
        <f>G168+22.2</f>
        <v>216.25</v>
      </c>
      <c r="H167" s="159">
        <f t="shared" si="61"/>
        <v>216.25</v>
      </c>
      <c r="I167" s="232">
        <f>IF("generated"=1, "Path=Track_10_4, Scaled Offset=216.25", 216.25)</f>
        <v>216.25</v>
      </c>
      <c r="K167" s="167"/>
      <c r="M167" s="168"/>
      <c r="N167" s="168"/>
      <c r="O167" s="168"/>
      <c r="P167" s="168"/>
      <c r="Q167" s="168"/>
      <c r="R167" s="165" t="s">
        <v>1041</v>
      </c>
      <c r="S167" s="140" t="s">
        <v>926</v>
      </c>
      <c r="T167" s="143">
        <f>B160</f>
        <v>72053</v>
      </c>
      <c r="U167" s="140" t="s">
        <v>61</v>
      </c>
      <c r="V167" s="143" t="str">
        <f>X160</f>
        <v>AAR</v>
      </c>
      <c r="W167" s="140" t="s">
        <v>927</v>
      </c>
      <c r="X167" s="164">
        <v>1</v>
      </c>
    </row>
    <row r="168" spans="1:29" s="164" customFormat="1" x14ac:dyDescent="0.2">
      <c r="A168" s="224" t="s">
        <v>129</v>
      </c>
      <c r="B168" s="81">
        <v>72206</v>
      </c>
      <c r="C168" s="164" t="s">
        <v>970</v>
      </c>
      <c r="D168" s="140" t="s">
        <v>928</v>
      </c>
      <c r="E168" s="70" t="str">
        <f t="shared" ref="E168:E170" si="68">E167</f>
        <v>Track_10_4</v>
      </c>
      <c r="G168" s="166">
        <v>194.05</v>
      </c>
      <c r="H168" s="159">
        <f t="shared" si="61"/>
        <v>194.05</v>
      </c>
      <c r="I168" s="232">
        <f>IF("generated"=1, "Path=Track_10_4, Scaled Offset=194.05000000000001136868377216160297", 194.05)</f>
        <v>194.05</v>
      </c>
      <c r="K168" s="167"/>
      <c r="M168" s="168"/>
      <c r="N168" s="168"/>
      <c r="O168" s="168"/>
      <c r="P168" s="168"/>
      <c r="Q168" s="168"/>
      <c r="R168" s="165" t="s">
        <v>1041</v>
      </c>
      <c r="S168" s="140" t="s">
        <v>926</v>
      </c>
      <c r="T168" s="143">
        <f>T167</f>
        <v>72053</v>
      </c>
      <c r="U168" s="140" t="s">
        <v>61</v>
      </c>
      <c r="V168" s="143" t="str">
        <f>V167</f>
        <v>AAR</v>
      </c>
      <c r="W168" s="140" t="s">
        <v>927</v>
      </c>
      <c r="X168" s="164">
        <v>1</v>
      </c>
    </row>
    <row r="169" spans="1:29" s="164" customFormat="1" x14ac:dyDescent="0.2">
      <c r="A169" s="224" t="s">
        <v>129</v>
      </c>
      <c r="B169" s="81">
        <v>72207</v>
      </c>
      <c r="C169" s="164" t="s">
        <v>971</v>
      </c>
      <c r="D169" s="140" t="s">
        <v>928</v>
      </c>
      <c r="E169" s="70" t="str">
        <f t="shared" si="68"/>
        <v>Track_10_4</v>
      </c>
      <c r="G169" s="166">
        <v>57.98</v>
      </c>
      <c r="H169" s="159">
        <f t="shared" si="61"/>
        <v>57.98</v>
      </c>
      <c r="I169" s="232">
        <f>IF("generated"=1, "Path=Track_10_4, Scaled Offset=57.979999999999996873611962655559182", 57.9799999999999)</f>
        <v>57.979999999999897</v>
      </c>
      <c r="K169" s="167"/>
      <c r="L169" s="164">
        <v>1</v>
      </c>
      <c r="M169" s="168"/>
      <c r="N169" s="168"/>
      <c r="O169" s="168"/>
      <c r="P169" s="168"/>
      <c r="Q169" s="168"/>
      <c r="R169" s="165" t="s">
        <v>1041</v>
      </c>
      <c r="S169" s="140" t="s">
        <v>926</v>
      </c>
      <c r="T169" s="143">
        <f>T168</f>
        <v>72053</v>
      </c>
      <c r="U169" s="140" t="s">
        <v>61</v>
      </c>
      <c r="V169" s="143" t="str">
        <f>V168</f>
        <v>AAR</v>
      </c>
      <c r="W169" s="140" t="s">
        <v>927</v>
      </c>
      <c r="X169" s="164">
        <v>2</v>
      </c>
    </row>
    <row r="170" spans="1:29" s="164" customFormat="1" x14ac:dyDescent="0.2">
      <c r="A170" s="224" t="s">
        <v>129</v>
      </c>
      <c r="B170" s="81">
        <v>72208</v>
      </c>
      <c r="C170" s="164" t="s">
        <v>972</v>
      </c>
      <c r="D170" s="140" t="s">
        <v>928</v>
      </c>
      <c r="E170" s="70" t="str">
        <f t="shared" si="68"/>
        <v>Track_10_4</v>
      </c>
      <c r="G170" s="166">
        <f>G169-22.2</f>
        <v>35.78</v>
      </c>
      <c r="H170" s="159">
        <f t="shared" si="61"/>
        <v>35.78</v>
      </c>
      <c r="I170" s="232">
        <f>IF("generated"=1, "Path=Track_10_4, Scaled Offset=35.780000000000001136868377216160297", 35.78)</f>
        <v>35.78</v>
      </c>
      <c r="K170" s="167"/>
      <c r="L170" s="164">
        <v>1</v>
      </c>
      <c r="M170" s="168"/>
      <c r="N170" s="168"/>
      <c r="O170" s="168"/>
      <c r="P170" s="168"/>
      <c r="Q170" s="168"/>
      <c r="R170" s="165" t="s">
        <v>1041</v>
      </c>
      <c r="S170" s="140" t="s">
        <v>926</v>
      </c>
      <c r="T170" s="143">
        <f>T169</f>
        <v>72053</v>
      </c>
      <c r="U170" s="140" t="s">
        <v>61</v>
      </c>
      <c r="V170" s="143" t="str">
        <f>V169</f>
        <v>AAR</v>
      </c>
      <c r="W170" s="140" t="s">
        <v>927</v>
      </c>
      <c r="X170" s="164">
        <v>2</v>
      </c>
    </row>
    <row r="171" spans="1:29" s="61" customFormat="1" x14ac:dyDescent="0.2">
      <c r="A171" s="224" t="s">
        <v>930</v>
      </c>
      <c r="B171" s="81">
        <v>72052</v>
      </c>
      <c r="C171" s="61" t="str">
        <f>LEFT(C160,LEN(C160)-2)</f>
        <v>Aarey</v>
      </c>
      <c r="E171" s="61" t="s">
        <v>124</v>
      </c>
      <c r="G171" s="153"/>
      <c r="H171" s="160">
        <v>31</v>
      </c>
      <c r="I171" s="232">
        <f>IF("generated"=1, "Path=Track_10_4, Scaled Offset=31", 31)</f>
        <v>31</v>
      </c>
      <c r="J171" s="89"/>
      <c r="M171" s="88"/>
      <c r="N171" s="88"/>
      <c r="O171" s="88"/>
      <c r="P171" s="88"/>
      <c r="Q171" s="88"/>
      <c r="S171" s="61" t="s">
        <v>41</v>
      </c>
      <c r="T171" s="87">
        <v>40</v>
      </c>
      <c r="V171" s="87"/>
    </row>
    <row r="172" spans="1:29" s="61" customFormat="1" x14ac:dyDescent="0.2">
      <c r="A172" s="224" t="s">
        <v>930</v>
      </c>
      <c r="B172" s="81">
        <v>72052</v>
      </c>
      <c r="C172" s="61" t="str">
        <f>C171</f>
        <v>Aarey</v>
      </c>
      <c r="E172" s="61" t="s">
        <v>124</v>
      </c>
      <c r="G172" s="153"/>
      <c r="H172" s="160">
        <v>220</v>
      </c>
      <c r="I172" s="232">
        <f>IF("generated"=1, "Path=Track_10_4, Scaled Offset=220", 220)</f>
        <v>220</v>
      </c>
      <c r="J172" s="89"/>
      <c r="M172" s="88"/>
      <c r="N172" s="88"/>
      <c r="O172" s="88"/>
      <c r="P172" s="88"/>
      <c r="Q172" s="88"/>
      <c r="S172" s="61" t="s">
        <v>41</v>
      </c>
      <c r="T172" s="87">
        <v>40</v>
      </c>
      <c r="V172" s="87"/>
    </row>
    <row r="174" spans="1:29" s="62" customFormat="1" x14ac:dyDescent="0.2">
      <c r="A174" s="224" t="s">
        <v>129</v>
      </c>
      <c r="B174" s="154">
        <v>72052</v>
      </c>
      <c r="C174" s="61" t="s">
        <v>317</v>
      </c>
      <c r="D174" s="62" t="s">
        <v>69</v>
      </c>
      <c r="E174" s="94"/>
      <c r="G174" s="149"/>
      <c r="H174" s="158"/>
      <c r="I174" s="162"/>
      <c r="M174" s="63"/>
      <c r="N174" s="63"/>
      <c r="O174" s="63"/>
      <c r="P174" s="63"/>
      <c r="Q174" s="63"/>
      <c r="T174" s="64"/>
      <c r="V174" s="64"/>
    </row>
    <row r="175" spans="1:29" s="60" customFormat="1" x14ac:dyDescent="0.2">
      <c r="A175" s="224"/>
      <c r="B175" s="81"/>
      <c r="C175" s="60" t="s">
        <v>320</v>
      </c>
      <c r="D175" s="60" t="s">
        <v>51</v>
      </c>
      <c r="E175" s="94" t="s">
        <v>187</v>
      </c>
      <c r="G175" s="150">
        <v>6026.674</v>
      </c>
      <c r="H175" s="159">
        <f>G175+F175</f>
        <v>6026.674</v>
      </c>
      <c r="I175" s="90"/>
      <c r="J175" s="65"/>
      <c r="K175" s="60" t="s">
        <v>64</v>
      </c>
      <c r="M175" s="66">
        <v>2.5</v>
      </c>
      <c r="N175" s="66">
        <v>0</v>
      </c>
      <c r="O175" s="66"/>
      <c r="P175" s="66"/>
      <c r="Q175" s="66"/>
      <c r="R175" s="60" t="str">
        <f>$E$3</f>
        <v>Red</v>
      </c>
      <c r="S175" s="60" t="s">
        <v>68</v>
      </c>
      <c r="T175" s="67" t="str">
        <f>C175</f>
        <v>Aarey_S2</v>
      </c>
      <c r="U175" s="60" t="s">
        <v>50</v>
      </c>
      <c r="V175" s="67">
        <v>0</v>
      </c>
      <c r="W175" s="60" t="s">
        <v>67</v>
      </c>
      <c r="X175" s="60">
        <v>1</v>
      </c>
      <c r="Y175" s="60" t="s">
        <v>66</v>
      </c>
      <c r="Z175" s="60">
        <v>1</v>
      </c>
      <c r="AA175" s="60" t="s">
        <v>317</v>
      </c>
      <c r="AB175" s="74" t="s">
        <v>322</v>
      </c>
      <c r="AC175" s="60">
        <v>1</v>
      </c>
    </row>
    <row r="176" spans="1:29" s="60" customFormat="1" x14ac:dyDescent="0.2">
      <c r="A176" s="224"/>
      <c r="B176" s="81"/>
      <c r="C176" s="60" t="str">
        <f>AA176&amp;"_"&amp;AC176</f>
        <v>Aarey_1</v>
      </c>
      <c r="D176" s="60" t="s">
        <v>51</v>
      </c>
      <c r="E176" s="60" t="str">
        <f>E175</f>
        <v>MMRBEM_7_UP</v>
      </c>
      <c r="G176" s="151">
        <f>AVERAGE(H175,H177)</f>
        <v>6119.174</v>
      </c>
      <c r="H176" s="159">
        <f>F176+G176</f>
        <v>6119.174</v>
      </c>
      <c r="I176" s="90"/>
      <c r="J176" s="65"/>
      <c r="K176" s="60" t="s">
        <v>64</v>
      </c>
      <c r="M176" s="66">
        <v>2.5</v>
      </c>
      <c r="N176" s="66">
        <v>0</v>
      </c>
      <c r="O176" s="66"/>
      <c r="P176" s="66"/>
      <c r="Q176" s="66"/>
      <c r="R176" s="60" t="str">
        <f>$E$4</f>
        <v>Green</v>
      </c>
      <c r="S176" s="60" t="s">
        <v>68</v>
      </c>
      <c r="T176" s="67" t="str">
        <f>C176</f>
        <v>Aarey_1</v>
      </c>
      <c r="U176" s="60" t="s">
        <v>50</v>
      </c>
      <c r="V176" s="67">
        <v>0</v>
      </c>
      <c r="W176" s="60" t="s">
        <v>67</v>
      </c>
      <c r="X176" s="60">
        <v>1</v>
      </c>
      <c r="Y176" s="60" t="s">
        <v>66</v>
      </c>
      <c r="Z176" s="60">
        <v>1</v>
      </c>
      <c r="AA176" s="60" t="str">
        <f>AA175</f>
        <v>Aarey</v>
      </c>
      <c r="AB176" s="60" t="str">
        <f>AB175</f>
        <v>AAR</v>
      </c>
      <c r="AC176" s="60">
        <f>AC175</f>
        <v>1</v>
      </c>
    </row>
    <row r="177" spans="1:29" s="60" customFormat="1" x14ac:dyDescent="0.2">
      <c r="A177" s="224"/>
      <c r="B177" s="81"/>
      <c r="C177" s="60" t="s">
        <v>321</v>
      </c>
      <c r="D177" s="60" t="s">
        <v>51</v>
      </c>
      <c r="E177" s="94" t="s">
        <v>187</v>
      </c>
      <c r="G177" s="150">
        <v>6211.674</v>
      </c>
      <c r="H177" s="159">
        <f>G177+F177</f>
        <v>6211.674</v>
      </c>
      <c r="I177" s="90"/>
      <c r="J177" s="65"/>
      <c r="K177" s="60" t="s">
        <v>64</v>
      </c>
      <c r="M177" s="66">
        <v>2.5</v>
      </c>
      <c r="N177" s="66">
        <v>0</v>
      </c>
      <c r="O177" s="66"/>
      <c r="P177" s="66"/>
      <c r="Q177" s="66"/>
      <c r="R177" s="60" t="str">
        <f>$E$3</f>
        <v>Red</v>
      </c>
      <c r="S177" s="60" t="s">
        <v>68</v>
      </c>
      <c r="T177" s="67" t="str">
        <f>C177</f>
        <v>Aarey_E2</v>
      </c>
      <c r="U177" s="60" t="s">
        <v>50</v>
      </c>
      <c r="V177" s="67">
        <v>0</v>
      </c>
      <c r="W177" s="60" t="s">
        <v>67</v>
      </c>
      <c r="X177" s="60">
        <v>1</v>
      </c>
      <c r="Y177" s="60" t="s">
        <v>66</v>
      </c>
      <c r="Z177" s="60">
        <v>1</v>
      </c>
      <c r="AA177" s="60" t="s">
        <v>317</v>
      </c>
      <c r="AB177" s="74" t="s">
        <v>322</v>
      </c>
      <c r="AC177" s="60">
        <v>1</v>
      </c>
    </row>
    <row r="178" spans="1:29" s="70" customFormat="1" x14ac:dyDescent="0.2">
      <c r="A178" s="224" t="s">
        <v>129</v>
      </c>
      <c r="B178" s="154">
        <v>72059</v>
      </c>
      <c r="C178" s="68" t="str">
        <f>C176</f>
        <v>Aarey_1</v>
      </c>
      <c r="D178" s="69" t="s">
        <v>65</v>
      </c>
      <c r="E178" s="70" t="str">
        <f>E176</f>
        <v>MMRBEM_7_UP</v>
      </c>
      <c r="F178" s="70">
        <f>F176</f>
        <v>0</v>
      </c>
      <c r="G178" s="152">
        <f>H176</f>
        <v>6119.174</v>
      </c>
      <c r="H178" s="159">
        <f t="shared" ref="H178:H188" si="69">F178+G178</f>
        <v>6119.174</v>
      </c>
      <c r="I178" s="232">
        <f>IF("generated"=1, "Path=MMRBEM_7_UP, Scaled Offset=6119.1739999999999781721271574497223", 6537.84083639708)</f>
        <v>6537.8408363970802</v>
      </c>
      <c r="K178" s="69" t="s">
        <v>64</v>
      </c>
      <c r="M178" s="71">
        <f>2*M176</f>
        <v>5</v>
      </c>
      <c r="N178" s="71">
        <v>0</v>
      </c>
      <c r="O178" s="71"/>
      <c r="P178" s="71">
        <v>0</v>
      </c>
      <c r="Q178" s="71">
        <v>0</v>
      </c>
      <c r="S178" s="69" t="s">
        <v>63</v>
      </c>
      <c r="T178" s="72">
        <f>ABS(H177-H175)</f>
        <v>185</v>
      </c>
      <c r="U178" s="69" t="s">
        <v>62</v>
      </c>
      <c r="V178" s="73" t="str">
        <f>C178</f>
        <v>Aarey_1</v>
      </c>
      <c r="W178" s="68" t="s">
        <v>61</v>
      </c>
      <c r="X178" s="74" t="s">
        <v>322</v>
      </c>
      <c r="Y178" s="74" t="s">
        <v>60</v>
      </c>
      <c r="Z178" s="70" t="str">
        <f>LEFT(V178, LEN(V178)-2)</f>
        <v>Aarey</v>
      </c>
    </row>
    <row r="179" spans="1:29" s="70" customFormat="1" x14ac:dyDescent="0.2">
      <c r="A179" s="224" t="s">
        <v>129</v>
      </c>
      <c r="B179" s="154">
        <v>72060</v>
      </c>
      <c r="C179" s="70" t="str">
        <f>CONCATENATE("Platform Passenger - ",C178)</f>
        <v>Platform Passenger - Aarey_1</v>
      </c>
      <c r="D179" s="75" t="s">
        <v>59</v>
      </c>
      <c r="E179" s="70" t="str">
        <f t="shared" ref="E179:E184" si="70">E178</f>
        <v>MMRBEM_7_UP</v>
      </c>
      <c r="F179" s="70">
        <v>0</v>
      </c>
      <c r="G179" s="152">
        <f t="shared" ref="G179:G184" si="71">G178</f>
        <v>6119.174</v>
      </c>
      <c r="H179" s="159">
        <f t="shared" si="69"/>
        <v>6119.174</v>
      </c>
      <c r="I179" s="232">
        <f>IF("generated"=1, "Path=MMRBEM_7_UP, Scaled Offset=6119.1739999999999781721271574497223", 6537.84083639708)</f>
        <v>6537.8408363970802</v>
      </c>
      <c r="K179" s="76" t="str">
        <f t="shared" ref="K179:K184" si="72">K178</f>
        <v>BOTH</v>
      </c>
      <c r="M179" s="77">
        <f>M178/2</f>
        <v>2.5</v>
      </c>
      <c r="N179" s="77">
        <f>N178</f>
        <v>0</v>
      </c>
      <c r="O179" s="77"/>
      <c r="P179" s="77">
        <v>90</v>
      </c>
      <c r="Q179" s="77">
        <f>Q178</f>
        <v>0</v>
      </c>
      <c r="R179" s="75" t="s">
        <v>1091</v>
      </c>
      <c r="S179" s="70" t="s">
        <v>58</v>
      </c>
      <c r="T179" s="78" t="str">
        <f>CONCATENATE(X178,"_PAS"&amp;AC177)</f>
        <v>AAR_PAS1</v>
      </c>
      <c r="V179" s="79"/>
    </row>
    <row r="180" spans="1:29" s="70" customFormat="1" x14ac:dyDescent="0.2">
      <c r="A180" s="224" t="s">
        <v>129</v>
      </c>
      <c r="B180" s="154">
        <v>72061</v>
      </c>
      <c r="C180" s="70" t="str">
        <f>CONCATENATE("Passenger Alighting - ",C178)</f>
        <v>Passenger Alighting - Aarey_1</v>
      </c>
      <c r="D180" s="75" t="s">
        <v>57</v>
      </c>
      <c r="E180" s="70" t="str">
        <f t="shared" si="70"/>
        <v>MMRBEM_7_UP</v>
      </c>
      <c r="F180" s="70">
        <v>0</v>
      </c>
      <c r="G180" s="152">
        <f t="shared" si="71"/>
        <v>6119.174</v>
      </c>
      <c r="H180" s="159">
        <f t="shared" si="69"/>
        <v>6119.174</v>
      </c>
      <c r="I180" s="232">
        <f>IF("generated"=1, "Path=MMRBEM_7_UP, Scaled Offset=6119.1739999999999781721271574497223", 6537.84083639708)</f>
        <v>6537.8408363970802</v>
      </c>
      <c r="K180" s="76" t="str">
        <f t="shared" si="72"/>
        <v>BOTH</v>
      </c>
      <c r="M180" s="77">
        <f>M179</f>
        <v>2.5</v>
      </c>
      <c r="N180" s="77">
        <f>N179</f>
        <v>0</v>
      </c>
      <c r="O180" s="77"/>
      <c r="P180" s="77">
        <v>90</v>
      </c>
      <c r="Q180" s="77">
        <f>Q179</f>
        <v>0</v>
      </c>
      <c r="R180" s="75" t="s">
        <v>1091</v>
      </c>
      <c r="S180" s="70" t="s">
        <v>56</v>
      </c>
      <c r="T180" s="78">
        <f>B179</f>
        <v>72060</v>
      </c>
      <c r="V180" s="79"/>
    </row>
    <row r="181" spans="1:29" s="70" customFormat="1" x14ac:dyDescent="0.2">
      <c r="A181" s="224" t="s">
        <v>129</v>
      </c>
      <c r="B181" s="154">
        <v>72062</v>
      </c>
      <c r="C181" s="70" t="str">
        <f>CONCATENATE("Passenger Arriving - ",C176)</f>
        <v>Passenger Arriving - Aarey_1</v>
      </c>
      <c r="D181" s="75" t="s">
        <v>55</v>
      </c>
      <c r="E181" s="70" t="str">
        <f t="shared" si="70"/>
        <v>MMRBEM_7_UP</v>
      </c>
      <c r="F181" s="70">
        <v>0</v>
      </c>
      <c r="G181" s="152">
        <f t="shared" si="71"/>
        <v>6119.174</v>
      </c>
      <c r="H181" s="159">
        <f t="shared" si="69"/>
        <v>6119.174</v>
      </c>
      <c r="I181" s="232">
        <f>IF("generated"=1, "Path=MMRBEM_7_UP, Scaled Offset=6119.1739999999999781721271574497223", 6537.84083639708)</f>
        <v>6537.8408363970802</v>
      </c>
      <c r="K181" s="76" t="str">
        <f t="shared" si="72"/>
        <v>BOTH</v>
      </c>
      <c r="M181" s="77">
        <f>M180</f>
        <v>2.5</v>
      </c>
      <c r="N181" s="77">
        <f>N180</f>
        <v>0</v>
      </c>
      <c r="O181" s="77"/>
      <c r="P181" s="77">
        <v>90</v>
      </c>
      <c r="Q181" s="77">
        <f>Q180</f>
        <v>0</v>
      </c>
      <c r="R181" s="75" t="s">
        <v>52</v>
      </c>
      <c r="S181" s="70" t="str">
        <f t="shared" ref="S181:T181" si="73">S180</f>
        <v>Parent ID</v>
      </c>
      <c r="T181" s="78">
        <f t="shared" si="73"/>
        <v>72060</v>
      </c>
      <c r="V181" s="79"/>
    </row>
    <row r="182" spans="1:29" s="70" customFormat="1" x14ac:dyDescent="0.2">
      <c r="A182" s="224" t="s">
        <v>129</v>
      </c>
      <c r="B182" s="154">
        <v>72063</v>
      </c>
      <c r="C182" s="70" t="str">
        <f>CONCATENATE("Passenger Intoxicated - ",C178)</f>
        <v>Passenger Intoxicated - Aarey_1</v>
      </c>
      <c r="D182" s="75" t="s">
        <v>54</v>
      </c>
      <c r="E182" s="70" t="str">
        <f t="shared" si="70"/>
        <v>MMRBEM_7_UP</v>
      </c>
      <c r="F182" s="70">
        <v>0</v>
      </c>
      <c r="G182" s="152">
        <f t="shared" si="71"/>
        <v>6119.174</v>
      </c>
      <c r="H182" s="159">
        <f t="shared" si="69"/>
        <v>6119.174</v>
      </c>
      <c r="I182" s="232">
        <f>IF("generated"=1, "Path=MMRBEM_7_UP, Scaled Offset=6119.1739999999999781721271574497223", 6537.84083639708)</f>
        <v>6537.8408363970802</v>
      </c>
      <c r="K182" s="76" t="str">
        <f t="shared" si="72"/>
        <v>BOTH</v>
      </c>
      <c r="M182" s="77">
        <f>M181</f>
        <v>2.5</v>
      </c>
      <c r="N182" s="77">
        <f>N181</f>
        <v>0</v>
      </c>
      <c r="O182" s="77"/>
      <c r="P182" s="77">
        <v>90</v>
      </c>
      <c r="Q182" s="77">
        <f>Q181</f>
        <v>0</v>
      </c>
      <c r="R182" s="75" t="s">
        <v>52</v>
      </c>
      <c r="S182" s="70" t="str">
        <f t="shared" ref="S182:T182" si="74">S181</f>
        <v>Parent ID</v>
      </c>
      <c r="T182" s="78">
        <f t="shared" si="74"/>
        <v>72060</v>
      </c>
      <c r="V182" s="79"/>
    </row>
    <row r="183" spans="1:29" s="70" customFormat="1" x14ac:dyDescent="0.2">
      <c r="A183" s="224" t="s">
        <v>129</v>
      </c>
      <c r="B183" s="154">
        <v>72064</v>
      </c>
      <c r="C183" s="70" t="str">
        <f>CONCATENATE("Passenger Pram - ",C178)</f>
        <v>Passenger Pram - Aarey_1</v>
      </c>
      <c r="D183" s="75" t="s">
        <v>53</v>
      </c>
      <c r="E183" s="70" t="str">
        <f t="shared" si="70"/>
        <v>MMRBEM_7_UP</v>
      </c>
      <c r="F183" s="70">
        <v>0</v>
      </c>
      <c r="G183" s="152">
        <f t="shared" si="71"/>
        <v>6119.174</v>
      </c>
      <c r="H183" s="159">
        <f t="shared" si="69"/>
        <v>6119.174</v>
      </c>
      <c r="I183" s="232">
        <f>IF("generated"=1, "Path=MMRBEM_7_UP, Scaled Offset=6119.1739999999999781721271574497223", 6537.84083639708)</f>
        <v>6537.8408363970802</v>
      </c>
      <c r="K183" s="76" t="str">
        <f t="shared" si="72"/>
        <v>BOTH</v>
      </c>
      <c r="M183" s="77">
        <f>M182</f>
        <v>2.5</v>
      </c>
      <c r="N183" s="77">
        <f>N182</f>
        <v>0</v>
      </c>
      <c r="O183" s="77"/>
      <c r="P183" s="77">
        <v>90</v>
      </c>
      <c r="Q183" s="77">
        <f>Q182</f>
        <v>0</v>
      </c>
      <c r="R183" s="75" t="s">
        <v>52</v>
      </c>
      <c r="S183" s="70" t="str">
        <f t="shared" ref="S183:T183" si="75">S182</f>
        <v>Parent ID</v>
      </c>
      <c r="T183" s="78">
        <f t="shared" si="75"/>
        <v>72060</v>
      </c>
      <c r="V183" s="79"/>
    </row>
    <row r="184" spans="1:29" s="164" customFormat="1" x14ac:dyDescent="0.2">
      <c r="A184" s="224" t="s">
        <v>129</v>
      </c>
      <c r="B184" s="81">
        <v>72278</v>
      </c>
      <c r="C184" s="70" t="str">
        <f>CONCATENATE("PSD - ",C178)</f>
        <v>PSD - Aarey_1</v>
      </c>
      <c r="D184" s="165" t="s">
        <v>1042</v>
      </c>
      <c r="E184" s="70" t="str">
        <f t="shared" si="70"/>
        <v>MMRBEM_7_UP</v>
      </c>
      <c r="F184" s="70">
        <v>0</v>
      </c>
      <c r="G184" s="152">
        <f t="shared" si="71"/>
        <v>6119.174</v>
      </c>
      <c r="H184" s="159">
        <f t="shared" si="69"/>
        <v>6119.174</v>
      </c>
      <c r="I184" s="232">
        <f>IF("generated"=1, "Path=MMRBEM_7_UP, Scaled Offset=6119.1739999999999781721271574497223", 6537.84083639708)</f>
        <v>6537.8408363970802</v>
      </c>
      <c r="K184" s="76" t="str">
        <f t="shared" si="72"/>
        <v>BOTH</v>
      </c>
      <c r="M184" s="168">
        <f>M183-0.5</f>
        <v>2</v>
      </c>
      <c r="N184" s="168"/>
      <c r="O184" s="168"/>
      <c r="P184" s="168"/>
      <c r="Q184" s="168"/>
      <c r="R184" s="165"/>
      <c r="S184" s="165" t="s">
        <v>1043</v>
      </c>
      <c r="T184" s="165" t="str">
        <f>_xlfn.CONCAT("PSD_",T179)</f>
        <v>PSD_AAR_PAS1</v>
      </c>
      <c r="U184" s="165" t="s">
        <v>926</v>
      </c>
      <c r="V184" s="165">
        <f>B178</f>
        <v>72059</v>
      </c>
      <c r="W184" s="165"/>
      <c r="X184" s="165"/>
    </row>
    <row r="185" spans="1:29" s="164" customFormat="1" x14ac:dyDescent="0.2">
      <c r="A185" s="224" t="s">
        <v>129</v>
      </c>
      <c r="B185" s="81">
        <v>72209</v>
      </c>
      <c r="C185" s="164" t="s">
        <v>973</v>
      </c>
      <c r="D185" s="140" t="s">
        <v>928</v>
      </c>
      <c r="E185" s="70" t="s">
        <v>89</v>
      </c>
      <c r="G185" s="166">
        <f>G186+22.2</f>
        <v>293.3</v>
      </c>
      <c r="H185" s="159">
        <f t="shared" si="69"/>
        <v>293.3</v>
      </c>
      <c r="I185" s="232">
        <f>IF("generated"=1, "Path=Track_20_4_Track_3, Scaled Offset=293.30000000000001136868377216160297", 293.3)</f>
        <v>293.3</v>
      </c>
      <c r="K185" s="167"/>
      <c r="M185" s="168"/>
      <c r="N185" s="168"/>
      <c r="O185" s="168"/>
      <c r="P185" s="168"/>
      <c r="Q185" s="168"/>
      <c r="R185" s="165" t="s">
        <v>1041</v>
      </c>
      <c r="S185" s="140" t="s">
        <v>926</v>
      </c>
      <c r="T185" s="143">
        <f>B178</f>
        <v>72059</v>
      </c>
      <c r="U185" s="140" t="s">
        <v>61</v>
      </c>
      <c r="V185" s="143" t="str">
        <f>X178</f>
        <v>AAR</v>
      </c>
      <c r="W185" s="140" t="s">
        <v>927</v>
      </c>
      <c r="X185" s="164">
        <v>2</v>
      </c>
    </row>
    <row r="186" spans="1:29" s="164" customFormat="1" x14ac:dyDescent="0.2">
      <c r="A186" s="224" t="s">
        <v>129</v>
      </c>
      <c r="B186" s="81">
        <v>72210</v>
      </c>
      <c r="C186" s="164" t="s">
        <v>974</v>
      </c>
      <c r="D186" s="140" t="s">
        <v>928</v>
      </c>
      <c r="E186" s="70" t="str">
        <f t="shared" ref="E186:E188" si="76">E185</f>
        <v>Track_20_4_Track_3</v>
      </c>
      <c r="G186" s="166">
        <v>271.10000000000002</v>
      </c>
      <c r="H186" s="159">
        <f t="shared" si="69"/>
        <v>271.10000000000002</v>
      </c>
      <c r="I186" s="232">
        <f>IF("generated"=1, "Path=Track_20_4_Track_3, Scaled Offset=271.10000000000002273736754432320595", 271.1)</f>
        <v>271.10000000000002</v>
      </c>
      <c r="K186" s="167"/>
      <c r="M186" s="168"/>
      <c r="N186" s="168"/>
      <c r="O186" s="168"/>
      <c r="P186" s="168"/>
      <c r="Q186" s="168"/>
      <c r="R186" s="165" t="s">
        <v>1041</v>
      </c>
      <c r="S186" s="140" t="s">
        <v>926</v>
      </c>
      <c r="T186" s="143">
        <f>T185</f>
        <v>72059</v>
      </c>
      <c r="U186" s="140" t="s">
        <v>61</v>
      </c>
      <c r="V186" s="143" t="str">
        <f>V185</f>
        <v>AAR</v>
      </c>
      <c r="W186" s="140" t="s">
        <v>927</v>
      </c>
      <c r="X186" s="164">
        <v>2</v>
      </c>
    </row>
    <row r="187" spans="1:29" s="164" customFormat="1" x14ac:dyDescent="0.2">
      <c r="A187" s="224" t="s">
        <v>129</v>
      </c>
      <c r="B187" s="81">
        <v>72211</v>
      </c>
      <c r="C187" s="164" t="s">
        <v>975</v>
      </c>
      <c r="D187" s="140" t="s">
        <v>928</v>
      </c>
      <c r="E187" s="70" t="str">
        <f t="shared" si="76"/>
        <v>Track_20_4_Track_3</v>
      </c>
      <c r="G187" s="166">
        <v>134.08000000000001</v>
      </c>
      <c r="H187" s="159">
        <f t="shared" si="69"/>
        <v>134.08000000000001</v>
      </c>
      <c r="I187" s="232">
        <f>IF("generated"=1, "Path=Track_20_4_Track_3, Scaled Offset=134.08000000000001250555214937776327", 134.08)</f>
        <v>134.08000000000001</v>
      </c>
      <c r="K187" s="167"/>
      <c r="L187" s="164">
        <v>1</v>
      </c>
      <c r="M187" s="168"/>
      <c r="N187" s="168"/>
      <c r="O187" s="168"/>
      <c r="P187" s="168"/>
      <c r="Q187" s="168"/>
      <c r="R187" s="165" t="s">
        <v>1041</v>
      </c>
      <c r="S187" s="140" t="s">
        <v>926</v>
      </c>
      <c r="T187" s="143">
        <f>T186</f>
        <v>72059</v>
      </c>
      <c r="U187" s="140" t="s">
        <v>61</v>
      </c>
      <c r="V187" s="143" t="str">
        <f>V186</f>
        <v>AAR</v>
      </c>
      <c r="W187" s="140" t="s">
        <v>927</v>
      </c>
      <c r="X187" s="164">
        <v>1</v>
      </c>
    </row>
    <row r="188" spans="1:29" s="164" customFormat="1" x14ac:dyDescent="0.2">
      <c r="A188" s="224" t="s">
        <v>129</v>
      </c>
      <c r="B188" s="81">
        <v>72212</v>
      </c>
      <c r="C188" s="164" t="s">
        <v>976</v>
      </c>
      <c r="D188" s="140" t="s">
        <v>928</v>
      </c>
      <c r="E188" s="70" t="str">
        <f t="shared" si="76"/>
        <v>Track_20_4_Track_3</v>
      </c>
      <c r="G188" s="166">
        <f>G187-22.2</f>
        <v>111.88000000000001</v>
      </c>
      <c r="H188" s="159">
        <f t="shared" si="69"/>
        <v>111.88000000000001</v>
      </c>
      <c r="I188" s="232">
        <f>IF("generated"=1, "Path=Track_20_4_Track_3, Scaled Offset=111.88000000000000966338120633736253", 111.88)</f>
        <v>111.88</v>
      </c>
      <c r="K188" s="167"/>
      <c r="L188" s="164">
        <v>1</v>
      </c>
      <c r="M188" s="168"/>
      <c r="N188" s="168"/>
      <c r="O188" s="168"/>
      <c r="P188" s="168"/>
      <c r="Q188" s="168"/>
      <c r="R188" s="165" t="s">
        <v>1041</v>
      </c>
      <c r="S188" s="140" t="s">
        <v>926</v>
      </c>
      <c r="T188" s="143">
        <f>T187</f>
        <v>72059</v>
      </c>
      <c r="U188" s="140" t="s">
        <v>61</v>
      </c>
      <c r="V188" s="143" t="str">
        <f>V187</f>
        <v>AAR</v>
      </c>
      <c r="W188" s="140" t="s">
        <v>927</v>
      </c>
      <c r="X188" s="164">
        <v>1</v>
      </c>
    </row>
    <row r="189" spans="1:29" s="61" customFormat="1" x14ac:dyDescent="0.2">
      <c r="A189" s="224" t="s">
        <v>930</v>
      </c>
      <c r="B189" s="81">
        <v>72052</v>
      </c>
      <c r="C189" s="61" t="str">
        <f>LEFT(C178,LEN(C178)-2)</f>
        <v>Aarey</v>
      </c>
      <c r="E189" s="61" t="s">
        <v>89</v>
      </c>
      <c r="G189" s="153"/>
      <c r="H189" s="160">
        <v>109</v>
      </c>
      <c r="I189" s="232">
        <f>IF("generated"=1, "Path=Track_20_4_Track_3, Scaled Offset=109", 109)</f>
        <v>109</v>
      </c>
      <c r="J189" s="89"/>
      <c r="M189" s="88"/>
      <c r="N189" s="88"/>
      <c r="O189" s="88"/>
      <c r="P189" s="88"/>
      <c r="Q189" s="88"/>
      <c r="S189" s="61" t="s">
        <v>41</v>
      </c>
      <c r="T189" s="87">
        <v>40</v>
      </c>
      <c r="V189" s="87"/>
    </row>
    <row r="190" spans="1:29" s="61" customFormat="1" x14ac:dyDescent="0.2">
      <c r="A190" s="224" t="s">
        <v>930</v>
      </c>
      <c r="B190" s="81">
        <v>72052</v>
      </c>
      <c r="C190" s="61" t="str">
        <f>C189</f>
        <v>Aarey</v>
      </c>
      <c r="E190" s="61" t="s">
        <v>89</v>
      </c>
      <c r="G190" s="153"/>
      <c r="H190" s="160">
        <v>297</v>
      </c>
      <c r="I190" s="232">
        <f>IF("generated"=1, "Path=Track_20_4_Track_3, Scaled Offset=297", 297)</f>
        <v>297</v>
      </c>
      <c r="J190" s="89"/>
      <c r="M190" s="88"/>
      <c r="N190" s="88"/>
      <c r="O190" s="88"/>
      <c r="P190" s="88"/>
      <c r="Q190" s="88"/>
      <c r="S190" s="61" t="s">
        <v>41</v>
      </c>
      <c r="T190" s="87">
        <v>40</v>
      </c>
      <c r="V190" s="87"/>
    </row>
    <row r="192" spans="1:29" s="62" customFormat="1" x14ac:dyDescent="0.2">
      <c r="A192" s="224" t="s">
        <v>129</v>
      </c>
      <c r="B192" s="154">
        <v>72065</v>
      </c>
      <c r="C192" s="61" t="s">
        <v>323</v>
      </c>
      <c r="D192" s="62" t="s">
        <v>69</v>
      </c>
      <c r="G192" s="149"/>
      <c r="H192" s="158"/>
      <c r="I192" s="162"/>
      <c r="M192" s="63"/>
      <c r="N192" s="63"/>
      <c r="O192" s="63"/>
      <c r="P192" s="63"/>
      <c r="Q192" s="63"/>
      <c r="T192" s="64"/>
      <c r="V192" s="64"/>
    </row>
    <row r="193" spans="1:29" s="60" customFormat="1" x14ac:dyDescent="0.2">
      <c r="A193" s="224"/>
      <c r="B193" s="81"/>
      <c r="C193" s="60" t="s">
        <v>324</v>
      </c>
      <c r="D193" s="60" t="s">
        <v>51</v>
      </c>
      <c r="E193" t="s">
        <v>188</v>
      </c>
      <c r="G193" s="150">
        <v>7180.0510000000004</v>
      </c>
      <c r="H193" s="159">
        <f>G193+F193</f>
        <v>7180.0510000000004</v>
      </c>
      <c r="I193" s="90">
        <f>IF("generated"=1, "Path=Intermodal_Coronel_Platform_2_2, Scaled Offset=160.40000000000000568434188608080149", 160.4)</f>
        <v>160.4</v>
      </c>
      <c r="J193" s="65"/>
      <c r="K193" s="60" t="s">
        <v>64</v>
      </c>
      <c r="M193" s="66">
        <v>-2.5</v>
      </c>
      <c r="N193" s="66">
        <v>0</v>
      </c>
      <c r="O193" s="66"/>
      <c r="P193" s="66"/>
      <c r="Q193" s="66"/>
      <c r="R193" s="60" t="str">
        <f>$E$3</f>
        <v>Red</v>
      </c>
      <c r="S193" s="60" t="s">
        <v>68</v>
      </c>
      <c r="T193" s="67" t="str">
        <f>C193</f>
        <v>Dindoshi_S1</v>
      </c>
      <c r="U193" s="60" t="s">
        <v>50</v>
      </c>
      <c r="V193" s="67">
        <v>0</v>
      </c>
      <c r="W193" s="60" t="s">
        <v>67</v>
      </c>
      <c r="X193" s="60">
        <v>1</v>
      </c>
      <c r="Y193" s="60" t="s">
        <v>66</v>
      </c>
      <c r="Z193" s="60">
        <v>1</v>
      </c>
      <c r="AA193" s="61" t="s">
        <v>323</v>
      </c>
      <c r="AB193" s="74" t="s">
        <v>328</v>
      </c>
      <c r="AC193" s="60">
        <v>2</v>
      </c>
    </row>
    <row r="194" spans="1:29" s="60" customFormat="1" x14ac:dyDescent="0.2">
      <c r="A194" s="224"/>
      <c r="B194" s="81"/>
      <c r="C194" s="60" t="str">
        <f>AA194&amp;"_"&amp;AC194</f>
        <v>Dindoshi_2</v>
      </c>
      <c r="D194" s="60" t="s">
        <v>51</v>
      </c>
      <c r="E194" t="s">
        <v>188</v>
      </c>
      <c r="G194" s="151">
        <f>AVERAGE(H193,H195)</f>
        <v>7272.5510000000004</v>
      </c>
      <c r="H194" s="159">
        <f>F194+G194</f>
        <v>7272.5510000000004</v>
      </c>
      <c r="I194" s="90">
        <f>IF("generated"=1, "Path=East_Central_Line1_5, Scaled Offset=69.5", 69.5)</f>
        <v>69.5</v>
      </c>
      <c r="J194" s="65"/>
      <c r="K194" s="60" t="s">
        <v>64</v>
      </c>
      <c r="M194" s="66">
        <f>M193</f>
        <v>-2.5</v>
      </c>
      <c r="N194" s="66">
        <v>0</v>
      </c>
      <c r="O194" s="66"/>
      <c r="P194" s="66"/>
      <c r="Q194" s="66"/>
      <c r="R194" s="60" t="str">
        <f>$E$4</f>
        <v>Green</v>
      </c>
      <c r="S194" s="60" t="s">
        <v>68</v>
      </c>
      <c r="T194" s="67" t="str">
        <f>C194</f>
        <v>Dindoshi_2</v>
      </c>
      <c r="U194" s="60" t="s">
        <v>50</v>
      </c>
      <c r="V194" s="67">
        <v>0</v>
      </c>
      <c r="W194" s="60" t="s">
        <v>67</v>
      </c>
      <c r="X194" s="60">
        <v>1</v>
      </c>
      <c r="Y194" s="60" t="s">
        <v>66</v>
      </c>
      <c r="Z194" s="60">
        <v>1</v>
      </c>
      <c r="AA194" s="60" t="str">
        <f>AA193</f>
        <v>Dindoshi</v>
      </c>
      <c r="AB194" s="60" t="str">
        <f>AB193</f>
        <v>DIN</v>
      </c>
      <c r="AC194" s="60">
        <f>AC193</f>
        <v>2</v>
      </c>
    </row>
    <row r="195" spans="1:29" s="60" customFormat="1" x14ac:dyDescent="0.2">
      <c r="A195" s="224"/>
      <c r="B195" s="81"/>
      <c r="C195" s="60" t="s">
        <v>325</v>
      </c>
      <c r="D195" s="60" t="s">
        <v>51</v>
      </c>
      <c r="E195" t="s">
        <v>188</v>
      </c>
      <c r="G195" s="150">
        <v>7365.0510000000004</v>
      </c>
      <c r="H195" s="159">
        <f>G195+F195</f>
        <v>7365.0510000000004</v>
      </c>
      <c r="I195" s="90">
        <f>IF("generated"=1, "Path=Intermodal_Coronel_Platform_2_2, Scaled Offset=231", 231)</f>
        <v>231</v>
      </c>
      <c r="J195" s="65"/>
      <c r="K195" s="60" t="s">
        <v>64</v>
      </c>
      <c r="M195" s="66">
        <v>-2.5</v>
      </c>
      <c r="N195" s="66">
        <v>0</v>
      </c>
      <c r="O195" s="66"/>
      <c r="P195" s="66"/>
      <c r="Q195" s="66"/>
      <c r="R195" s="60" t="str">
        <f>$E$3</f>
        <v>Red</v>
      </c>
      <c r="S195" s="60" t="s">
        <v>68</v>
      </c>
      <c r="T195" s="67" t="str">
        <f>C195</f>
        <v>Dindoshi_E1</v>
      </c>
      <c r="U195" s="60" t="s">
        <v>50</v>
      </c>
      <c r="V195" s="67">
        <v>0</v>
      </c>
      <c r="W195" s="60" t="s">
        <v>67</v>
      </c>
      <c r="X195" s="60">
        <v>1</v>
      </c>
      <c r="Y195" s="60" t="s">
        <v>66</v>
      </c>
      <c r="Z195" s="60">
        <v>1</v>
      </c>
      <c r="AA195" s="61" t="s">
        <v>323</v>
      </c>
      <c r="AB195" s="74" t="s">
        <v>328</v>
      </c>
      <c r="AC195" s="60">
        <v>2</v>
      </c>
    </row>
    <row r="196" spans="1:29" s="70" customFormat="1" x14ac:dyDescent="0.2">
      <c r="A196" s="224" t="s">
        <v>129</v>
      </c>
      <c r="B196" s="154">
        <v>72066</v>
      </c>
      <c r="C196" s="68" t="str">
        <f>C194</f>
        <v>Dindoshi_2</v>
      </c>
      <c r="D196" s="69" t="s">
        <v>65</v>
      </c>
      <c r="E196" s="70" t="str">
        <f>E194</f>
        <v>MMRBEM_7_DOWN</v>
      </c>
      <c r="F196" s="70">
        <f>F194</f>
        <v>0</v>
      </c>
      <c r="G196" s="152">
        <f>H194</f>
        <v>7272.5510000000004</v>
      </c>
      <c r="H196" s="159">
        <f t="shared" ref="H196:H206" si="77">F196+G196</f>
        <v>7272.5510000000004</v>
      </c>
      <c r="I196" s="232">
        <f>IF("generated"=1, "Path=MMRBEM_7_DOWN, Scaled Offset=7272.5510000000003856257535517215729", 7688.21098509471)</f>
        <v>7688.2109850947099</v>
      </c>
      <c r="K196" s="69" t="s">
        <v>64</v>
      </c>
      <c r="M196" s="71">
        <f>2*M194</f>
        <v>-5</v>
      </c>
      <c r="N196" s="71">
        <v>0</v>
      </c>
      <c r="O196" s="71"/>
      <c r="P196" s="71">
        <v>0</v>
      </c>
      <c r="Q196" s="71">
        <v>0</v>
      </c>
      <c r="S196" s="69" t="s">
        <v>63</v>
      </c>
      <c r="T196" s="72">
        <f>ABS(H195-H193)</f>
        <v>185</v>
      </c>
      <c r="U196" s="69" t="s">
        <v>62</v>
      </c>
      <c r="V196" s="73" t="str">
        <f>C196</f>
        <v>Dindoshi_2</v>
      </c>
      <c r="W196" s="68" t="s">
        <v>61</v>
      </c>
      <c r="X196" s="74" t="s">
        <v>328</v>
      </c>
      <c r="Y196" s="74" t="s">
        <v>60</v>
      </c>
      <c r="Z196" s="70" t="str">
        <f>LEFT(V196, LEN(V196)-2)</f>
        <v>Dindoshi</v>
      </c>
    </row>
    <row r="197" spans="1:29" s="70" customFormat="1" x14ac:dyDescent="0.2">
      <c r="A197" s="224" t="s">
        <v>129</v>
      </c>
      <c r="B197" s="154">
        <v>72067</v>
      </c>
      <c r="C197" s="70" t="str">
        <f>CONCATENATE("Platform Passenger - ",C196)</f>
        <v>Platform Passenger - Dindoshi_2</v>
      </c>
      <c r="D197" s="75" t="s">
        <v>59</v>
      </c>
      <c r="E197" s="70" t="str">
        <f t="shared" ref="E197:E202" si="78">E196</f>
        <v>MMRBEM_7_DOWN</v>
      </c>
      <c r="F197" s="70">
        <v>0</v>
      </c>
      <c r="G197" s="152">
        <f t="shared" ref="G197:G202" si="79">G196</f>
        <v>7272.5510000000004</v>
      </c>
      <c r="H197" s="159">
        <f t="shared" si="77"/>
        <v>7272.5510000000004</v>
      </c>
      <c r="I197" s="232">
        <f>IF("generated"=1, "Path=MMRBEM_7_DOWN, Scaled Offset=7272.5510000000003856257535517215729", 7688.21098509471)</f>
        <v>7688.2109850947099</v>
      </c>
      <c r="K197" s="76" t="str">
        <f t="shared" ref="K197:K202" si="80">K196</f>
        <v>BOTH</v>
      </c>
      <c r="M197" s="77">
        <f>M196/2</f>
        <v>-2.5</v>
      </c>
      <c r="N197" s="77">
        <f>N196</f>
        <v>0</v>
      </c>
      <c r="O197" s="77"/>
      <c r="P197" s="77">
        <v>270</v>
      </c>
      <c r="Q197" s="77">
        <f>Q196</f>
        <v>0</v>
      </c>
      <c r="R197" s="75" t="s">
        <v>1091</v>
      </c>
      <c r="S197" s="70" t="s">
        <v>58</v>
      </c>
      <c r="T197" s="78" t="str">
        <f>CONCATENATE(X196,"_PAS"&amp;AC195)</f>
        <v>DIN_PAS2</v>
      </c>
      <c r="V197" s="79"/>
    </row>
    <row r="198" spans="1:29" s="70" customFormat="1" x14ac:dyDescent="0.2">
      <c r="A198" s="224" t="s">
        <v>129</v>
      </c>
      <c r="B198" s="154">
        <v>72068</v>
      </c>
      <c r="C198" s="70" t="str">
        <f>CONCATENATE("Passenger Alighting - ",C196)</f>
        <v>Passenger Alighting - Dindoshi_2</v>
      </c>
      <c r="D198" s="75" t="s">
        <v>57</v>
      </c>
      <c r="E198" s="70" t="str">
        <f t="shared" si="78"/>
        <v>MMRBEM_7_DOWN</v>
      </c>
      <c r="F198" s="70">
        <v>0</v>
      </c>
      <c r="G198" s="152">
        <f t="shared" si="79"/>
        <v>7272.5510000000004</v>
      </c>
      <c r="H198" s="159">
        <f t="shared" si="77"/>
        <v>7272.5510000000004</v>
      </c>
      <c r="I198" s="232">
        <f>IF("generated"=1, "Path=MMRBEM_7_DOWN, Scaled Offset=7272.5510000000003856257535517215729", 7688.21098509471)</f>
        <v>7688.2109850947099</v>
      </c>
      <c r="K198" s="76" t="str">
        <f t="shared" si="80"/>
        <v>BOTH</v>
      </c>
      <c r="M198" s="77">
        <f>M197</f>
        <v>-2.5</v>
      </c>
      <c r="N198" s="77">
        <f>N197</f>
        <v>0</v>
      </c>
      <c r="O198" s="77"/>
      <c r="P198" s="77">
        <v>270</v>
      </c>
      <c r="Q198" s="77">
        <f>Q197</f>
        <v>0</v>
      </c>
      <c r="R198" s="75" t="s">
        <v>1091</v>
      </c>
      <c r="S198" s="70" t="s">
        <v>56</v>
      </c>
      <c r="T198" s="78">
        <f>B197</f>
        <v>72067</v>
      </c>
      <c r="V198" s="79"/>
    </row>
    <row r="199" spans="1:29" s="70" customFormat="1" x14ac:dyDescent="0.2">
      <c r="A199" s="224" t="s">
        <v>129</v>
      </c>
      <c r="B199" s="154">
        <v>72069</v>
      </c>
      <c r="C199" s="70" t="str">
        <f>CONCATENATE("Passenger Arriving - ",C194)</f>
        <v>Passenger Arriving - Dindoshi_2</v>
      </c>
      <c r="D199" s="75" t="s">
        <v>55</v>
      </c>
      <c r="E199" s="70" t="str">
        <f t="shared" si="78"/>
        <v>MMRBEM_7_DOWN</v>
      </c>
      <c r="F199" s="70">
        <v>0</v>
      </c>
      <c r="G199" s="152">
        <f t="shared" si="79"/>
        <v>7272.5510000000004</v>
      </c>
      <c r="H199" s="159">
        <f t="shared" si="77"/>
        <v>7272.5510000000004</v>
      </c>
      <c r="I199" s="232">
        <f>IF("generated"=1, "Path=MMRBEM_7_DOWN, Scaled Offset=7272.5510000000003856257535517215729", 7688.21098509471)</f>
        <v>7688.2109850947099</v>
      </c>
      <c r="K199" s="76" t="str">
        <f t="shared" si="80"/>
        <v>BOTH</v>
      </c>
      <c r="M199" s="77">
        <f>M198</f>
        <v>-2.5</v>
      </c>
      <c r="N199" s="77">
        <f>N198</f>
        <v>0</v>
      </c>
      <c r="O199" s="77"/>
      <c r="P199" s="77">
        <v>270</v>
      </c>
      <c r="Q199" s="77">
        <f>Q198</f>
        <v>0</v>
      </c>
      <c r="R199" s="75" t="s">
        <v>52</v>
      </c>
      <c r="S199" s="70" t="str">
        <f t="shared" ref="S199:T199" si="81">S198</f>
        <v>Parent ID</v>
      </c>
      <c r="T199" s="78">
        <f t="shared" si="81"/>
        <v>72067</v>
      </c>
      <c r="V199" s="79"/>
    </row>
    <row r="200" spans="1:29" s="70" customFormat="1" x14ac:dyDescent="0.2">
      <c r="A200" s="224" t="s">
        <v>129</v>
      </c>
      <c r="B200" s="154">
        <v>72070</v>
      </c>
      <c r="C200" s="70" t="str">
        <f>CONCATENATE("Passenger Intoxicated - ",C196)</f>
        <v>Passenger Intoxicated - Dindoshi_2</v>
      </c>
      <c r="D200" s="75" t="s">
        <v>54</v>
      </c>
      <c r="E200" s="70" t="str">
        <f t="shared" si="78"/>
        <v>MMRBEM_7_DOWN</v>
      </c>
      <c r="F200" s="70">
        <v>0</v>
      </c>
      <c r="G200" s="152">
        <f t="shared" si="79"/>
        <v>7272.5510000000004</v>
      </c>
      <c r="H200" s="159">
        <f t="shared" si="77"/>
        <v>7272.5510000000004</v>
      </c>
      <c r="I200" s="232">
        <f>IF("generated"=1, "Path=MMRBEM_7_DOWN, Scaled Offset=7272.5510000000003856257535517215729", 7688.21098509471)</f>
        <v>7688.2109850947099</v>
      </c>
      <c r="K200" s="76" t="str">
        <f t="shared" si="80"/>
        <v>BOTH</v>
      </c>
      <c r="M200" s="77">
        <f>M199</f>
        <v>-2.5</v>
      </c>
      <c r="N200" s="77">
        <f>N199</f>
        <v>0</v>
      </c>
      <c r="O200" s="77"/>
      <c r="P200" s="77">
        <v>270</v>
      </c>
      <c r="Q200" s="77">
        <f>Q199</f>
        <v>0</v>
      </c>
      <c r="R200" s="75" t="s">
        <v>52</v>
      </c>
      <c r="S200" s="70" t="str">
        <f t="shared" ref="S200:T200" si="82">S199</f>
        <v>Parent ID</v>
      </c>
      <c r="T200" s="78">
        <f t="shared" si="82"/>
        <v>72067</v>
      </c>
      <c r="V200" s="79"/>
    </row>
    <row r="201" spans="1:29" s="70" customFormat="1" x14ac:dyDescent="0.2">
      <c r="A201" s="224" t="s">
        <v>129</v>
      </c>
      <c r="B201" s="154">
        <v>72071</v>
      </c>
      <c r="C201" s="70" t="str">
        <f>CONCATENATE("Passenger Pram - ",C196)</f>
        <v>Passenger Pram - Dindoshi_2</v>
      </c>
      <c r="D201" s="75" t="s">
        <v>53</v>
      </c>
      <c r="E201" s="70" t="str">
        <f t="shared" si="78"/>
        <v>MMRBEM_7_DOWN</v>
      </c>
      <c r="F201" s="70">
        <v>0</v>
      </c>
      <c r="G201" s="152">
        <f t="shared" si="79"/>
        <v>7272.5510000000004</v>
      </c>
      <c r="H201" s="159">
        <f t="shared" si="77"/>
        <v>7272.5510000000004</v>
      </c>
      <c r="I201" s="232">
        <f>IF("generated"=1, "Path=MMRBEM_7_DOWN, Scaled Offset=7272.5510000000003856257535517215729", 7688.21098509471)</f>
        <v>7688.2109850947099</v>
      </c>
      <c r="K201" s="76" t="str">
        <f t="shared" si="80"/>
        <v>BOTH</v>
      </c>
      <c r="M201" s="77">
        <f>M200</f>
        <v>-2.5</v>
      </c>
      <c r="N201" s="77">
        <f>N200</f>
        <v>0</v>
      </c>
      <c r="O201" s="77"/>
      <c r="P201" s="77">
        <v>270</v>
      </c>
      <c r="Q201" s="77">
        <f>Q200</f>
        <v>0</v>
      </c>
      <c r="R201" s="75" t="s">
        <v>52</v>
      </c>
      <c r="S201" s="70" t="str">
        <f t="shared" ref="S201:T201" si="83">S200</f>
        <v>Parent ID</v>
      </c>
      <c r="T201" s="78">
        <f t="shared" si="83"/>
        <v>72067</v>
      </c>
      <c r="V201" s="79"/>
    </row>
    <row r="202" spans="1:29" s="164" customFormat="1" x14ac:dyDescent="0.2">
      <c r="A202" s="224" t="s">
        <v>129</v>
      </c>
      <c r="B202" s="81">
        <v>72279</v>
      </c>
      <c r="C202" s="70" t="str">
        <f>CONCATENATE("PSD - ",C196)</f>
        <v>PSD - Dindoshi_2</v>
      </c>
      <c r="D202" s="165" t="s">
        <v>1042</v>
      </c>
      <c r="E202" s="70" t="str">
        <f t="shared" si="78"/>
        <v>MMRBEM_7_DOWN</v>
      </c>
      <c r="F202" s="70">
        <v>0</v>
      </c>
      <c r="G202" s="152">
        <f t="shared" si="79"/>
        <v>7272.5510000000004</v>
      </c>
      <c r="H202" s="159">
        <f t="shared" si="77"/>
        <v>7272.5510000000004</v>
      </c>
      <c r="I202" s="232">
        <f>IF("generated"=1, "Path=MMRBEM_7_DOWN, Scaled Offset=7272.5510000000003856257535517215729", 7688.21098509471)</f>
        <v>7688.2109850947099</v>
      </c>
      <c r="K202" s="76" t="str">
        <f t="shared" si="80"/>
        <v>BOTH</v>
      </c>
      <c r="M202" s="168">
        <f>M201+0.5</f>
        <v>-2</v>
      </c>
      <c r="N202" s="168"/>
      <c r="O202" s="168"/>
      <c r="P202" s="168"/>
      <c r="Q202" s="168"/>
      <c r="R202" s="165"/>
      <c r="S202" s="165" t="s">
        <v>1043</v>
      </c>
      <c r="T202" s="165" t="str">
        <f>_xlfn.CONCAT("PSD_",T197)</f>
        <v>PSD_DIN_PAS2</v>
      </c>
      <c r="U202" s="165" t="s">
        <v>926</v>
      </c>
      <c r="V202" s="165">
        <f>B196</f>
        <v>72066</v>
      </c>
      <c r="W202" s="165"/>
      <c r="X202" s="165"/>
    </row>
    <row r="203" spans="1:29" s="164" customFormat="1" x14ac:dyDescent="0.2">
      <c r="A203" s="224" t="s">
        <v>129</v>
      </c>
      <c r="B203" s="81">
        <v>72213</v>
      </c>
      <c r="C203" s="164" t="s">
        <v>979</v>
      </c>
      <c r="D203" s="140" t="s">
        <v>928</v>
      </c>
      <c r="E203" s="70" t="s">
        <v>125</v>
      </c>
      <c r="G203" s="166">
        <f>G204-22.2</f>
        <v>944.91</v>
      </c>
      <c r="H203" s="159">
        <f t="shared" si="77"/>
        <v>944.91</v>
      </c>
      <c r="I203" s="232">
        <f>IF("generated"=1, "Path=Track_10_5, Scaled Offset=944.90999999999996816768543794751167", 944.909999999999)</f>
        <v>944.90999999999894</v>
      </c>
      <c r="K203" s="167"/>
      <c r="L203" s="164">
        <v>1</v>
      </c>
      <c r="M203" s="168"/>
      <c r="N203" s="168"/>
      <c r="O203" s="168"/>
      <c r="P203" s="168"/>
      <c r="Q203" s="168"/>
      <c r="R203" s="165" t="s">
        <v>1041</v>
      </c>
      <c r="S203" s="140" t="s">
        <v>926</v>
      </c>
      <c r="T203" s="143">
        <f>B196</f>
        <v>72066</v>
      </c>
      <c r="U203" s="140" t="s">
        <v>61</v>
      </c>
      <c r="V203" s="143" t="str">
        <f>X196</f>
        <v>DIN</v>
      </c>
      <c r="W203" s="140" t="s">
        <v>927</v>
      </c>
      <c r="X203" s="164">
        <v>2</v>
      </c>
    </row>
    <row r="204" spans="1:29" s="164" customFormat="1" x14ac:dyDescent="0.2">
      <c r="A204" s="224" t="s">
        <v>129</v>
      </c>
      <c r="B204" s="81">
        <v>72214</v>
      </c>
      <c r="C204" s="164" t="s">
        <v>980</v>
      </c>
      <c r="D204" s="140" t="s">
        <v>928</v>
      </c>
      <c r="E204" s="70" t="s">
        <v>125</v>
      </c>
      <c r="G204" s="166">
        <v>967.11</v>
      </c>
      <c r="H204" s="159">
        <f t="shared" si="77"/>
        <v>967.11</v>
      </c>
      <c r="I204" s="232">
        <f>IF("generated"=1, "Path=Track_10_5, Scaled Offset=967.11000000000001364242052659392357", 967.11)</f>
        <v>967.11</v>
      </c>
      <c r="K204" s="167"/>
      <c r="L204" s="164">
        <v>1</v>
      </c>
      <c r="M204" s="168"/>
      <c r="N204" s="168"/>
      <c r="O204" s="168"/>
      <c r="P204" s="168"/>
      <c r="Q204" s="168"/>
      <c r="R204" s="165" t="s">
        <v>1041</v>
      </c>
      <c r="S204" s="140" t="s">
        <v>926</v>
      </c>
      <c r="T204" s="143">
        <f>T203</f>
        <v>72066</v>
      </c>
      <c r="U204" s="140" t="s">
        <v>61</v>
      </c>
      <c r="V204" s="143" t="str">
        <f>V203</f>
        <v>DIN</v>
      </c>
      <c r="W204" s="140" t="s">
        <v>927</v>
      </c>
      <c r="X204" s="164">
        <v>2</v>
      </c>
    </row>
    <row r="205" spans="1:29" s="164" customFormat="1" x14ac:dyDescent="0.2">
      <c r="A205" s="224" t="s">
        <v>129</v>
      </c>
      <c r="B205" s="81">
        <v>72215</v>
      </c>
      <c r="C205" s="164" t="s">
        <v>981</v>
      </c>
      <c r="D205" s="140" t="s">
        <v>928</v>
      </c>
      <c r="E205" s="70" t="s">
        <v>125</v>
      </c>
      <c r="G205" s="166">
        <v>1103.2</v>
      </c>
      <c r="H205" s="159">
        <f t="shared" si="77"/>
        <v>1103.2</v>
      </c>
      <c r="I205" s="232">
        <f>IF("generated"=1, "Path=Track_10_5, Scaled Offset=1103.2000000000000454747350886464119", 1103.2)</f>
        <v>1103.2</v>
      </c>
      <c r="K205" s="167"/>
      <c r="M205" s="168"/>
      <c r="N205" s="168"/>
      <c r="O205" s="168"/>
      <c r="P205" s="168"/>
      <c r="Q205" s="168"/>
      <c r="R205" s="165" t="s">
        <v>1041</v>
      </c>
      <c r="S205" s="140" t="s">
        <v>926</v>
      </c>
      <c r="T205" s="143">
        <f>T204</f>
        <v>72066</v>
      </c>
      <c r="U205" s="140" t="s">
        <v>61</v>
      </c>
      <c r="V205" s="143" t="str">
        <f>V204</f>
        <v>DIN</v>
      </c>
      <c r="W205" s="140" t="s">
        <v>927</v>
      </c>
      <c r="X205" s="164">
        <v>1</v>
      </c>
    </row>
    <row r="206" spans="1:29" s="164" customFormat="1" x14ac:dyDescent="0.2">
      <c r="A206" s="224" t="s">
        <v>129</v>
      </c>
      <c r="B206" s="81">
        <v>72216</v>
      </c>
      <c r="C206" s="164" t="s">
        <v>982</v>
      </c>
      <c r="D206" s="140" t="s">
        <v>928</v>
      </c>
      <c r="E206" s="70" t="s">
        <v>125</v>
      </c>
      <c r="G206" s="166">
        <f>G205+22.2</f>
        <v>1125.4000000000001</v>
      </c>
      <c r="H206" s="159">
        <f t="shared" si="77"/>
        <v>1125.4000000000001</v>
      </c>
      <c r="I206" s="232">
        <f>IF("generated"=1, "Path=Track_10_5, Scaled Offset=1125.4000000000000909494701772928238", 1125.4)</f>
        <v>1125.4000000000001</v>
      </c>
      <c r="K206" s="167"/>
      <c r="M206" s="168"/>
      <c r="N206" s="168"/>
      <c r="O206" s="168"/>
      <c r="P206" s="168"/>
      <c r="Q206" s="168"/>
      <c r="R206" s="165" t="s">
        <v>1041</v>
      </c>
      <c r="S206" s="140" t="s">
        <v>926</v>
      </c>
      <c r="T206" s="143">
        <f>T205</f>
        <v>72066</v>
      </c>
      <c r="U206" s="140" t="s">
        <v>61</v>
      </c>
      <c r="V206" s="143" t="str">
        <f>V205</f>
        <v>DIN</v>
      </c>
      <c r="W206" s="140" t="s">
        <v>927</v>
      </c>
      <c r="X206" s="164">
        <v>1</v>
      </c>
    </row>
    <row r="207" spans="1:29" s="61" customFormat="1" x14ac:dyDescent="0.2">
      <c r="A207" s="224" t="s">
        <v>930</v>
      </c>
      <c r="B207" s="81">
        <v>72065</v>
      </c>
      <c r="C207" s="61" t="str">
        <f>LEFT(C196,LEN(C196)-2)</f>
        <v>Dindoshi</v>
      </c>
      <c r="E207" s="61" t="s">
        <v>125</v>
      </c>
      <c r="G207" s="153"/>
      <c r="H207" s="160">
        <v>1130</v>
      </c>
      <c r="I207" s="232">
        <f>IF("generated"=1, "Path=Track_10_5, Scaled Offset=1130", 1130)</f>
        <v>1130</v>
      </c>
      <c r="J207" s="89"/>
      <c r="M207" s="88"/>
      <c r="N207" s="88"/>
      <c r="O207" s="88"/>
      <c r="P207" s="88"/>
      <c r="Q207" s="88"/>
      <c r="S207" s="61" t="s">
        <v>41</v>
      </c>
      <c r="T207" s="87">
        <v>40</v>
      </c>
      <c r="V207" s="87"/>
    </row>
    <row r="208" spans="1:29" s="61" customFormat="1" x14ac:dyDescent="0.2">
      <c r="A208" s="224" t="s">
        <v>930</v>
      </c>
      <c r="B208" s="81">
        <v>72065</v>
      </c>
      <c r="C208" s="61" t="str">
        <f>C207</f>
        <v>Dindoshi</v>
      </c>
      <c r="E208" s="61" t="s">
        <v>125</v>
      </c>
      <c r="G208" s="153"/>
      <c r="H208" s="160">
        <v>941</v>
      </c>
      <c r="I208" s="232">
        <f>IF("generated"=1, "Path=Track_10_5, Scaled Offset=941", 941)</f>
        <v>941</v>
      </c>
      <c r="J208" s="89"/>
      <c r="M208" s="88"/>
      <c r="N208" s="88"/>
      <c r="O208" s="88"/>
      <c r="P208" s="88"/>
      <c r="Q208" s="88"/>
      <c r="S208" s="61" t="s">
        <v>41</v>
      </c>
      <c r="T208" s="87">
        <v>40</v>
      </c>
      <c r="V208" s="87"/>
    </row>
    <row r="210" spans="1:29" s="62" customFormat="1" x14ac:dyDescent="0.2">
      <c r="A210" s="224" t="s">
        <v>129</v>
      </c>
      <c r="B210" s="154">
        <v>72065</v>
      </c>
      <c r="C210" s="61" t="s">
        <v>323</v>
      </c>
      <c r="D210" s="62" t="s">
        <v>69</v>
      </c>
      <c r="E210" s="94"/>
      <c r="G210" s="149"/>
      <c r="H210" s="158"/>
      <c r="I210" s="162"/>
      <c r="M210" s="63"/>
      <c r="N210" s="63"/>
      <c r="O210" s="63"/>
      <c r="P210" s="63"/>
      <c r="Q210" s="63"/>
      <c r="T210" s="64"/>
      <c r="V210" s="64"/>
    </row>
    <row r="211" spans="1:29" s="60" customFormat="1" x14ac:dyDescent="0.2">
      <c r="A211" s="224"/>
      <c r="B211" s="81"/>
      <c r="C211" s="60" t="s">
        <v>326</v>
      </c>
      <c r="D211" s="60" t="s">
        <v>51</v>
      </c>
      <c r="E211" s="94" t="s">
        <v>187</v>
      </c>
      <c r="G211" s="150">
        <v>7181.1310000000003</v>
      </c>
      <c r="H211" s="159">
        <f>G211+F211</f>
        <v>7181.1310000000003</v>
      </c>
      <c r="I211" s="90"/>
      <c r="J211" s="65"/>
      <c r="K211" s="60" t="s">
        <v>64</v>
      </c>
      <c r="M211" s="66">
        <v>2.5</v>
      </c>
      <c r="N211" s="66">
        <v>0</v>
      </c>
      <c r="O211" s="66"/>
      <c r="P211" s="66"/>
      <c r="Q211" s="66"/>
      <c r="R211" s="60" t="str">
        <f>$E$3</f>
        <v>Red</v>
      </c>
      <c r="S211" s="60" t="s">
        <v>68</v>
      </c>
      <c r="T211" s="67" t="str">
        <f>C211</f>
        <v>Dindoshi_S2</v>
      </c>
      <c r="U211" s="60" t="s">
        <v>50</v>
      </c>
      <c r="V211" s="67">
        <v>0</v>
      </c>
      <c r="W211" s="60" t="s">
        <v>67</v>
      </c>
      <c r="X211" s="60">
        <v>1</v>
      </c>
      <c r="Y211" s="60" t="s">
        <v>66</v>
      </c>
      <c r="Z211" s="60">
        <v>1</v>
      </c>
      <c r="AA211" s="60" t="s">
        <v>323</v>
      </c>
      <c r="AB211" s="74" t="s">
        <v>328</v>
      </c>
      <c r="AC211" s="60">
        <v>1</v>
      </c>
    </row>
    <row r="212" spans="1:29" s="60" customFormat="1" x14ac:dyDescent="0.2">
      <c r="A212" s="224"/>
      <c r="B212" s="81"/>
      <c r="C212" s="60" t="str">
        <f>AA212&amp;"_"&amp;AC212</f>
        <v>Dindoshi_1</v>
      </c>
      <c r="D212" s="60" t="s">
        <v>51</v>
      </c>
      <c r="E212" s="60" t="str">
        <f>E211</f>
        <v>MMRBEM_7_UP</v>
      </c>
      <c r="G212" s="151">
        <f>AVERAGE(H211,H213)</f>
        <v>7273.6310000000003</v>
      </c>
      <c r="H212" s="159">
        <f>F212+G212</f>
        <v>7273.6310000000003</v>
      </c>
      <c r="I212" s="90"/>
      <c r="J212" s="65"/>
      <c r="K212" s="60" t="s">
        <v>64</v>
      </c>
      <c r="M212" s="66">
        <v>2.5</v>
      </c>
      <c r="N212" s="66">
        <v>0</v>
      </c>
      <c r="O212" s="66"/>
      <c r="P212" s="66"/>
      <c r="Q212" s="66"/>
      <c r="R212" s="60" t="str">
        <f>$E$4</f>
        <v>Green</v>
      </c>
      <c r="S212" s="60" t="s">
        <v>68</v>
      </c>
      <c r="T212" s="67" t="str">
        <f>C212</f>
        <v>Dindoshi_1</v>
      </c>
      <c r="U212" s="60" t="s">
        <v>50</v>
      </c>
      <c r="V212" s="67">
        <v>0</v>
      </c>
      <c r="W212" s="60" t="s">
        <v>67</v>
      </c>
      <c r="X212" s="60">
        <v>1</v>
      </c>
      <c r="Y212" s="60" t="s">
        <v>66</v>
      </c>
      <c r="Z212" s="60">
        <v>1</v>
      </c>
      <c r="AA212" s="60" t="str">
        <f>AA211</f>
        <v>Dindoshi</v>
      </c>
      <c r="AB212" s="60" t="str">
        <f>AB211</f>
        <v>DIN</v>
      </c>
      <c r="AC212" s="60">
        <f>AC211</f>
        <v>1</v>
      </c>
    </row>
    <row r="213" spans="1:29" s="60" customFormat="1" x14ac:dyDescent="0.2">
      <c r="A213" s="224"/>
      <c r="B213" s="81"/>
      <c r="C213" s="60" t="s">
        <v>327</v>
      </c>
      <c r="D213" s="60" t="s">
        <v>51</v>
      </c>
      <c r="E213" s="94" t="s">
        <v>187</v>
      </c>
      <c r="G213" s="150">
        <v>7366.1310000000003</v>
      </c>
      <c r="H213" s="159">
        <f>G213+F213</f>
        <v>7366.1310000000003</v>
      </c>
      <c r="I213" s="90"/>
      <c r="J213" s="65"/>
      <c r="K213" s="60" t="s">
        <v>64</v>
      </c>
      <c r="M213" s="66">
        <v>2.5</v>
      </c>
      <c r="N213" s="66">
        <v>0</v>
      </c>
      <c r="O213" s="66"/>
      <c r="P213" s="66"/>
      <c r="Q213" s="66"/>
      <c r="R213" s="60" t="str">
        <f>$E$3</f>
        <v>Red</v>
      </c>
      <c r="S213" s="60" t="s">
        <v>68</v>
      </c>
      <c r="T213" s="67" t="str">
        <f>C213</f>
        <v>Dindoshi_E2</v>
      </c>
      <c r="U213" s="60" t="s">
        <v>50</v>
      </c>
      <c r="V213" s="67">
        <v>0</v>
      </c>
      <c r="W213" s="60" t="s">
        <v>67</v>
      </c>
      <c r="X213" s="60">
        <v>1</v>
      </c>
      <c r="Y213" s="60" t="s">
        <v>66</v>
      </c>
      <c r="Z213" s="60">
        <v>1</v>
      </c>
      <c r="AA213" s="60" t="s">
        <v>323</v>
      </c>
      <c r="AB213" s="74" t="s">
        <v>328</v>
      </c>
      <c r="AC213" s="60">
        <v>1</v>
      </c>
    </row>
    <row r="214" spans="1:29" s="70" customFormat="1" x14ac:dyDescent="0.2">
      <c r="A214" s="224" t="s">
        <v>129</v>
      </c>
      <c r="B214" s="154">
        <v>72072</v>
      </c>
      <c r="C214" s="68" t="str">
        <f>C212</f>
        <v>Dindoshi_1</v>
      </c>
      <c r="D214" s="69" t="s">
        <v>65</v>
      </c>
      <c r="E214" s="70" t="str">
        <f>E212</f>
        <v>MMRBEM_7_UP</v>
      </c>
      <c r="F214" s="70">
        <f>F212</f>
        <v>0</v>
      </c>
      <c r="G214" s="152">
        <f>H212</f>
        <v>7273.6310000000003</v>
      </c>
      <c r="H214" s="159">
        <f t="shared" ref="H214:H224" si="84">F214+G214</f>
        <v>7273.6310000000003</v>
      </c>
      <c r="I214" s="232">
        <f>IF("generated"=1, "Path=MMRBEM_7_UP, Scaled Offset=7273.6310000000003128661774098873138", 7685.90483977104)</f>
        <v>7685.9048397710403</v>
      </c>
      <c r="K214" s="69" t="s">
        <v>64</v>
      </c>
      <c r="M214" s="71">
        <f>2*M212</f>
        <v>5</v>
      </c>
      <c r="N214" s="71">
        <v>0</v>
      </c>
      <c r="O214" s="71"/>
      <c r="P214" s="71">
        <v>0</v>
      </c>
      <c r="Q214" s="71">
        <v>0</v>
      </c>
      <c r="S214" s="69" t="s">
        <v>63</v>
      </c>
      <c r="T214" s="72">
        <f>ABS(H213-H211)</f>
        <v>185</v>
      </c>
      <c r="U214" s="69" t="s">
        <v>62</v>
      </c>
      <c r="V214" s="73" t="str">
        <f>C214</f>
        <v>Dindoshi_1</v>
      </c>
      <c r="W214" s="68" t="s">
        <v>61</v>
      </c>
      <c r="X214" s="74" t="s">
        <v>328</v>
      </c>
      <c r="Y214" s="74" t="s">
        <v>60</v>
      </c>
      <c r="Z214" s="70" t="str">
        <f>LEFT(V214, LEN(V214)-2)</f>
        <v>Dindoshi</v>
      </c>
    </row>
    <row r="215" spans="1:29" s="70" customFormat="1" x14ac:dyDescent="0.2">
      <c r="A215" s="224" t="s">
        <v>129</v>
      </c>
      <c r="B215" s="154">
        <v>72073</v>
      </c>
      <c r="C215" s="70" t="str">
        <f>CONCATENATE("Platform Passenger - ",C214)</f>
        <v>Platform Passenger - Dindoshi_1</v>
      </c>
      <c r="D215" s="75" t="s">
        <v>59</v>
      </c>
      <c r="E215" s="70" t="str">
        <f t="shared" ref="E215:E220" si="85">E214</f>
        <v>MMRBEM_7_UP</v>
      </c>
      <c r="F215" s="70">
        <v>0</v>
      </c>
      <c r="G215" s="152">
        <f t="shared" ref="G215:G220" si="86">G214</f>
        <v>7273.6310000000003</v>
      </c>
      <c r="H215" s="159">
        <f t="shared" si="84"/>
        <v>7273.6310000000003</v>
      </c>
      <c r="I215" s="232">
        <f>IF("generated"=1, "Path=MMRBEM_7_UP, Scaled Offset=7273.6310000000003128661774098873138", 7685.90483977104)</f>
        <v>7685.9048397710403</v>
      </c>
      <c r="K215" s="76" t="str">
        <f t="shared" ref="K215:K220" si="87">K214</f>
        <v>BOTH</v>
      </c>
      <c r="M215" s="77">
        <f>M214/2</f>
        <v>2.5</v>
      </c>
      <c r="N215" s="77">
        <f>N214</f>
        <v>0</v>
      </c>
      <c r="O215" s="77"/>
      <c r="P215" s="77">
        <v>90</v>
      </c>
      <c r="Q215" s="77">
        <f>Q214</f>
        <v>0</v>
      </c>
      <c r="R215" s="75" t="s">
        <v>1091</v>
      </c>
      <c r="S215" s="70" t="s">
        <v>58</v>
      </c>
      <c r="T215" s="78" t="str">
        <f>CONCATENATE(X214,"_PAS"&amp;AC213)</f>
        <v>DIN_PAS1</v>
      </c>
      <c r="V215" s="79"/>
    </row>
    <row r="216" spans="1:29" s="70" customFormat="1" x14ac:dyDescent="0.2">
      <c r="A216" s="224" t="s">
        <v>129</v>
      </c>
      <c r="B216" s="154">
        <v>72074</v>
      </c>
      <c r="C216" s="70" t="str">
        <f>CONCATENATE("Passenger Alighting - ",C214)</f>
        <v>Passenger Alighting - Dindoshi_1</v>
      </c>
      <c r="D216" s="75" t="s">
        <v>57</v>
      </c>
      <c r="E216" s="70" t="str">
        <f t="shared" si="85"/>
        <v>MMRBEM_7_UP</v>
      </c>
      <c r="F216" s="70">
        <v>0</v>
      </c>
      <c r="G216" s="152">
        <f t="shared" si="86"/>
        <v>7273.6310000000003</v>
      </c>
      <c r="H216" s="159">
        <f t="shared" si="84"/>
        <v>7273.6310000000003</v>
      </c>
      <c r="I216" s="232">
        <f>IF("generated"=1, "Path=MMRBEM_7_UP, Scaled Offset=7273.6310000000003128661774098873138", 7685.90483977104)</f>
        <v>7685.9048397710403</v>
      </c>
      <c r="K216" s="76" t="str">
        <f t="shared" si="87"/>
        <v>BOTH</v>
      </c>
      <c r="M216" s="77">
        <f>M215</f>
        <v>2.5</v>
      </c>
      <c r="N216" s="77">
        <f>N215</f>
        <v>0</v>
      </c>
      <c r="O216" s="77"/>
      <c r="P216" s="77">
        <v>90</v>
      </c>
      <c r="Q216" s="77">
        <f>Q215</f>
        <v>0</v>
      </c>
      <c r="R216" s="75" t="s">
        <v>1091</v>
      </c>
      <c r="S216" s="70" t="s">
        <v>56</v>
      </c>
      <c r="T216" s="78">
        <f>B215</f>
        <v>72073</v>
      </c>
      <c r="V216" s="79"/>
    </row>
    <row r="217" spans="1:29" s="70" customFormat="1" x14ac:dyDescent="0.2">
      <c r="A217" s="224" t="s">
        <v>129</v>
      </c>
      <c r="B217" s="154">
        <v>72075</v>
      </c>
      <c r="C217" s="70" t="str">
        <f>CONCATENATE("Passenger Arriving - ",C212)</f>
        <v>Passenger Arriving - Dindoshi_1</v>
      </c>
      <c r="D217" s="75" t="s">
        <v>55</v>
      </c>
      <c r="E217" s="70" t="str">
        <f t="shared" si="85"/>
        <v>MMRBEM_7_UP</v>
      </c>
      <c r="F217" s="70">
        <v>0</v>
      </c>
      <c r="G217" s="152">
        <f t="shared" si="86"/>
        <v>7273.6310000000003</v>
      </c>
      <c r="H217" s="159">
        <f t="shared" si="84"/>
        <v>7273.6310000000003</v>
      </c>
      <c r="I217" s="232">
        <f>IF("generated"=1, "Path=MMRBEM_7_UP, Scaled Offset=7273.6310000000003128661774098873138", 7685.90483977104)</f>
        <v>7685.9048397710403</v>
      </c>
      <c r="K217" s="76" t="str">
        <f t="shared" si="87"/>
        <v>BOTH</v>
      </c>
      <c r="M217" s="77">
        <f>M216</f>
        <v>2.5</v>
      </c>
      <c r="N217" s="77">
        <f>N216</f>
        <v>0</v>
      </c>
      <c r="O217" s="77"/>
      <c r="P217" s="77">
        <v>90</v>
      </c>
      <c r="Q217" s="77">
        <f>Q216</f>
        <v>0</v>
      </c>
      <c r="R217" s="75" t="s">
        <v>52</v>
      </c>
      <c r="S217" s="70" t="str">
        <f t="shared" ref="S217:T217" si="88">S216</f>
        <v>Parent ID</v>
      </c>
      <c r="T217" s="78">
        <f t="shared" si="88"/>
        <v>72073</v>
      </c>
      <c r="V217" s="79"/>
    </row>
    <row r="218" spans="1:29" s="70" customFormat="1" x14ac:dyDescent="0.2">
      <c r="A218" s="224" t="s">
        <v>129</v>
      </c>
      <c r="B218" s="154">
        <v>72076</v>
      </c>
      <c r="C218" s="70" t="str">
        <f>CONCATENATE("Passenger Intoxicated - ",C214)</f>
        <v>Passenger Intoxicated - Dindoshi_1</v>
      </c>
      <c r="D218" s="75" t="s">
        <v>54</v>
      </c>
      <c r="E218" s="70" t="str">
        <f t="shared" si="85"/>
        <v>MMRBEM_7_UP</v>
      </c>
      <c r="F218" s="70">
        <v>0</v>
      </c>
      <c r="G218" s="152">
        <f t="shared" si="86"/>
        <v>7273.6310000000003</v>
      </c>
      <c r="H218" s="159">
        <f t="shared" si="84"/>
        <v>7273.6310000000003</v>
      </c>
      <c r="I218" s="232">
        <f>IF("generated"=1, "Path=MMRBEM_7_UP, Scaled Offset=7273.6310000000003128661774098873138", 7685.90483977104)</f>
        <v>7685.9048397710403</v>
      </c>
      <c r="K218" s="76" t="str">
        <f t="shared" si="87"/>
        <v>BOTH</v>
      </c>
      <c r="M218" s="77">
        <f>M217</f>
        <v>2.5</v>
      </c>
      <c r="N218" s="77">
        <f>N217</f>
        <v>0</v>
      </c>
      <c r="O218" s="77"/>
      <c r="P218" s="77">
        <v>90</v>
      </c>
      <c r="Q218" s="77">
        <f>Q217</f>
        <v>0</v>
      </c>
      <c r="R218" s="75" t="s">
        <v>52</v>
      </c>
      <c r="S218" s="70" t="str">
        <f t="shared" ref="S218:T218" si="89">S217</f>
        <v>Parent ID</v>
      </c>
      <c r="T218" s="78">
        <f t="shared" si="89"/>
        <v>72073</v>
      </c>
      <c r="V218" s="79"/>
    </row>
    <row r="219" spans="1:29" s="70" customFormat="1" x14ac:dyDescent="0.2">
      <c r="A219" s="224" t="s">
        <v>129</v>
      </c>
      <c r="B219" s="154">
        <v>72077</v>
      </c>
      <c r="C219" s="70" t="str">
        <f>CONCATENATE("Passenger Pram - ",C214)</f>
        <v>Passenger Pram - Dindoshi_1</v>
      </c>
      <c r="D219" s="75" t="s">
        <v>53</v>
      </c>
      <c r="E219" s="70" t="str">
        <f t="shared" si="85"/>
        <v>MMRBEM_7_UP</v>
      </c>
      <c r="F219" s="70">
        <v>0</v>
      </c>
      <c r="G219" s="152">
        <f t="shared" si="86"/>
        <v>7273.6310000000003</v>
      </c>
      <c r="H219" s="159">
        <f t="shared" si="84"/>
        <v>7273.6310000000003</v>
      </c>
      <c r="I219" s="232">
        <f>IF("generated"=1, "Path=MMRBEM_7_UP, Scaled Offset=7273.6310000000003128661774098873138", 7685.90483977104)</f>
        <v>7685.9048397710403</v>
      </c>
      <c r="K219" s="76" t="str">
        <f t="shared" si="87"/>
        <v>BOTH</v>
      </c>
      <c r="M219" s="77">
        <f>M218</f>
        <v>2.5</v>
      </c>
      <c r="N219" s="77">
        <f>N218</f>
        <v>0</v>
      </c>
      <c r="O219" s="77"/>
      <c r="P219" s="77">
        <v>90</v>
      </c>
      <c r="Q219" s="77">
        <f>Q218</f>
        <v>0</v>
      </c>
      <c r="R219" s="75" t="s">
        <v>52</v>
      </c>
      <c r="S219" s="70" t="str">
        <f t="shared" ref="S219:T219" si="90">S218</f>
        <v>Parent ID</v>
      </c>
      <c r="T219" s="78">
        <f t="shared" si="90"/>
        <v>72073</v>
      </c>
      <c r="V219" s="79"/>
    </row>
    <row r="220" spans="1:29" s="164" customFormat="1" x14ac:dyDescent="0.2">
      <c r="A220" s="224" t="s">
        <v>129</v>
      </c>
      <c r="B220" s="81">
        <v>72280</v>
      </c>
      <c r="C220" s="70" t="str">
        <f>CONCATENATE("PSD - ",C214)</f>
        <v>PSD - Dindoshi_1</v>
      </c>
      <c r="D220" s="165" t="s">
        <v>1042</v>
      </c>
      <c r="E220" s="70" t="str">
        <f t="shared" si="85"/>
        <v>MMRBEM_7_UP</v>
      </c>
      <c r="F220" s="70">
        <v>0</v>
      </c>
      <c r="G220" s="152">
        <f t="shared" si="86"/>
        <v>7273.6310000000003</v>
      </c>
      <c r="H220" s="159">
        <f t="shared" si="84"/>
        <v>7273.6310000000003</v>
      </c>
      <c r="I220" s="232">
        <f>IF("generated"=1, "Path=MMRBEM_7_UP, Scaled Offset=7273.6310000000003128661774098873138", 7685.90483977104)</f>
        <v>7685.9048397710403</v>
      </c>
      <c r="K220" s="76" t="str">
        <f t="shared" si="87"/>
        <v>BOTH</v>
      </c>
      <c r="M220" s="168">
        <f>M219-0.5</f>
        <v>2</v>
      </c>
      <c r="N220" s="168"/>
      <c r="O220" s="168"/>
      <c r="P220" s="168"/>
      <c r="Q220" s="168"/>
      <c r="R220" s="165"/>
      <c r="S220" s="165" t="s">
        <v>1043</v>
      </c>
      <c r="T220" s="165" t="str">
        <f>_xlfn.CONCAT("PSD_",T215)</f>
        <v>PSD_DIN_PAS1</v>
      </c>
      <c r="U220" s="165" t="s">
        <v>926</v>
      </c>
      <c r="V220" s="165">
        <f>B214</f>
        <v>72072</v>
      </c>
      <c r="W220" s="165"/>
      <c r="X220" s="165"/>
    </row>
    <row r="221" spans="1:29" s="164" customFormat="1" x14ac:dyDescent="0.2">
      <c r="A221" s="224" t="s">
        <v>129</v>
      </c>
      <c r="B221" s="81">
        <v>72217</v>
      </c>
      <c r="C221" s="164" t="s">
        <v>983</v>
      </c>
      <c r="D221" s="140" t="s">
        <v>928</v>
      </c>
      <c r="E221" s="70" t="s">
        <v>91</v>
      </c>
      <c r="G221" s="166">
        <f>G222-22.2</f>
        <v>868.43</v>
      </c>
      <c r="H221" s="159">
        <f t="shared" si="84"/>
        <v>868.43</v>
      </c>
      <c r="I221" s="232">
        <f>IF("generated"=1, "Path=Track_20_5_Track_3, Scaled Offset=868.42999999999994997779140248894691", 868.429999999999)</f>
        <v>868.42999999999904</v>
      </c>
      <c r="K221" s="167"/>
      <c r="L221" s="164">
        <v>1</v>
      </c>
      <c r="M221" s="168"/>
      <c r="N221" s="168"/>
      <c r="O221" s="168"/>
      <c r="P221" s="168"/>
      <c r="Q221" s="168"/>
      <c r="R221" s="165" t="s">
        <v>1041</v>
      </c>
      <c r="S221" s="140" t="s">
        <v>926</v>
      </c>
      <c r="T221" s="143">
        <f>B214</f>
        <v>72072</v>
      </c>
      <c r="U221" s="140" t="s">
        <v>61</v>
      </c>
      <c r="V221" s="143" t="str">
        <f>X214</f>
        <v>DIN</v>
      </c>
      <c r="W221" s="140" t="s">
        <v>927</v>
      </c>
      <c r="X221" s="164">
        <v>1</v>
      </c>
    </row>
    <row r="222" spans="1:29" s="164" customFormat="1" x14ac:dyDescent="0.2">
      <c r="A222" s="224" t="s">
        <v>129</v>
      </c>
      <c r="B222" s="81">
        <v>72218</v>
      </c>
      <c r="C222" s="164" t="s">
        <v>984</v>
      </c>
      <c r="D222" s="140" t="s">
        <v>928</v>
      </c>
      <c r="E222" s="70" t="str">
        <f t="shared" ref="E222:E224" si="91">E221</f>
        <v>Track_20_5_Track_3</v>
      </c>
      <c r="G222" s="166">
        <v>890.63</v>
      </c>
      <c r="H222" s="159">
        <f t="shared" si="84"/>
        <v>890.63</v>
      </c>
      <c r="I222" s="232">
        <f>IF("generated"=1, "Path=Track_20_5_Track_3, Scaled Offset=890.62999999999999545252649113535881", 890.629999999999)</f>
        <v>890.62999999999897</v>
      </c>
      <c r="K222" s="167"/>
      <c r="L222" s="164">
        <v>1</v>
      </c>
      <c r="M222" s="168"/>
      <c r="N222" s="168"/>
      <c r="O222" s="168"/>
      <c r="P222" s="168"/>
      <c r="Q222" s="168"/>
      <c r="R222" s="165" t="s">
        <v>1041</v>
      </c>
      <c r="S222" s="140" t="s">
        <v>926</v>
      </c>
      <c r="T222" s="143">
        <f>T221</f>
        <v>72072</v>
      </c>
      <c r="U222" s="140" t="s">
        <v>61</v>
      </c>
      <c r="V222" s="143" t="str">
        <f>V221</f>
        <v>DIN</v>
      </c>
      <c r="W222" s="140" t="s">
        <v>927</v>
      </c>
      <c r="X222" s="164">
        <v>1</v>
      </c>
    </row>
    <row r="223" spans="1:29" s="164" customFormat="1" x14ac:dyDescent="0.2">
      <c r="A223" s="224" t="s">
        <v>129</v>
      </c>
      <c r="B223" s="81">
        <v>72219</v>
      </c>
      <c r="C223" s="164" t="s">
        <v>985</v>
      </c>
      <c r="D223" s="140" t="s">
        <v>928</v>
      </c>
      <c r="E223" s="70" t="str">
        <f t="shared" si="91"/>
        <v>Track_20_5_Track_3</v>
      </c>
      <c r="G223" s="166">
        <v>1026.6500000000001</v>
      </c>
      <c r="H223" s="159">
        <f t="shared" si="84"/>
        <v>1026.6500000000001</v>
      </c>
      <c r="I223" s="232">
        <f>IF("generated"=1, "Path=Track_20_5_Track_3, Scaled Offset=1026.6500000000000909494701772928238", 1026.65)</f>
        <v>1026.6500000000001</v>
      </c>
      <c r="K223" s="167"/>
      <c r="M223" s="168"/>
      <c r="N223" s="168"/>
      <c r="O223" s="168"/>
      <c r="P223" s="168"/>
      <c r="Q223" s="168"/>
      <c r="R223" s="165" t="s">
        <v>1041</v>
      </c>
      <c r="S223" s="140" t="s">
        <v>926</v>
      </c>
      <c r="T223" s="143">
        <f>T222</f>
        <v>72072</v>
      </c>
      <c r="U223" s="140" t="s">
        <v>61</v>
      </c>
      <c r="V223" s="143" t="str">
        <f>V222</f>
        <v>DIN</v>
      </c>
      <c r="W223" s="140" t="s">
        <v>927</v>
      </c>
      <c r="X223" s="164">
        <v>2</v>
      </c>
    </row>
    <row r="224" spans="1:29" s="164" customFormat="1" x14ac:dyDescent="0.2">
      <c r="A224" s="224" t="s">
        <v>129</v>
      </c>
      <c r="B224" s="81">
        <v>72220</v>
      </c>
      <c r="C224" s="164" t="s">
        <v>986</v>
      </c>
      <c r="D224" s="140" t="s">
        <v>928</v>
      </c>
      <c r="E224" s="70" t="str">
        <f t="shared" si="91"/>
        <v>Track_20_5_Track_3</v>
      </c>
      <c r="G224" s="166">
        <f>G223+22.2</f>
        <v>1048.8500000000001</v>
      </c>
      <c r="H224" s="159">
        <f t="shared" si="84"/>
        <v>1048.8500000000001</v>
      </c>
      <c r="I224" s="232">
        <f>IF("generated"=1, "Path=Track_20_5_Track_3, Scaled Offset=1048.8500000000001364242052659392357", 1048.85)</f>
        <v>1048.8499999999999</v>
      </c>
      <c r="K224" s="167"/>
      <c r="M224" s="168"/>
      <c r="N224" s="168"/>
      <c r="O224" s="168"/>
      <c r="P224" s="168"/>
      <c r="Q224" s="168"/>
      <c r="R224" s="165" t="s">
        <v>1041</v>
      </c>
      <c r="S224" s="140" t="s">
        <v>926</v>
      </c>
      <c r="T224" s="143">
        <f>T223</f>
        <v>72072</v>
      </c>
      <c r="U224" s="140" t="s">
        <v>61</v>
      </c>
      <c r="V224" s="143" t="str">
        <f>V223</f>
        <v>DIN</v>
      </c>
      <c r="W224" s="140" t="s">
        <v>927</v>
      </c>
      <c r="X224" s="164">
        <v>2</v>
      </c>
    </row>
    <row r="225" spans="1:29" s="61" customFormat="1" x14ac:dyDescent="0.2">
      <c r="A225" s="224" t="s">
        <v>930</v>
      </c>
      <c r="B225" s="81">
        <v>72065</v>
      </c>
      <c r="C225" s="61" t="str">
        <f>LEFT(C214,LEN(C214)-2)</f>
        <v>Dindoshi</v>
      </c>
      <c r="E225" s="61" t="s">
        <v>91</v>
      </c>
      <c r="G225" s="153"/>
      <c r="H225" s="160">
        <v>1052</v>
      </c>
      <c r="I225" s="232">
        <f>IF("generated"=1, "Path=Track_20_5_Track_3, Scaled Offset=1052", 1052)</f>
        <v>1052</v>
      </c>
      <c r="J225" s="89"/>
      <c r="M225" s="88"/>
      <c r="N225" s="88"/>
      <c r="O225" s="88"/>
      <c r="P225" s="88"/>
      <c r="Q225" s="88"/>
      <c r="S225" s="61" t="s">
        <v>41</v>
      </c>
      <c r="T225" s="87">
        <v>40</v>
      </c>
      <c r="V225" s="87"/>
    </row>
    <row r="226" spans="1:29" s="61" customFormat="1" x14ac:dyDescent="0.2">
      <c r="A226" s="224" t="s">
        <v>930</v>
      </c>
      <c r="B226" s="81">
        <v>72065</v>
      </c>
      <c r="C226" s="61" t="str">
        <f>C225</f>
        <v>Dindoshi</v>
      </c>
      <c r="E226" s="61" t="s">
        <v>91</v>
      </c>
      <c r="G226" s="153"/>
      <c r="H226" s="160">
        <v>864</v>
      </c>
      <c r="I226" s="232">
        <f>IF("generated"=1, "Path=Track_20_5_Track_3, Scaled Offset=864", 864)</f>
        <v>864</v>
      </c>
      <c r="J226" s="89"/>
      <c r="M226" s="88"/>
      <c r="N226" s="88"/>
      <c r="O226" s="88"/>
      <c r="P226" s="88"/>
      <c r="Q226" s="88"/>
      <c r="S226" s="61" t="s">
        <v>41</v>
      </c>
      <c r="T226" s="87">
        <v>40</v>
      </c>
      <c r="V226" s="87"/>
    </row>
    <row r="228" spans="1:29" s="62" customFormat="1" x14ac:dyDescent="0.2">
      <c r="A228" s="224" t="s">
        <v>129</v>
      </c>
      <c r="B228" s="154">
        <v>72078</v>
      </c>
      <c r="C228" s="61" t="s">
        <v>329</v>
      </c>
      <c r="D228" s="62" t="s">
        <v>69</v>
      </c>
      <c r="G228" s="149"/>
      <c r="H228" s="158"/>
      <c r="I228" s="162"/>
      <c r="M228" s="63"/>
      <c r="N228" s="63"/>
      <c r="O228" s="63"/>
      <c r="P228" s="63"/>
      <c r="Q228" s="63"/>
      <c r="T228" s="64"/>
      <c r="V228" s="64"/>
    </row>
    <row r="229" spans="1:29" s="60" customFormat="1" x14ac:dyDescent="0.2">
      <c r="A229" s="224"/>
      <c r="B229" s="81"/>
      <c r="C229" s="60" t="s">
        <v>330</v>
      </c>
      <c r="D229" s="60" t="s">
        <v>51</v>
      </c>
      <c r="E229" t="s">
        <v>188</v>
      </c>
      <c r="G229" s="150">
        <v>8012.9319999999998</v>
      </c>
      <c r="H229" s="159">
        <f>G229+F229</f>
        <v>8012.9319999999998</v>
      </c>
      <c r="I229" s="90">
        <f>IF("generated"=1, "Path=Intermodal_Coronel_Platform_2_2, Scaled Offset=160.40000000000000568434188608080149", 160.4)</f>
        <v>160.4</v>
      </c>
      <c r="J229" s="65"/>
      <c r="K229" s="60" t="s">
        <v>64</v>
      </c>
      <c r="M229" s="66">
        <v>-2.5</v>
      </c>
      <c r="N229" s="66">
        <v>0</v>
      </c>
      <c r="O229" s="66"/>
      <c r="P229" s="66"/>
      <c r="Q229" s="66"/>
      <c r="R229" s="60" t="str">
        <f>$E$3</f>
        <v>Red</v>
      </c>
      <c r="S229" s="60" t="s">
        <v>68</v>
      </c>
      <c r="T229" s="67" t="str">
        <f>C229</f>
        <v>Kurar_S1</v>
      </c>
      <c r="U229" s="60" t="s">
        <v>50</v>
      </c>
      <c r="V229" s="67">
        <v>0</v>
      </c>
      <c r="W229" s="60" t="s">
        <v>67</v>
      </c>
      <c r="X229" s="60">
        <v>1</v>
      </c>
      <c r="Y229" s="60" t="s">
        <v>66</v>
      </c>
      <c r="Z229" s="60">
        <v>1</v>
      </c>
      <c r="AA229" s="61" t="s">
        <v>329</v>
      </c>
      <c r="AB229" s="74" t="s">
        <v>334</v>
      </c>
      <c r="AC229" s="60">
        <v>2</v>
      </c>
    </row>
    <row r="230" spans="1:29" s="60" customFormat="1" x14ac:dyDescent="0.2">
      <c r="A230" s="224"/>
      <c r="B230" s="81"/>
      <c r="C230" s="60" t="str">
        <f>AA230&amp;"_"&amp;AC230</f>
        <v>Kurar_2</v>
      </c>
      <c r="D230" s="60" t="s">
        <v>51</v>
      </c>
      <c r="E230" t="s">
        <v>188</v>
      </c>
      <c r="G230" s="151">
        <f>AVERAGE(H229,H231)</f>
        <v>8105.4320000000007</v>
      </c>
      <c r="H230" s="159">
        <f>F230+G230</f>
        <v>8105.4320000000007</v>
      </c>
      <c r="I230" s="90">
        <f>IF("generated"=1, "Path=East_Central_Line1_5, Scaled Offset=69.5", 69.5)</f>
        <v>69.5</v>
      </c>
      <c r="J230" s="65"/>
      <c r="K230" s="60" t="s">
        <v>64</v>
      </c>
      <c r="M230" s="66">
        <f>M229</f>
        <v>-2.5</v>
      </c>
      <c r="N230" s="66">
        <v>0</v>
      </c>
      <c r="O230" s="66"/>
      <c r="P230" s="66"/>
      <c r="Q230" s="66"/>
      <c r="R230" s="60" t="str">
        <f>$E$4</f>
        <v>Green</v>
      </c>
      <c r="S230" s="60" t="s">
        <v>68</v>
      </c>
      <c r="T230" s="67" t="str">
        <f>C230</f>
        <v>Kurar_2</v>
      </c>
      <c r="U230" s="60" t="s">
        <v>50</v>
      </c>
      <c r="V230" s="67">
        <v>0</v>
      </c>
      <c r="W230" s="60" t="s">
        <v>67</v>
      </c>
      <c r="X230" s="60">
        <v>1</v>
      </c>
      <c r="Y230" s="60" t="s">
        <v>66</v>
      </c>
      <c r="Z230" s="60">
        <v>1</v>
      </c>
      <c r="AA230" s="60" t="str">
        <f>AA229</f>
        <v>Kurar</v>
      </c>
      <c r="AB230" s="60" t="str">
        <f>AB229</f>
        <v>KUR</v>
      </c>
      <c r="AC230" s="60">
        <f>AC229</f>
        <v>2</v>
      </c>
    </row>
    <row r="231" spans="1:29" s="60" customFormat="1" x14ac:dyDescent="0.2">
      <c r="A231" s="224"/>
      <c r="B231" s="81"/>
      <c r="C231" s="60" t="s">
        <v>331</v>
      </c>
      <c r="D231" s="60" t="s">
        <v>51</v>
      </c>
      <c r="E231" t="s">
        <v>188</v>
      </c>
      <c r="G231" s="150">
        <v>8197.9320000000007</v>
      </c>
      <c r="H231" s="159">
        <f>G231+F231</f>
        <v>8197.9320000000007</v>
      </c>
      <c r="I231" s="90">
        <f>IF("generated"=1, "Path=Intermodal_Coronel_Platform_2_2, Scaled Offset=231", 231)</f>
        <v>231</v>
      </c>
      <c r="J231" s="65"/>
      <c r="K231" s="60" t="s">
        <v>64</v>
      </c>
      <c r="M231" s="66">
        <v>-2.5</v>
      </c>
      <c r="N231" s="66">
        <v>0</v>
      </c>
      <c r="O231" s="66"/>
      <c r="P231" s="66"/>
      <c r="Q231" s="66"/>
      <c r="R231" s="60" t="str">
        <f>$E$3</f>
        <v>Red</v>
      </c>
      <c r="S231" s="60" t="s">
        <v>68</v>
      </c>
      <c r="T231" s="67" t="str">
        <f>C231</f>
        <v>Kurar_E1</v>
      </c>
      <c r="U231" s="60" t="s">
        <v>50</v>
      </c>
      <c r="V231" s="67">
        <v>0</v>
      </c>
      <c r="W231" s="60" t="s">
        <v>67</v>
      </c>
      <c r="X231" s="60">
        <v>1</v>
      </c>
      <c r="Y231" s="60" t="s">
        <v>66</v>
      </c>
      <c r="Z231" s="60">
        <v>1</v>
      </c>
      <c r="AA231" s="61" t="s">
        <v>329</v>
      </c>
      <c r="AB231" s="74" t="s">
        <v>334</v>
      </c>
      <c r="AC231" s="60">
        <v>2</v>
      </c>
    </row>
    <row r="232" spans="1:29" s="70" customFormat="1" x14ac:dyDescent="0.2">
      <c r="A232" s="224" t="s">
        <v>129</v>
      </c>
      <c r="B232" s="154">
        <v>72079</v>
      </c>
      <c r="C232" s="68" t="str">
        <f>C230</f>
        <v>Kurar_2</v>
      </c>
      <c r="D232" s="69" t="s">
        <v>65</v>
      </c>
      <c r="E232" s="70" t="str">
        <f>E230</f>
        <v>MMRBEM_7_DOWN</v>
      </c>
      <c r="F232" s="70">
        <f>F230</f>
        <v>0</v>
      </c>
      <c r="G232" s="152">
        <f>H230</f>
        <v>8105.4320000000007</v>
      </c>
      <c r="H232" s="159">
        <f t="shared" ref="H232:H242" si="92">F232+G232</f>
        <v>8105.4320000000007</v>
      </c>
      <c r="I232" s="232">
        <f>IF("generated"=1, "Path=MMRBEM_7_DOWN, Scaled Offset=8105.4320000000006984919309616088867", 8511.07712205665)</f>
        <v>8511.0771220566494</v>
      </c>
      <c r="K232" s="69" t="s">
        <v>64</v>
      </c>
      <c r="M232" s="71">
        <f>2*M230</f>
        <v>-5</v>
      </c>
      <c r="N232" s="71">
        <v>0</v>
      </c>
      <c r="O232" s="71"/>
      <c r="P232" s="71">
        <v>0</v>
      </c>
      <c r="Q232" s="71">
        <v>0</v>
      </c>
      <c r="S232" s="69" t="s">
        <v>63</v>
      </c>
      <c r="T232" s="72">
        <f>ABS(H231-H229)</f>
        <v>185.00000000000091</v>
      </c>
      <c r="U232" s="69" t="s">
        <v>62</v>
      </c>
      <c r="V232" s="73" t="str">
        <f>C232</f>
        <v>Kurar_2</v>
      </c>
      <c r="W232" s="68" t="s">
        <v>61</v>
      </c>
      <c r="X232" s="74" t="s">
        <v>334</v>
      </c>
      <c r="Y232" s="74" t="s">
        <v>60</v>
      </c>
      <c r="Z232" s="70" t="str">
        <f>LEFT(V232, LEN(V232)-2)</f>
        <v>Kurar</v>
      </c>
    </row>
    <row r="233" spans="1:29" s="70" customFormat="1" x14ac:dyDescent="0.2">
      <c r="A233" s="224" t="s">
        <v>129</v>
      </c>
      <c r="B233" s="154">
        <v>72080</v>
      </c>
      <c r="C233" s="70" t="str">
        <f>CONCATENATE("Platform Passenger - ",C232)</f>
        <v>Platform Passenger - Kurar_2</v>
      </c>
      <c r="D233" s="75" t="s">
        <v>59</v>
      </c>
      <c r="E233" s="70" t="str">
        <f t="shared" ref="E233:E238" si="93">E232</f>
        <v>MMRBEM_7_DOWN</v>
      </c>
      <c r="F233" s="70">
        <v>0</v>
      </c>
      <c r="G233" s="152">
        <f t="shared" ref="G233:G238" si="94">G232</f>
        <v>8105.4320000000007</v>
      </c>
      <c r="H233" s="159">
        <f t="shared" si="92"/>
        <v>8105.4320000000007</v>
      </c>
      <c r="I233" s="232">
        <f>IF("generated"=1, "Path=MMRBEM_7_DOWN, Scaled Offset=8105.4320000000006984919309616088867", 8511.07712205665)</f>
        <v>8511.0771220566494</v>
      </c>
      <c r="K233" s="76" t="str">
        <f t="shared" ref="K233:K238" si="95">K232</f>
        <v>BOTH</v>
      </c>
      <c r="M233" s="77">
        <f>M232/2</f>
        <v>-2.5</v>
      </c>
      <c r="N233" s="77">
        <f>N232</f>
        <v>0</v>
      </c>
      <c r="O233" s="77"/>
      <c r="P233" s="77">
        <v>270</v>
      </c>
      <c r="Q233" s="77">
        <f>Q232</f>
        <v>0</v>
      </c>
      <c r="R233" s="75" t="s">
        <v>1091</v>
      </c>
      <c r="S233" s="70" t="s">
        <v>58</v>
      </c>
      <c r="T233" s="78" t="str">
        <f>CONCATENATE(X232,"_PAS"&amp;AC231)</f>
        <v>KUR_PAS2</v>
      </c>
      <c r="V233" s="79"/>
    </row>
    <row r="234" spans="1:29" s="70" customFormat="1" x14ac:dyDescent="0.2">
      <c r="A234" s="224" t="s">
        <v>129</v>
      </c>
      <c r="B234" s="154">
        <v>72081</v>
      </c>
      <c r="C234" s="70" t="str">
        <f>CONCATENATE("Passenger Alighting - ",C232)</f>
        <v>Passenger Alighting - Kurar_2</v>
      </c>
      <c r="D234" s="75" t="s">
        <v>57</v>
      </c>
      <c r="E234" s="70" t="str">
        <f t="shared" si="93"/>
        <v>MMRBEM_7_DOWN</v>
      </c>
      <c r="F234" s="70">
        <v>0</v>
      </c>
      <c r="G234" s="152">
        <f t="shared" si="94"/>
        <v>8105.4320000000007</v>
      </c>
      <c r="H234" s="159">
        <f t="shared" si="92"/>
        <v>8105.4320000000007</v>
      </c>
      <c r="I234" s="232">
        <f>IF("generated"=1, "Path=MMRBEM_7_DOWN, Scaled Offset=8105.4320000000006984919309616088867", 8511.07712205665)</f>
        <v>8511.0771220566494</v>
      </c>
      <c r="K234" s="76" t="str">
        <f t="shared" si="95"/>
        <v>BOTH</v>
      </c>
      <c r="M234" s="77">
        <f>M233</f>
        <v>-2.5</v>
      </c>
      <c r="N234" s="77">
        <f>N233</f>
        <v>0</v>
      </c>
      <c r="O234" s="77"/>
      <c r="P234" s="77">
        <v>270</v>
      </c>
      <c r="Q234" s="77">
        <f>Q233</f>
        <v>0</v>
      </c>
      <c r="R234" s="75" t="s">
        <v>1091</v>
      </c>
      <c r="S234" s="70" t="s">
        <v>56</v>
      </c>
      <c r="T234" s="78">
        <f>B233</f>
        <v>72080</v>
      </c>
      <c r="V234" s="79"/>
    </row>
    <row r="235" spans="1:29" s="70" customFormat="1" x14ac:dyDescent="0.2">
      <c r="A235" s="224" t="s">
        <v>129</v>
      </c>
      <c r="B235" s="154">
        <v>72082</v>
      </c>
      <c r="C235" s="70" t="str">
        <f>CONCATENATE("Passenger Arriving - ",C230)</f>
        <v>Passenger Arriving - Kurar_2</v>
      </c>
      <c r="D235" s="75" t="s">
        <v>55</v>
      </c>
      <c r="E235" s="70" t="str">
        <f t="shared" si="93"/>
        <v>MMRBEM_7_DOWN</v>
      </c>
      <c r="F235" s="70">
        <v>0</v>
      </c>
      <c r="G235" s="152">
        <f t="shared" si="94"/>
        <v>8105.4320000000007</v>
      </c>
      <c r="H235" s="159">
        <f t="shared" si="92"/>
        <v>8105.4320000000007</v>
      </c>
      <c r="I235" s="232">
        <f>IF("generated"=1, "Path=MMRBEM_7_DOWN, Scaled Offset=8105.4320000000006984919309616088867", 8511.07712205665)</f>
        <v>8511.0771220566494</v>
      </c>
      <c r="K235" s="76" t="str">
        <f t="shared" si="95"/>
        <v>BOTH</v>
      </c>
      <c r="M235" s="77">
        <f>M234</f>
        <v>-2.5</v>
      </c>
      <c r="N235" s="77">
        <f>N234</f>
        <v>0</v>
      </c>
      <c r="O235" s="77"/>
      <c r="P235" s="77">
        <v>270</v>
      </c>
      <c r="Q235" s="77">
        <f>Q234</f>
        <v>0</v>
      </c>
      <c r="R235" s="75" t="s">
        <v>52</v>
      </c>
      <c r="S235" s="70" t="str">
        <f t="shared" ref="S235:T235" si="96">S234</f>
        <v>Parent ID</v>
      </c>
      <c r="T235" s="78">
        <f t="shared" si="96"/>
        <v>72080</v>
      </c>
      <c r="V235" s="79"/>
    </row>
    <row r="236" spans="1:29" s="70" customFormat="1" x14ac:dyDescent="0.2">
      <c r="A236" s="224" t="s">
        <v>129</v>
      </c>
      <c r="B236" s="154">
        <v>72083</v>
      </c>
      <c r="C236" s="70" t="str">
        <f>CONCATENATE("Passenger Intoxicated - ",C232)</f>
        <v>Passenger Intoxicated - Kurar_2</v>
      </c>
      <c r="D236" s="75" t="s">
        <v>54</v>
      </c>
      <c r="E236" s="70" t="str">
        <f t="shared" si="93"/>
        <v>MMRBEM_7_DOWN</v>
      </c>
      <c r="F236" s="70">
        <v>0</v>
      </c>
      <c r="G236" s="152">
        <f t="shared" si="94"/>
        <v>8105.4320000000007</v>
      </c>
      <c r="H236" s="159">
        <f t="shared" si="92"/>
        <v>8105.4320000000007</v>
      </c>
      <c r="I236" s="232">
        <f>IF("generated"=1, "Path=MMRBEM_7_DOWN, Scaled Offset=8105.4320000000006984919309616088867", 8511.07712205665)</f>
        <v>8511.0771220566494</v>
      </c>
      <c r="K236" s="76" t="str">
        <f t="shared" si="95"/>
        <v>BOTH</v>
      </c>
      <c r="M236" s="77">
        <f>M235</f>
        <v>-2.5</v>
      </c>
      <c r="N236" s="77">
        <f>N235</f>
        <v>0</v>
      </c>
      <c r="O236" s="77"/>
      <c r="P236" s="77">
        <v>270</v>
      </c>
      <c r="Q236" s="77">
        <f>Q235</f>
        <v>0</v>
      </c>
      <c r="R236" s="75" t="s">
        <v>52</v>
      </c>
      <c r="S236" s="70" t="str">
        <f t="shared" ref="S236:T236" si="97">S235</f>
        <v>Parent ID</v>
      </c>
      <c r="T236" s="78">
        <f t="shared" si="97"/>
        <v>72080</v>
      </c>
      <c r="V236" s="79"/>
    </row>
    <row r="237" spans="1:29" s="70" customFormat="1" x14ac:dyDescent="0.2">
      <c r="A237" s="224" t="s">
        <v>129</v>
      </c>
      <c r="B237" s="154">
        <v>72084</v>
      </c>
      <c r="C237" s="70" t="str">
        <f>CONCATENATE("Passenger Pram - ",C232)</f>
        <v>Passenger Pram - Kurar_2</v>
      </c>
      <c r="D237" s="75" t="s">
        <v>53</v>
      </c>
      <c r="E237" s="70" t="str">
        <f t="shared" si="93"/>
        <v>MMRBEM_7_DOWN</v>
      </c>
      <c r="F237" s="70">
        <v>0</v>
      </c>
      <c r="G237" s="152">
        <f t="shared" si="94"/>
        <v>8105.4320000000007</v>
      </c>
      <c r="H237" s="159">
        <f t="shared" si="92"/>
        <v>8105.4320000000007</v>
      </c>
      <c r="I237" s="232">
        <f>IF("generated"=1, "Path=MMRBEM_7_DOWN, Scaled Offset=8105.4320000000006984919309616088867", 8511.07712205665)</f>
        <v>8511.0771220566494</v>
      </c>
      <c r="K237" s="76" t="str">
        <f t="shared" si="95"/>
        <v>BOTH</v>
      </c>
      <c r="M237" s="77">
        <f>M236</f>
        <v>-2.5</v>
      </c>
      <c r="N237" s="77">
        <f>N236</f>
        <v>0</v>
      </c>
      <c r="O237" s="77"/>
      <c r="P237" s="77">
        <v>270</v>
      </c>
      <c r="Q237" s="77">
        <f>Q236</f>
        <v>0</v>
      </c>
      <c r="R237" s="75" t="s">
        <v>52</v>
      </c>
      <c r="S237" s="70" t="str">
        <f t="shared" ref="S237:T237" si="98">S236</f>
        <v>Parent ID</v>
      </c>
      <c r="T237" s="78">
        <f t="shared" si="98"/>
        <v>72080</v>
      </c>
      <c r="V237" s="79"/>
    </row>
    <row r="238" spans="1:29" s="164" customFormat="1" x14ac:dyDescent="0.2">
      <c r="A238" s="224" t="s">
        <v>129</v>
      </c>
      <c r="B238" s="81">
        <v>72281</v>
      </c>
      <c r="C238" s="70" t="str">
        <f>CONCATENATE("PSD - ",C232)</f>
        <v>PSD - Kurar_2</v>
      </c>
      <c r="D238" s="165" t="s">
        <v>1042</v>
      </c>
      <c r="E238" s="70" t="str">
        <f t="shared" si="93"/>
        <v>MMRBEM_7_DOWN</v>
      </c>
      <c r="F238" s="70">
        <v>0</v>
      </c>
      <c r="G238" s="152">
        <f t="shared" si="94"/>
        <v>8105.4320000000007</v>
      </c>
      <c r="H238" s="159">
        <f t="shared" si="92"/>
        <v>8105.4320000000007</v>
      </c>
      <c r="I238" s="232">
        <f>IF("generated"=1, "Path=MMRBEM_7_DOWN, Scaled Offset=8105.4320000000006984919309616088867", 8511.07712205665)</f>
        <v>8511.0771220566494</v>
      </c>
      <c r="K238" s="76" t="str">
        <f t="shared" si="95"/>
        <v>BOTH</v>
      </c>
      <c r="M238" s="168">
        <f>M237+0.5</f>
        <v>-2</v>
      </c>
      <c r="N238" s="168"/>
      <c r="O238" s="168"/>
      <c r="P238" s="168"/>
      <c r="Q238" s="168"/>
      <c r="R238" s="165"/>
      <c r="S238" s="165" t="s">
        <v>1043</v>
      </c>
      <c r="T238" s="165" t="str">
        <f>_xlfn.CONCAT("PSD_",T233)</f>
        <v>PSD_KUR_PAS2</v>
      </c>
      <c r="U238" s="165" t="s">
        <v>926</v>
      </c>
      <c r="V238" s="165">
        <f>B232</f>
        <v>72079</v>
      </c>
      <c r="W238" s="165"/>
      <c r="X238" s="165"/>
    </row>
    <row r="239" spans="1:29" s="164" customFormat="1" x14ac:dyDescent="0.2">
      <c r="A239" s="224" t="s">
        <v>129</v>
      </c>
      <c r="B239" s="81">
        <v>72221</v>
      </c>
      <c r="C239" s="164" t="s">
        <v>987</v>
      </c>
      <c r="D239" s="140" t="s">
        <v>928</v>
      </c>
      <c r="E239" s="70" t="s">
        <v>126</v>
      </c>
      <c r="G239" s="166">
        <f>G240+22.2</f>
        <v>554.16000000000008</v>
      </c>
      <c r="H239" s="159">
        <f>F239+G239</f>
        <v>554.16000000000008</v>
      </c>
      <c r="I239" s="232">
        <f>IF("generated"=1, "Path=Track_10_Track_2, Scaled Offset=554.16000000000008185452315956354141", 554.16)</f>
        <v>554.16</v>
      </c>
      <c r="K239" s="167"/>
      <c r="M239" s="168"/>
      <c r="N239" s="168"/>
      <c r="O239" s="168"/>
      <c r="P239" s="168"/>
      <c r="Q239" s="168"/>
      <c r="R239" s="165" t="s">
        <v>1041</v>
      </c>
      <c r="S239" s="140" t="s">
        <v>926</v>
      </c>
      <c r="T239" s="143">
        <f>B232</f>
        <v>72079</v>
      </c>
      <c r="U239" s="140" t="s">
        <v>61</v>
      </c>
      <c r="V239" s="143" t="str">
        <f>X232</f>
        <v>KUR</v>
      </c>
      <c r="W239" s="140" t="s">
        <v>927</v>
      </c>
      <c r="X239" s="164">
        <v>1</v>
      </c>
    </row>
    <row r="240" spans="1:29" s="164" customFormat="1" x14ac:dyDescent="0.2">
      <c r="A240" s="224" t="s">
        <v>129</v>
      </c>
      <c r="B240" s="81">
        <v>72222</v>
      </c>
      <c r="C240" s="164" t="s">
        <v>988</v>
      </c>
      <c r="D240" s="140" t="s">
        <v>928</v>
      </c>
      <c r="E240" s="70" t="str">
        <f t="shared" ref="E240:E242" si="99">E239</f>
        <v>Track_10_Track_2</v>
      </c>
      <c r="G240" s="166">
        <v>531.96</v>
      </c>
      <c r="H240" s="159">
        <f t="shared" ref="H240:H241" si="100">F240+G240</f>
        <v>531.96</v>
      </c>
      <c r="I240" s="232">
        <f>IF("generated"=1, "Path=Track_10_Track_2, Scaled Offset=531.96000000000003637978807091712952", 531.96)</f>
        <v>531.96</v>
      </c>
      <c r="K240" s="167"/>
      <c r="M240" s="168"/>
      <c r="N240" s="168"/>
      <c r="O240" s="168"/>
      <c r="P240" s="168"/>
      <c r="Q240" s="168"/>
      <c r="R240" s="165" t="s">
        <v>1041</v>
      </c>
      <c r="S240" s="140" t="s">
        <v>926</v>
      </c>
      <c r="T240" s="143">
        <f>T239</f>
        <v>72079</v>
      </c>
      <c r="U240" s="140" t="s">
        <v>61</v>
      </c>
      <c r="V240" s="143" t="str">
        <f>V239</f>
        <v>KUR</v>
      </c>
      <c r="W240" s="140" t="s">
        <v>927</v>
      </c>
      <c r="X240" s="164">
        <v>1</v>
      </c>
    </row>
    <row r="241" spans="1:29" s="164" customFormat="1" x14ac:dyDescent="0.2">
      <c r="A241" s="224" t="s">
        <v>129</v>
      </c>
      <c r="B241" s="81">
        <v>72223</v>
      </c>
      <c r="C241" s="164" t="s">
        <v>989</v>
      </c>
      <c r="D241" s="140" t="s">
        <v>928</v>
      </c>
      <c r="E241" s="70" t="str">
        <f t="shared" si="99"/>
        <v>Track_10_Track_2</v>
      </c>
      <c r="G241" s="166">
        <v>395.98</v>
      </c>
      <c r="H241" s="159">
        <f t="shared" si="100"/>
        <v>395.98</v>
      </c>
      <c r="I241" s="232">
        <f>IF("generated"=1, "Path=Track_10_Track_2, Scaled Offset=395.98000000000001818989403545856476", 395.98)</f>
        <v>395.98</v>
      </c>
      <c r="K241" s="167"/>
      <c r="L241" s="164">
        <v>1</v>
      </c>
      <c r="M241" s="168"/>
      <c r="N241" s="168"/>
      <c r="O241" s="168"/>
      <c r="P241" s="168"/>
      <c r="Q241" s="168"/>
      <c r="R241" s="165" t="s">
        <v>1041</v>
      </c>
      <c r="S241" s="140" t="s">
        <v>926</v>
      </c>
      <c r="T241" s="143">
        <f>T240</f>
        <v>72079</v>
      </c>
      <c r="U241" s="140" t="s">
        <v>61</v>
      </c>
      <c r="V241" s="143" t="str">
        <f>V240</f>
        <v>KUR</v>
      </c>
      <c r="W241" s="140" t="s">
        <v>927</v>
      </c>
      <c r="X241" s="164">
        <v>2</v>
      </c>
    </row>
    <row r="242" spans="1:29" s="164" customFormat="1" x14ac:dyDescent="0.2">
      <c r="A242" s="224" t="s">
        <v>129</v>
      </c>
      <c r="B242" s="81">
        <v>72224</v>
      </c>
      <c r="C242" s="164" t="s">
        <v>990</v>
      </c>
      <c r="D242" s="140" t="s">
        <v>928</v>
      </c>
      <c r="E242" s="70" t="str">
        <f t="shared" si="99"/>
        <v>Track_10_Track_2</v>
      </c>
      <c r="G242" s="166">
        <f>G241-22.2</f>
        <v>373.78000000000003</v>
      </c>
      <c r="H242" s="159">
        <f t="shared" si="92"/>
        <v>373.78000000000003</v>
      </c>
      <c r="I242" s="232">
        <f>IF("generated"=1, "Path=Track_10_Track_2, Scaled Offset=373.78000000000002955857780762016773", 373.78)</f>
        <v>373.78</v>
      </c>
      <c r="K242" s="167"/>
      <c r="L242" s="164">
        <v>1</v>
      </c>
      <c r="M242" s="168"/>
      <c r="N242" s="168"/>
      <c r="O242" s="168"/>
      <c r="P242" s="168"/>
      <c r="Q242" s="168"/>
      <c r="R242" s="165" t="s">
        <v>1041</v>
      </c>
      <c r="S242" s="140" t="s">
        <v>926</v>
      </c>
      <c r="T242" s="143">
        <f>T241</f>
        <v>72079</v>
      </c>
      <c r="U242" s="140" t="s">
        <v>61</v>
      </c>
      <c r="V242" s="143" t="str">
        <f>V241</f>
        <v>KUR</v>
      </c>
      <c r="W242" s="140" t="s">
        <v>927</v>
      </c>
      <c r="X242" s="164">
        <v>2</v>
      </c>
    </row>
    <row r="243" spans="1:29" s="61" customFormat="1" x14ac:dyDescent="0.2">
      <c r="A243" s="224" t="s">
        <v>930</v>
      </c>
      <c r="B243" s="81">
        <v>72078</v>
      </c>
      <c r="C243" s="61" t="str">
        <f>LEFT(C232,LEN(C232)-2)</f>
        <v>Kurar</v>
      </c>
      <c r="E243" s="61" t="s">
        <v>126</v>
      </c>
      <c r="G243" s="153"/>
      <c r="H243" s="160">
        <v>369</v>
      </c>
      <c r="I243" s="232">
        <f>IF("generated"=1, "Path=Track_10_Track_2, Scaled Offset=369", 369)</f>
        <v>369</v>
      </c>
      <c r="J243" s="89"/>
      <c r="M243" s="88"/>
      <c r="N243" s="88"/>
      <c r="O243" s="88"/>
      <c r="P243" s="88"/>
      <c r="Q243" s="88"/>
      <c r="S243" s="61" t="s">
        <v>41</v>
      </c>
      <c r="T243" s="87">
        <v>40</v>
      </c>
      <c r="V243" s="87"/>
    </row>
    <row r="244" spans="1:29" s="61" customFormat="1" x14ac:dyDescent="0.2">
      <c r="A244" s="224" t="s">
        <v>930</v>
      </c>
      <c r="B244" s="81">
        <v>72078</v>
      </c>
      <c r="C244" s="61" t="str">
        <f>C243</f>
        <v>Kurar</v>
      </c>
      <c r="E244" s="61" t="s">
        <v>126</v>
      </c>
      <c r="G244" s="153"/>
      <c r="H244" s="160">
        <v>559</v>
      </c>
      <c r="I244" s="232">
        <f>IF("generated"=1, "Path=Track_10_Track_2, Scaled Offset=559", 559)</f>
        <v>559</v>
      </c>
      <c r="J244" s="89"/>
      <c r="M244" s="88"/>
      <c r="N244" s="88"/>
      <c r="O244" s="88"/>
      <c r="P244" s="88"/>
      <c r="Q244" s="88"/>
      <c r="S244" s="61" t="s">
        <v>41</v>
      </c>
      <c r="T244" s="87">
        <v>40</v>
      </c>
      <c r="V244" s="87"/>
    </row>
    <row r="246" spans="1:29" s="62" customFormat="1" x14ac:dyDescent="0.2">
      <c r="A246" s="224" t="s">
        <v>129</v>
      </c>
      <c r="B246" s="154">
        <v>72078</v>
      </c>
      <c r="C246" s="61" t="s">
        <v>329</v>
      </c>
      <c r="D246" s="62" t="s">
        <v>69</v>
      </c>
      <c r="E246" s="94"/>
      <c r="G246" s="149"/>
      <c r="H246" s="158"/>
      <c r="I246" s="162"/>
      <c r="M246" s="63"/>
      <c r="N246" s="63"/>
      <c r="O246" s="63"/>
      <c r="P246" s="63"/>
      <c r="Q246" s="63"/>
      <c r="T246" s="64"/>
      <c r="V246" s="64"/>
    </row>
    <row r="247" spans="1:29" s="60" customFormat="1" x14ac:dyDescent="0.2">
      <c r="A247" s="224"/>
      <c r="B247" s="81"/>
      <c r="C247" s="60" t="s">
        <v>332</v>
      </c>
      <c r="D247" s="60" t="s">
        <v>51</v>
      </c>
      <c r="E247" s="94" t="s">
        <v>187</v>
      </c>
      <c r="G247" s="150">
        <v>8014.0240000000003</v>
      </c>
      <c r="H247" s="159">
        <f>G247+F247</f>
        <v>8014.0240000000003</v>
      </c>
      <c r="I247" s="90"/>
      <c r="J247" s="65"/>
      <c r="K247" s="60" t="s">
        <v>64</v>
      </c>
      <c r="M247" s="66">
        <v>2.5</v>
      </c>
      <c r="N247" s="66">
        <v>0</v>
      </c>
      <c r="O247" s="66"/>
      <c r="P247" s="66"/>
      <c r="Q247" s="66"/>
      <c r="R247" s="60" t="str">
        <f>$E$3</f>
        <v>Red</v>
      </c>
      <c r="S247" s="60" t="s">
        <v>68</v>
      </c>
      <c r="T247" s="67" t="str">
        <f>C247</f>
        <v>Kurar_S2</v>
      </c>
      <c r="U247" s="60" t="s">
        <v>50</v>
      </c>
      <c r="V247" s="67">
        <v>0</v>
      </c>
      <c r="W247" s="60" t="s">
        <v>67</v>
      </c>
      <c r="X247" s="60">
        <v>1</v>
      </c>
      <c r="Y247" s="60" t="s">
        <v>66</v>
      </c>
      <c r="Z247" s="60">
        <v>1</v>
      </c>
      <c r="AA247" s="60" t="s">
        <v>329</v>
      </c>
      <c r="AB247" s="74" t="s">
        <v>334</v>
      </c>
      <c r="AC247" s="60">
        <v>1</v>
      </c>
    </row>
    <row r="248" spans="1:29" s="60" customFormat="1" x14ac:dyDescent="0.2">
      <c r="A248" s="224"/>
      <c r="B248" s="81"/>
      <c r="C248" s="60" t="str">
        <f>AA248&amp;"_"&amp;AC248</f>
        <v>Kurar_1</v>
      </c>
      <c r="D248" s="60" t="s">
        <v>51</v>
      </c>
      <c r="E248" s="60" t="str">
        <f>E247</f>
        <v>MMRBEM_7_UP</v>
      </c>
      <c r="G248" s="151">
        <f>AVERAGE(H247,H249)</f>
        <v>8106.5239999999994</v>
      </c>
      <c r="H248" s="159">
        <f>F248+G248</f>
        <v>8106.5239999999994</v>
      </c>
      <c r="I248" s="90"/>
      <c r="J248" s="65"/>
      <c r="K248" s="60" t="s">
        <v>64</v>
      </c>
      <c r="M248" s="66">
        <v>2.5</v>
      </c>
      <c r="N248" s="66">
        <v>0</v>
      </c>
      <c r="O248" s="66"/>
      <c r="P248" s="66"/>
      <c r="Q248" s="66"/>
      <c r="R248" s="60" t="str">
        <f>$E$4</f>
        <v>Green</v>
      </c>
      <c r="S248" s="60" t="s">
        <v>68</v>
      </c>
      <c r="T248" s="67" t="str">
        <f>C248</f>
        <v>Kurar_1</v>
      </c>
      <c r="U248" s="60" t="s">
        <v>50</v>
      </c>
      <c r="V248" s="67">
        <v>0</v>
      </c>
      <c r="W248" s="60" t="s">
        <v>67</v>
      </c>
      <c r="X248" s="60">
        <v>1</v>
      </c>
      <c r="Y248" s="60" t="s">
        <v>66</v>
      </c>
      <c r="Z248" s="60">
        <v>1</v>
      </c>
      <c r="AA248" s="60" t="str">
        <f>AA247</f>
        <v>Kurar</v>
      </c>
      <c r="AB248" s="60" t="str">
        <f>AB247</f>
        <v>KUR</v>
      </c>
      <c r="AC248" s="60">
        <f>AC247</f>
        <v>1</v>
      </c>
    </row>
    <row r="249" spans="1:29" s="60" customFormat="1" x14ac:dyDescent="0.2">
      <c r="A249" s="224"/>
      <c r="B249" s="81"/>
      <c r="C249" s="60" t="s">
        <v>333</v>
      </c>
      <c r="D249" s="60" t="s">
        <v>51</v>
      </c>
      <c r="E249" s="94" t="s">
        <v>187</v>
      </c>
      <c r="G249" s="150">
        <v>8199.0239999999994</v>
      </c>
      <c r="H249" s="159">
        <f>G249+F249</f>
        <v>8199.0239999999994</v>
      </c>
      <c r="I249" s="90"/>
      <c r="J249" s="65"/>
      <c r="K249" s="60" t="s">
        <v>64</v>
      </c>
      <c r="M249" s="66">
        <v>2.5</v>
      </c>
      <c r="N249" s="66">
        <v>0</v>
      </c>
      <c r="O249" s="66"/>
      <c r="P249" s="66"/>
      <c r="Q249" s="66"/>
      <c r="R249" s="60" t="str">
        <f>$E$3</f>
        <v>Red</v>
      </c>
      <c r="S249" s="60" t="s">
        <v>68</v>
      </c>
      <c r="T249" s="67" t="str">
        <f>C249</f>
        <v>Kurar_E2</v>
      </c>
      <c r="U249" s="60" t="s">
        <v>50</v>
      </c>
      <c r="V249" s="67">
        <v>0</v>
      </c>
      <c r="W249" s="60" t="s">
        <v>67</v>
      </c>
      <c r="X249" s="60">
        <v>1</v>
      </c>
      <c r="Y249" s="60" t="s">
        <v>66</v>
      </c>
      <c r="Z249" s="60">
        <v>1</v>
      </c>
      <c r="AA249" s="60" t="s">
        <v>329</v>
      </c>
      <c r="AB249" s="74" t="s">
        <v>334</v>
      </c>
      <c r="AC249" s="60">
        <v>1</v>
      </c>
    </row>
    <row r="250" spans="1:29" s="70" customFormat="1" x14ac:dyDescent="0.2">
      <c r="A250" s="224" t="s">
        <v>129</v>
      </c>
      <c r="B250" s="154">
        <v>72085</v>
      </c>
      <c r="C250" s="68" t="str">
        <f>C248</f>
        <v>Kurar_1</v>
      </c>
      <c r="D250" s="69" t="s">
        <v>65</v>
      </c>
      <c r="E250" s="70" t="str">
        <f>E248</f>
        <v>MMRBEM_7_UP</v>
      </c>
      <c r="F250" s="70">
        <f>F248</f>
        <v>0</v>
      </c>
      <c r="G250" s="152">
        <f>H248</f>
        <v>8106.5239999999994</v>
      </c>
      <c r="H250" s="159">
        <f t="shared" ref="H250:H260" si="101">F250+G250</f>
        <v>8106.5239999999994</v>
      </c>
      <c r="I250" s="232">
        <f>IF("generated"=1, "Path=MMRBEM_7_UP, Scaled Offset=8106.5239999999994324753060936927795", 8508.70119235355)</f>
        <v>8508.7011923535501</v>
      </c>
      <c r="K250" s="69" t="s">
        <v>64</v>
      </c>
      <c r="M250" s="71">
        <f>2*M248</f>
        <v>5</v>
      </c>
      <c r="N250" s="71">
        <v>0</v>
      </c>
      <c r="O250" s="71"/>
      <c r="P250" s="71">
        <v>0</v>
      </c>
      <c r="Q250" s="71">
        <v>0</v>
      </c>
      <c r="S250" s="69" t="s">
        <v>63</v>
      </c>
      <c r="T250" s="72">
        <f>ABS(H249-H247)</f>
        <v>184.99999999999909</v>
      </c>
      <c r="U250" s="69" t="s">
        <v>62</v>
      </c>
      <c r="V250" s="73" t="str">
        <f>C250</f>
        <v>Kurar_1</v>
      </c>
      <c r="W250" s="68" t="s">
        <v>61</v>
      </c>
      <c r="X250" s="74" t="s">
        <v>334</v>
      </c>
      <c r="Y250" s="74" t="s">
        <v>60</v>
      </c>
      <c r="Z250" s="70" t="str">
        <f>LEFT(V250, LEN(V250)-2)</f>
        <v>Kurar</v>
      </c>
    </row>
    <row r="251" spans="1:29" s="70" customFormat="1" x14ac:dyDescent="0.2">
      <c r="A251" s="224" t="s">
        <v>129</v>
      </c>
      <c r="B251" s="154">
        <v>72086</v>
      </c>
      <c r="C251" s="70" t="str">
        <f>CONCATENATE("Platform Passenger - ",C250)</f>
        <v>Platform Passenger - Kurar_1</v>
      </c>
      <c r="D251" s="75" t="s">
        <v>59</v>
      </c>
      <c r="E251" s="70" t="str">
        <f t="shared" ref="E251:E256" si="102">E250</f>
        <v>MMRBEM_7_UP</v>
      </c>
      <c r="F251" s="70">
        <v>0</v>
      </c>
      <c r="G251" s="152">
        <f t="shared" ref="G251:G256" si="103">G250</f>
        <v>8106.5239999999994</v>
      </c>
      <c r="H251" s="159">
        <f t="shared" si="101"/>
        <v>8106.5239999999994</v>
      </c>
      <c r="I251" s="232">
        <f>IF("generated"=1, "Path=MMRBEM_7_UP, Scaled Offset=8106.5239999999994324753060936927795", 8508.70119235355)</f>
        <v>8508.7011923535501</v>
      </c>
      <c r="K251" s="76" t="str">
        <f t="shared" ref="K251:K256" si="104">K250</f>
        <v>BOTH</v>
      </c>
      <c r="M251" s="77">
        <f>M250/2</f>
        <v>2.5</v>
      </c>
      <c r="N251" s="77">
        <f>N250</f>
        <v>0</v>
      </c>
      <c r="O251" s="77"/>
      <c r="P251" s="77">
        <v>90</v>
      </c>
      <c r="Q251" s="77">
        <f>Q250</f>
        <v>0</v>
      </c>
      <c r="R251" s="75" t="s">
        <v>1091</v>
      </c>
      <c r="S251" s="70" t="s">
        <v>58</v>
      </c>
      <c r="T251" s="78" t="str">
        <f>CONCATENATE(X250,"_PAS"&amp;AC249)</f>
        <v>KUR_PAS1</v>
      </c>
      <c r="V251" s="79"/>
    </row>
    <row r="252" spans="1:29" s="70" customFormat="1" x14ac:dyDescent="0.2">
      <c r="A252" s="224" t="s">
        <v>129</v>
      </c>
      <c r="B252" s="154">
        <v>72087</v>
      </c>
      <c r="C252" s="70" t="str">
        <f>CONCATENATE("Passenger Alighting - ",C250)</f>
        <v>Passenger Alighting - Kurar_1</v>
      </c>
      <c r="D252" s="75" t="s">
        <v>57</v>
      </c>
      <c r="E252" s="70" t="str">
        <f t="shared" si="102"/>
        <v>MMRBEM_7_UP</v>
      </c>
      <c r="F252" s="70">
        <v>0</v>
      </c>
      <c r="G252" s="152">
        <f t="shared" si="103"/>
        <v>8106.5239999999994</v>
      </c>
      <c r="H252" s="159">
        <f t="shared" si="101"/>
        <v>8106.5239999999994</v>
      </c>
      <c r="I252" s="232">
        <f>IF("generated"=1, "Path=MMRBEM_7_UP, Scaled Offset=8106.5239999999994324753060936927795", 8508.70119235355)</f>
        <v>8508.7011923535501</v>
      </c>
      <c r="K252" s="76" t="str">
        <f t="shared" si="104"/>
        <v>BOTH</v>
      </c>
      <c r="M252" s="77">
        <f>M251</f>
        <v>2.5</v>
      </c>
      <c r="N252" s="77">
        <f>N251</f>
        <v>0</v>
      </c>
      <c r="O252" s="77"/>
      <c r="P252" s="77">
        <v>90</v>
      </c>
      <c r="Q252" s="77">
        <f>Q251</f>
        <v>0</v>
      </c>
      <c r="R252" s="75" t="s">
        <v>1091</v>
      </c>
      <c r="S252" s="70" t="s">
        <v>56</v>
      </c>
      <c r="T252" s="78">
        <f>B251</f>
        <v>72086</v>
      </c>
      <c r="V252" s="79"/>
    </row>
    <row r="253" spans="1:29" s="70" customFormat="1" x14ac:dyDescent="0.2">
      <c r="A253" s="224" t="s">
        <v>129</v>
      </c>
      <c r="B253" s="154">
        <v>72088</v>
      </c>
      <c r="C253" s="70" t="str">
        <f>CONCATENATE("Passenger Arriving - ",C248)</f>
        <v>Passenger Arriving - Kurar_1</v>
      </c>
      <c r="D253" s="75" t="s">
        <v>55</v>
      </c>
      <c r="E253" s="70" t="str">
        <f t="shared" si="102"/>
        <v>MMRBEM_7_UP</v>
      </c>
      <c r="F253" s="70">
        <v>0</v>
      </c>
      <c r="G253" s="152">
        <f t="shared" si="103"/>
        <v>8106.5239999999994</v>
      </c>
      <c r="H253" s="159">
        <f t="shared" si="101"/>
        <v>8106.5239999999994</v>
      </c>
      <c r="I253" s="232">
        <f>IF("generated"=1, "Path=MMRBEM_7_UP, Scaled Offset=8106.5239999999994324753060936927795", 8508.70119235355)</f>
        <v>8508.7011923535501</v>
      </c>
      <c r="K253" s="76" t="str">
        <f t="shared" si="104"/>
        <v>BOTH</v>
      </c>
      <c r="M253" s="77">
        <f>M252</f>
        <v>2.5</v>
      </c>
      <c r="N253" s="77">
        <f>N252</f>
        <v>0</v>
      </c>
      <c r="O253" s="77"/>
      <c r="P253" s="77">
        <v>90</v>
      </c>
      <c r="Q253" s="77">
        <f>Q252</f>
        <v>0</v>
      </c>
      <c r="R253" s="75" t="s">
        <v>52</v>
      </c>
      <c r="S253" s="70" t="str">
        <f t="shared" ref="S253:T253" si="105">S252</f>
        <v>Parent ID</v>
      </c>
      <c r="T253" s="78">
        <f t="shared" si="105"/>
        <v>72086</v>
      </c>
      <c r="V253" s="79"/>
    </row>
    <row r="254" spans="1:29" s="70" customFormat="1" x14ac:dyDescent="0.2">
      <c r="A254" s="224" t="s">
        <v>129</v>
      </c>
      <c r="B254" s="154">
        <v>72089</v>
      </c>
      <c r="C254" s="70" t="str">
        <f>CONCATENATE("Passenger Intoxicated - ",C250)</f>
        <v>Passenger Intoxicated - Kurar_1</v>
      </c>
      <c r="D254" s="75" t="s">
        <v>54</v>
      </c>
      <c r="E254" s="70" t="str">
        <f t="shared" si="102"/>
        <v>MMRBEM_7_UP</v>
      </c>
      <c r="F254" s="70">
        <v>0</v>
      </c>
      <c r="G254" s="152">
        <f t="shared" si="103"/>
        <v>8106.5239999999994</v>
      </c>
      <c r="H254" s="159">
        <f t="shared" si="101"/>
        <v>8106.5239999999994</v>
      </c>
      <c r="I254" s="232">
        <f>IF("generated"=1, "Path=MMRBEM_7_UP, Scaled Offset=8106.5239999999994324753060936927795", 8508.70119235355)</f>
        <v>8508.7011923535501</v>
      </c>
      <c r="K254" s="76" t="str">
        <f t="shared" si="104"/>
        <v>BOTH</v>
      </c>
      <c r="M254" s="77">
        <f>M253</f>
        <v>2.5</v>
      </c>
      <c r="N254" s="77">
        <f>N253</f>
        <v>0</v>
      </c>
      <c r="O254" s="77"/>
      <c r="P254" s="77">
        <v>90</v>
      </c>
      <c r="Q254" s="77">
        <f>Q253</f>
        <v>0</v>
      </c>
      <c r="R254" s="75" t="s">
        <v>52</v>
      </c>
      <c r="S254" s="70" t="str">
        <f t="shared" ref="S254:T254" si="106">S253</f>
        <v>Parent ID</v>
      </c>
      <c r="T254" s="78">
        <f t="shared" si="106"/>
        <v>72086</v>
      </c>
      <c r="V254" s="79"/>
    </row>
    <row r="255" spans="1:29" s="70" customFormat="1" x14ac:dyDescent="0.2">
      <c r="A255" s="224" t="s">
        <v>129</v>
      </c>
      <c r="B255" s="154">
        <v>72090</v>
      </c>
      <c r="C255" s="70" t="str">
        <f>CONCATENATE("Passenger Pram - ",C250)</f>
        <v>Passenger Pram - Kurar_1</v>
      </c>
      <c r="D255" s="75" t="s">
        <v>53</v>
      </c>
      <c r="E255" s="70" t="str">
        <f t="shared" si="102"/>
        <v>MMRBEM_7_UP</v>
      </c>
      <c r="F255" s="70">
        <v>0</v>
      </c>
      <c r="G255" s="152">
        <f t="shared" si="103"/>
        <v>8106.5239999999994</v>
      </c>
      <c r="H255" s="159">
        <f t="shared" si="101"/>
        <v>8106.5239999999994</v>
      </c>
      <c r="I255" s="232">
        <f>IF("generated"=1, "Path=MMRBEM_7_UP, Scaled Offset=8106.5239999999994324753060936927795", 8508.70119235355)</f>
        <v>8508.7011923535501</v>
      </c>
      <c r="K255" s="76" t="str">
        <f t="shared" si="104"/>
        <v>BOTH</v>
      </c>
      <c r="M255" s="77">
        <f>M254</f>
        <v>2.5</v>
      </c>
      <c r="N255" s="77">
        <f>N254</f>
        <v>0</v>
      </c>
      <c r="O255" s="77"/>
      <c r="P255" s="77">
        <v>90</v>
      </c>
      <c r="Q255" s="77">
        <f>Q254</f>
        <v>0</v>
      </c>
      <c r="R255" s="75" t="s">
        <v>52</v>
      </c>
      <c r="S255" s="70" t="str">
        <f t="shared" ref="S255:T255" si="107">S254</f>
        <v>Parent ID</v>
      </c>
      <c r="T255" s="78">
        <f t="shared" si="107"/>
        <v>72086</v>
      </c>
      <c r="V255" s="79"/>
    </row>
    <row r="256" spans="1:29" s="164" customFormat="1" x14ac:dyDescent="0.2">
      <c r="A256" s="224" t="s">
        <v>129</v>
      </c>
      <c r="B256" s="81">
        <v>72282</v>
      </c>
      <c r="C256" s="70" t="str">
        <f>CONCATENATE("PSD - ",C250)</f>
        <v>PSD - Kurar_1</v>
      </c>
      <c r="D256" s="165" t="s">
        <v>1042</v>
      </c>
      <c r="E256" s="70" t="str">
        <f t="shared" si="102"/>
        <v>MMRBEM_7_UP</v>
      </c>
      <c r="F256" s="70">
        <v>0</v>
      </c>
      <c r="G256" s="152">
        <f t="shared" si="103"/>
        <v>8106.5239999999994</v>
      </c>
      <c r="H256" s="159">
        <f t="shared" si="101"/>
        <v>8106.5239999999994</v>
      </c>
      <c r="I256" s="232">
        <f>IF("generated"=1, "Path=MMRBEM_7_UP, Scaled Offset=8106.5239999999994324753060936927795", 8508.70119235355)</f>
        <v>8508.7011923535501</v>
      </c>
      <c r="K256" s="76" t="str">
        <f t="shared" si="104"/>
        <v>BOTH</v>
      </c>
      <c r="M256" s="168">
        <f>M255-0.5</f>
        <v>2</v>
      </c>
      <c r="N256" s="168"/>
      <c r="O256" s="168"/>
      <c r="P256" s="168"/>
      <c r="Q256" s="168"/>
      <c r="R256" s="165"/>
      <c r="S256" s="165" t="s">
        <v>1043</v>
      </c>
      <c r="T256" s="165" t="str">
        <f>_xlfn.CONCAT("PSD_",T251)</f>
        <v>PSD_KUR_PAS1</v>
      </c>
      <c r="U256" s="165" t="s">
        <v>926</v>
      </c>
      <c r="V256" s="165">
        <f>B250</f>
        <v>72085</v>
      </c>
      <c r="W256" s="165"/>
      <c r="X256" s="165"/>
    </row>
    <row r="257" spans="1:29" s="164" customFormat="1" x14ac:dyDescent="0.2">
      <c r="A257" s="224" t="s">
        <v>129</v>
      </c>
      <c r="B257" s="81">
        <v>72225</v>
      </c>
      <c r="C257" s="164" t="s">
        <v>991</v>
      </c>
      <c r="D257" s="140" t="s">
        <v>928</v>
      </c>
      <c r="E257" s="70" t="s">
        <v>92</v>
      </c>
      <c r="G257" s="166">
        <f>G258+22.2</f>
        <v>554.26</v>
      </c>
      <c r="H257" s="159">
        <f t="shared" si="101"/>
        <v>554.26</v>
      </c>
      <c r="I257" s="232">
        <f>IF("generated"=1, "Path=Track_20_Track_2, Scaled Offset=554.25999999999999090505298227071762", 554.259999999999)</f>
        <v>554.25999999999897</v>
      </c>
      <c r="K257" s="167"/>
      <c r="M257" s="168"/>
      <c r="N257" s="168"/>
      <c r="O257" s="168"/>
      <c r="P257" s="168"/>
      <c r="Q257" s="168"/>
      <c r="R257" s="165" t="s">
        <v>1041</v>
      </c>
      <c r="S257" s="140" t="s">
        <v>926</v>
      </c>
      <c r="T257" s="143">
        <f>B250</f>
        <v>72085</v>
      </c>
      <c r="U257" s="140" t="s">
        <v>61</v>
      </c>
      <c r="V257" s="143" t="str">
        <f>X250</f>
        <v>KUR</v>
      </c>
      <c r="W257" s="140" t="s">
        <v>927</v>
      </c>
      <c r="X257" s="164">
        <v>2</v>
      </c>
    </row>
    <row r="258" spans="1:29" s="164" customFormat="1" x14ac:dyDescent="0.2">
      <c r="A258" s="224" t="s">
        <v>129</v>
      </c>
      <c r="B258" s="81">
        <v>72226</v>
      </c>
      <c r="C258" s="164" t="s">
        <v>992</v>
      </c>
      <c r="D258" s="140" t="s">
        <v>928</v>
      </c>
      <c r="E258" s="70" t="str">
        <f t="shared" ref="E258:E260" si="108">E257</f>
        <v>Track_20_Track_2</v>
      </c>
      <c r="G258" s="166">
        <v>532.05999999999995</v>
      </c>
      <c r="H258" s="159">
        <f t="shared" si="101"/>
        <v>532.05999999999995</v>
      </c>
      <c r="I258" s="232">
        <f>IF("generated"=1, "Path=Track_20_Track_2, Scaled Offset=532.05999999999994543031789362430573", 532.059999999999)</f>
        <v>532.05999999999904</v>
      </c>
      <c r="K258" s="167"/>
      <c r="M258" s="168"/>
      <c r="N258" s="168"/>
      <c r="O258" s="168"/>
      <c r="P258" s="168"/>
      <c r="Q258" s="168"/>
      <c r="R258" s="165" t="s">
        <v>1041</v>
      </c>
      <c r="S258" s="140" t="s">
        <v>926</v>
      </c>
      <c r="T258" s="143">
        <f>T257</f>
        <v>72085</v>
      </c>
      <c r="U258" s="140" t="s">
        <v>61</v>
      </c>
      <c r="V258" s="143" t="str">
        <f>V257</f>
        <v>KUR</v>
      </c>
      <c r="W258" s="140" t="s">
        <v>927</v>
      </c>
      <c r="X258" s="164">
        <v>2</v>
      </c>
    </row>
    <row r="259" spans="1:29" s="164" customFormat="1" x14ac:dyDescent="0.2">
      <c r="A259" s="224" t="s">
        <v>129</v>
      </c>
      <c r="B259" s="81">
        <v>72227</v>
      </c>
      <c r="C259" s="164" t="s">
        <v>993</v>
      </c>
      <c r="D259" s="140" t="s">
        <v>928</v>
      </c>
      <c r="E259" s="70" t="str">
        <f t="shared" si="108"/>
        <v>Track_20_Track_2</v>
      </c>
      <c r="G259" s="166">
        <v>396.06</v>
      </c>
      <c r="H259" s="159">
        <f t="shared" si="101"/>
        <v>396.06</v>
      </c>
      <c r="I259" s="232">
        <f>IF("generated"=1, "Path=Track_20_Track_2, Scaled Offset=396.06000000000000227373675443232059", 396.06)</f>
        <v>396.06</v>
      </c>
      <c r="K259" s="167"/>
      <c r="L259" s="164">
        <v>1</v>
      </c>
      <c r="M259" s="168"/>
      <c r="N259" s="168"/>
      <c r="O259" s="168"/>
      <c r="P259" s="168"/>
      <c r="Q259" s="168"/>
      <c r="R259" s="165" t="s">
        <v>1041</v>
      </c>
      <c r="S259" s="140" t="s">
        <v>926</v>
      </c>
      <c r="T259" s="143">
        <f>T258</f>
        <v>72085</v>
      </c>
      <c r="U259" s="140" t="s">
        <v>61</v>
      </c>
      <c r="V259" s="143" t="str">
        <f>V258</f>
        <v>KUR</v>
      </c>
      <c r="W259" s="140" t="s">
        <v>927</v>
      </c>
      <c r="X259" s="164">
        <v>1</v>
      </c>
    </row>
    <row r="260" spans="1:29" s="164" customFormat="1" x14ac:dyDescent="0.2">
      <c r="A260" s="224" t="s">
        <v>129</v>
      </c>
      <c r="B260" s="81">
        <v>72228</v>
      </c>
      <c r="C260" s="164" t="s">
        <v>994</v>
      </c>
      <c r="D260" s="140" t="s">
        <v>928</v>
      </c>
      <c r="E260" s="70" t="str">
        <f t="shared" si="108"/>
        <v>Track_20_Track_2</v>
      </c>
      <c r="G260" s="166">
        <f>G259-22.2</f>
        <v>373.86</v>
      </c>
      <c r="H260" s="159">
        <f t="shared" si="101"/>
        <v>373.86</v>
      </c>
      <c r="I260" s="232">
        <f>IF("generated"=1, "Path=Track_20_Track_2, Scaled Offset=373.86000000000001364242052659392357", 373.86)</f>
        <v>373.86</v>
      </c>
      <c r="K260" s="167"/>
      <c r="L260" s="164">
        <v>1</v>
      </c>
      <c r="M260" s="168"/>
      <c r="N260" s="168"/>
      <c r="O260" s="168"/>
      <c r="P260" s="168"/>
      <c r="Q260" s="168"/>
      <c r="R260" s="165" t="s">
        <v>1041</v>
      </c>
      <c r="S260" s="140" t="s">
        <v>926</v>
      </c>
      <c r="T260" s="143">
        <f>T259</f>
        <v>72085</v>
      </c>
      <c r="U260" s="140" t="s">
        <v>61</v>
      </c>
      <c r="V260" s="143" t="str">
        <f>V259</f>
        <v>KUR</v>
      </c>
      <c r="W260" s="140" t="s">
        <v>927</v>
      </c>
      <c r="X260" s="164">
        <v>1</v>
      </c>
    </row>
    <row r="261" spans="1:29" s="61" customFormat="1" x14ac:dyDescent="0.2">
      <c r="A261" s="224" t="s">
        <v>930</v>
      </c>
      <c r="B261" s="81">
        <v>72078</v>
      </c>
      <c r="C261" s="61" t="str">
        <f>LEFT(C250,LEN(C250)-2)</f>
        <v>Kurar</v>
      </c>
      <c r="E261" s="61" t="s">
        <v>92</v>
      </c>
      <c r="G261" s="153"/>
      <c r="H261" s="160">
        <v>369</v>
      </c>
      <c r="I261" s="232">
        <f>IF("generated"=1, "Path=Track_20_Track_2, Scaled Offset=369", 369)</f>
        <v>369</v>
      </c>
      <c r="J261" s="89"/>
      <c r="M261" s="88"/>
      <c r="N261" s="88"/>
      <c r="O261" s="88"/>
      <c r="P261" s="88"/>
      <c r="Q261" s="88"/>
      <c r="S261" s="61" t="s">
        <v>41</v>
      </c>
      <c r="T261" s="87">
        <v>40</v>
      </c>
      <c r="V261" s="87"/>
    </row>
    <row r="262" spans="1:29" s="61" customFormat="1" x14ac:dyDescent="0.2">
      <c r="A262" s="224" t="s">
        <v>930</v>
      </c>
      <c r="B262" s="81">
        <v>72078</v>
      </c>
      <c r="C262" s="61" t="str">
        <f>C261</f>
        <v>Kurar</v>
      </c>
      <c r="E262" s="61" t="s">
        <v>92</v>
      </c>
      <c r="G262" s="153"/>
      <c r="H262" s="160">
        <v>558</v>
      </c>
      <c r="I262" s="232">
        <f>IF("generated"=1, "Path=Track_20_Track_2, Scaled Offset=558", 558)</f>
        <v>558</v>
      </c>
      <c r="J262" s="89"/>
      <c r="M262" s="88"/>
      <c r="N262" s="88"/>
      <c r="O262" s="88"/>
      <c r="P262" s="88"/>
      <c r="Q262" s="88"/>
      <c r="S262" s="61" t="s">
        <v>41</v>
      </c>
      <c r="T262" s="87">
        <v>40</v>
      </c>
      <c r="V262" s="87"/>
    </row>
    <row r="264" spans="1:29" s="62" customFormat="1" x14ac:dyDescent="0.2">
      <c r="A264" s="224" t="s">
        <v>129</v>
      </c>
      <c r="B264" s="154">
        <v>72091</v>
      </c>
      <c r="C264" s="61" t="s">
        <v>335</v>
      </c>
      <c r="D264" s="62" t="s">
        <v>69</v>
      </c>
      <c r="G264" s="149"/>
      <c r="H264" s="158"/>
      <c r="I264" s="162"/>
      <c r="M264" s="63"/>
      <c r="N264" s="63"/>
      <c r="O264" s="63"/>
      <c r="P264" s="63"/>
      <c r="Q264" s="63"/>
      <c r="T264" s="64"/>
      <c r="V264" s="64"/>
    </row>
    <row r="265" spans="1:29" s="60" customFormat="1" x14ac:dyDescent="0.2">
      <c r="A265" s="224"/>
      <c r="B265" s="81"/>
      <c r="C265" s="60" t="s">
        <v>336</v>
      </c>
      <c r="D265" s="60" t="s">
        <v>51</v>
      </c>
      <c r="E265" t="s">
        <v>188</v>
      </c>
      <c r="G265" s="150">
        <v>9283.4359999999997</v>
      </c>
      <c r="H265" s="159">
        <f>G265+F265</f>
        <v>9283.4359999999997</v>
      </c>
      <c r="I265" s="90">
        <f>IF("generated"=1, "Path=Intermodal_Coronel_Platform_2_2, Scaled Offset=160.40000000000000568434188608080149", 160.4)</f>
        <v>160.4</v>
      </c>
      <c r="J265" s="65"/>
      <c r="K265" s="60" t="s">
        <v>64</v>
      </c>
      <c r="M265" s="66">
        <v>-2.5</v>
      </c>
      <c r="N265" s="66">
        <v>0</v>
      </c>
      <c r="O265" s="66"/>
      <c r="P265" s="66"/>
      <c r="Q265" s="66"/>
      <c r="R265" s="60" t="str">
        <f>$E$3</f>
        <v>Red</v>
      </c>
      <c r="S265" s="60" t="s">
        <v>68</v>
      </c>
      <c r="T265" s="67" t="str">
        <f>C265</f>
        <v>Akurli_S1</v>
      </c>
      <c r="U265" s="60" t="s">
        <v>50</v>
      </c>
      <c r="V265" s="67">
        <v>0</v>
      </c>
      <c r="W265" s="60" t="s">
        <v>67</v>
      </c>
      <c r="X265" s="60">
        <v>1</v>
      </c>
      <c r="Y265" s="60" t="s">
        <v>66</v>
      </c>
      <c r="Z265" s="60">
        <v>1</v>
      </c>
      <c r="AA265" s="61" t="s">
        <v>335</v>
      </c>
      <c r="AB265" s="74" t="s">
        <v>340</v>
      </c>
      <c r="AC265" s="60">
        <v>1</v>
      </c>
    </row>
    <row r="266" spans="1:29" s="60" customFormat="1" x14ac:dyDescent="0.2">
      <c r="A266" s="224"/>
      <c r="B266" s="81"/>
      <c r="C266" s="60" t="str">
        <f>AA266&amp;"_"&amp;AC266</f>
        <v>Akurli_1</v>
      </c>
      <c r="D266" s="60" t="s">
        <v>51</v>
      </c>
      <c r="E266" t="s">
        <v>188</v>
      </c>
      <c r="G266" s="151">
        <f>AVERAGE(H265,H267)</f>
        <v>9375.9359999999997</v>
      </c>
      <c r="H266" s="159">
        <f>F266+G266</f>
        <v>9375.9359999999997</v>
      </c>
      <c r="I266" s="90">
        <f>IF("generated"=1, "Path=East_Central_Line1_5, Scaled Offset=69.5", 69.5)</f>
        <v>69.5</v>
      </c>
      <c r="J266" s="65"/>
      <c r="K266" s="60" t="s">
        <v>64</v>
      </c>
      <c r="M266" s="66">
        <f>M265</f>
        <v>-2.5</v>
      </c>
      <c r="N266" s="66">
        <v>0</v>
      </c>
      <c r="O266" s="66"/>
      <c r="P266" s="66"/>
      <c r="Q266" s="66"/>
      <c r="R266" s="60" t="str">
        <f>$E$4</f>
        <v>Green</v>
      </c>
      <c r="S266" s="60" t="s">
        <v>68</v>
      </c>
      <c r="T266" s="67" t="str">
        <f>C266</f>
        <v>Akurli_1</v>
      </c>
      <c r="U266" s="60" t="s">
        <v>50</v>
      </c>
      <c r="V266" s="67">
        <v>0</v>
      </c>
      <c r="W266" s="60" t="s">
        <v>67</v>
      </c>
      <c r="X266" s="60">
        <v>1</v>
      </c>
      <c r="Y266" s="60" t="s">
        <v>66</v>
      </c>
      <c r="Z266" s="60">
        <v>1</v>
      </c>
      <c r="AA266" s="60" t="str">
        <f>AA265</f>
        <v>Akurli</v>
      </c>
      <c r="AB266" s="60" t="str">
        <f>AB265</f>
        <v>AKU</v>
      </c>
      <c r="AC266" s="60">
        <f>AC265</f>
        <v>1</v>
      </c>
    </row>
    <row r="267" spans="1:29" s="60" customFormat="1" x14ac:dyDescent="0.2">
      <c r="A267" s="224"/>
      <c r="B267" s="81"/>
      <c r="C267" s="60" t="s">
        <v>337</v>
      </c>
      <c r="D267" s="60" t="s">
        <v>51</v>
      </c>
      <c r="E267" t="s">
        <v>188</v>
      </c>
      <c r="G267" s="150">
        <v>9468.4359999999997</v>
      </c>
      <c r="H267" s="159">
        <f>G267+F267</f>
        <v>9468.4359999999997</v>
      </c>
      <c r="I267" s="90">
        <f>IF("generated"=1, "Path=Intermodal_Coronel_Platform_2_2, Scaled Offset=231", 231)</f>
        <v>231</v>
      </c>
      <c r="J267" s="65"/>
      <c r="K267" s="60" t="s">
        <v>64</v>
      </c>
      <c r="M267" s="66">
        <v>-2.5</v>
      </c>
      <c r="N267" s="66">
        <v>0</v>
      </c>
      <c r="O267" s="66"/>
      <c r="P267" s="66"/>
      <c r="Q267" s="66"/>
      <c r="R267" s="60" t="str">
        <f>$E$3</f>
        <v>Red</v>
      </c>
      <c r="S267" s="60" t="s">
        <v>68</v>
      </c>
      <c r="T267" s="67" t="str">
        <f>C267</f>
        <v>Akurli_E1</v>
      </c>
      <c r="U267" s="60" t="s">
        <v>50</v>
      </c>
      <c r="V267" s="67">
        <v>0</v>
      </c>
      <c r="W267" s="60" t="s">
        <v>67</v>
      </c>
      <c r="X267" s="60">
        <v>1</v>
      </c>
      <c r="Y267" s="60" t="s">
        <v>66</v>
      </c>
      <c r="Z267" s="60">
        <v>1</v>
      </c>
      <c r="AA267" s="61" t="s">
        <v>335</v>
      </c>
      <c r="AB267" s="74" t="s">
        <v>340</v>
      </c>
      <c r="AC267" s="60">
        <v>1</v>
      </c>
    </row>
    <row r="268" spans="1:29" s="70" customFormat="1" x14ac:dyDescent="0.2">
      <c r="A268" s="224" t="s">
        <v>129</v>
      </c>
      <c r="B268" s="154">
        <v>72092</v>
      </c>
      <c r="C268" s="68" t="str">
        <f>C266</f>
        <v>Akurli_1</v>
      </c>
      <c r="D268" s="69" t="s">
        <v>65</v>
      </c>
      <c r="E268" s="70" t="str">
        <f>E266</f>
        <v>MMRBEM_7_DOWN</v>
      </c>
      <c r="F268" s="70">
        <f>F266</f>
        <v>0</v>
      </c>
      <c r="G268" s="152">
        <f>H266</f>
        <v>9375.9359999999997</v>
      </c>
      <c r="H268" s="159">
        <f t="shared" ref="H268:H278" si="109">F268+G268</f>
        <v>9375.9359999999997</v>
      </c>
      <c r="I268" s="232">
        <f>IF("generated"=1, "Path=MMRBEM_7_DOWN, Scaled Offset=9375.9359999999996944097802042961121", 9757.43682366589)</f>
        <v>9757.4368236658902</v>
      </c>
      <c r="K268" s="69" t="s">
        <v>64</v>
      </c>
      <c r="M268" s="71">
        <f>2*M266</f>
        <v>-5</v>
      </c>
      <c r="N268" s="71">
        <v>0</v>
      </c>
      <c r="O268" s="71"/>
      <c r="P268" s="71">
        <v>0</v>
      </c>
      <c r="Q268" s="71">
        <v>0</v>
      </c>
      <c r="S268" s="69" t="s">
        <v>63</v>
      </c>
      <c r="T268" s="72">
        <f>ABS(H267-H265)</f>
        <v>185</v>
      </c>
      <c r="U268" s="69" t="s">
        <v>62</v>
      </c>
      <c r="V268" s="73" t="str">
        <f>C268</f>
        <v>Akurli_1</v>
      </c>
      <c r="W268" s="68" t="s">
        <v>61</v>
      </c>
      <c r="X268" s="74" t="s">
        <v>340</v>
      </c>
      <c r="Y268" s="74" t="s">
        <v>60</v>
      </c>
      <c r="Z268" s="70" t="str">
        <f>LEFT(V268, LEN(V268)-2)</f>
        <v>Akurli</v>
      </c>
    </row>
    <row r="269" spans="1:29" s="70" customFormat="1" x14ac:dyDescent="0.2">
      <c r="A269" s="224" t="s">
        <v>129</v>
      </c>
      <c r="B269" s="154">
        <v>72093</v>
      </c>
      <c r="C269" s="70" t="str">
        <f>CONCATENATE("Platform Passenger - ",C268)</f>
        <v>Platform Passenger - Akurli_1</v>
      </c>
      <c r="D269" s="75" t="s">
        <v>59</v>
      </c>
      <c r="E269" s="70" t="str">
        <f t="shared" ref="E269:E274" si="110">E268</f>
        <v>MMRBEM_7_DOWN</v>
      </c>
      <c r="F269" s="70">
        <v>0</v>
      </c>
      <c r="G269" s="152">
        <f t="shared" ref="G269:G274" si="111">G268</f>
        <v>9375.9359999999997</v>
      </c>
      <c r="H269" s="159">
        <f t="shared" si="109"/>
        <v>9375.9359999999997</v>
      </c>
      <c r="I269" s="232">
        <f>IF("generated"=1, "Path=MMRBEM_7_DOWN, Scaled Offset=9375.9359999999996944097802042961121", 9757.43682366589)</f>
        <v>9757.4368236658902</v>
      </c>
      <c r="K269" s="76" t="str">
        <f t="shared" ref="K269:K274" si="112">K268</f>
        <v>BOTH</v>
      </c>
      <c r="M269" s="77">
        <f>M268/2</f>
        <v>-2.5</v>
      </c>
      <c r="N269" s="77">
        <f>N268</f>
        <v>0</v>
      </c>
      <c r="O269" s="77"/>
      <c r="P269" s="77">
        <v>270</v>
      </c>
      <c r="Q269" s="77">
        <f>Q268</f>
        <v>0</v>
      </c>
      <c r="R269" s="75" t="s">
        <v>1091</v>
      </c>
      <c r="S269" s="70" t="s">
        <v>58</v>
      </c>
      <c r="T269" s="78" t="str">
        <f>CONCATENATE(X268,"_PAS"&amp;AC267)</f>
        <v>AKU_PAS1</v>
      </c>
      <c r="V269" s="79"/>
    </row>
    <row r="270" spans="1:29" s="70" customFormat="1" x14ac:dyDescent="0.2">
      <c r="A270" s="224" t="s">
        <v>129</v>
      </c>
      <c r="B270" s="154">
        <v>72094</v>
      </c>
      <c r="C270" s="70" t="str">
        <f>CONCATENATE("Passenger Alighting - ",C268)</f>
        <v>Passenger Alighting - Akurli_1</v>
      </c>
      <c r="D270" s="75" t="s">
        <v>57</v>
      </c>
      <c r="E270" s="70" t="str">
        <f t="shared" si="110"/>
        <v>MMRBEM_7_DOWN</v>
      </c>
      <c r="F270" s="70">
        <v>0</v>
      </c>
      <c r="G270" s="152">
        <f t="shared" si="111"/>
        <v>9375.9359999999997</v>
      </c>
      <c r="H270" s="159">
        <f t="shared" si="109"/>
        <v>9375.9359999999997</v>
      </c>
      <c r="I270" s="232">
        <f>IF("generated"=1, "Path=MMRBEM_7_DOWN, Scaled Offset=9375.9359999999996944097802042961121", 9757.43682366589)</f>
        <v>9757.4368236658902</v>
      </c>
      <c r="K270" s="76" t="str">
        <f t="shared" si="112"/>
        <v>BOTH</v>
      </c>
      <c r="M270" s="77">
        <f>M269</f>
        <v>-2.5</v>
      </c>
      <c r="N270" s="77">
        <f>N269</f>
        <v>0</v>
      </c>
      <c r="O270" s="77"/>
      <c r="P270" s="77">
        <v>270</v>
      </c>
      <c r="Q270" s="77">
        <f>Q269</f>
        <v>0</v>
      </c>
      <c r="R270" s="75" t="s">
        <v>1091</v>
      </c>
      <c r="S270" s="70" t="s">
        <v>56</v>
      </c>
      <c r="T270" s="78">
        <f>B269</f>
        <v>72093</v>
      </c>
      <c r="V270" s="79"/>
    </row>
    <row r="271" spans="1:29" s="70" customFormat="1" x14ac:dyDescent="0.2">
      <c r="A271" s="224" t="s">
        <v>129</v>
      </c>
      <c r="B271" s="154">
        <v>72095</v>
      </c>
      <c r="C271" s="70" t="str">
        <f>CONCATENATE("Passenger Arriving - ",C266)</f>
        <v>Passenger Arriving - Akurli_1</v>
      </c>
      <c r="D271" s="75" t="s">
        <v>55</v>
      </c>
      <c r="E271" s="70" t="str">
        <f t="shared" si="110"/>
        <v>MMRBEM_7_DOWN</v>
      </c>
      <c r="F271" s="70">
        <v>0</v>
      </c>
      <c r="G271" s="152">
        <f t="shared" si="111"/>
        <v>9375.9359999999997</v>
      </c>
      <c r="H271" s="159">
        <f t="shared" si="109"/>
        <v>9375.9359999999997</v>
      </c>
      <c r="I271" s="232">
        <f>IF("generated"=1, "Path=MMRBEM_7_DOWN, Scaled Offset=9375.9359999999996944097802042961121", 9757.43682366589)</f>
        <v>9757.4368236658902</v>
      </c>
      <c r="K271" s="76" t="str">
        <f t="shared" si="112"/>
        <v>BOTH</v>
      </c>
      <c r="M271" s="77">
        <f>M270</f>
        <v>-2.5</v>
      </c>
      <c r="N271" s="77">
        <f>N270</f>
        <v>0</v>
      </c>
      <c r="O271" s="77"/>
      <c r="P271" s="77">
        <v>270</v>
      </c>
      <c r="Q271" s="77">
        <f>Q270</f>
        <v>0</v>
      </c>
      <c r="R271" s="75" t="s">
        <v>52</v>
      </c>
      <c r="S271" s="70" t="str">
        <f t="shared" ref="S271:T271" si="113">S270</f>
        <v>Parent ID</v>
      </c>
      <c r="T271" s="78">
        <f t="shared" si="113"/>
        <v>72093</v>
      </c>
      <c r="V271" s="79"/>
    </row>
    <row r="272" spans="1:29" s="70" customFormat="1" x14ac:dyDescent="0.2">
      <c r="A272" s="224" t="s">
        <v>129</v>
      </c>
      <c r="B272" s="154">
        <v>72096</v>
      </c>
      <c r="C272" s="70" t="str">
        <f>CONCATENATE("Passenger Intoxicated - ",C268)</f>
        <v>Passenger Intoxicated - Akurli_1</v>
      </c>
      <c r="D272" s="75" t="s">
        <v>54</v>
      </c>
      <c r="E272" s="70" t="str">
        <f t="shared" si="110"/>
        <v>MMRBEM_7_DOWN</v>
      </c>
      <c r="F272" s="70">
        <v>0</v>
      </c>
      <c r="G272" s="152">
        <f t="shared" si="111"/>
        <v>9375.9359999999997</v>
      </c>
      <c r="H272" s="159">
        <f t="shared" si="109"/>
        <v>9375.9359999999997</v>
      </c>
      <c r="I272" s="232">
        <f>IF("generated"=1, "Path=MMRBEM_7_DOWN, Scaled Offset=9375.9359999999996944097802042961121", 9757.43682366589)</f>
        <v>9757.4368236658902</v>
      </c>
      <c r="K272" s="76" t="str">
        <f t="shared" si="112"/>
        <v>BOTH</v>
      </c>
      <c r="M272" s="77">
        <f>M271</f>
        <v>-2.5</v>
      </c>
      <c r="N272" s="77">
        <f>N271</f>
        <v>0</v>
      </c>
      <c r="O272" s="77"/>
      <c r="P272" s="77">
        <v>270</v>
      </c>
      <c r="Q272" s="77">
        <f>Q271</f>
        <v>0</v>
      </c>
      <c r="R272" s="75" t="s">
        <v>52</v>
      </c>
      <c r="S272" s="70" t="str">
        <f t="shared" ref="S272:T272" si="114">S271</f>
        <v>Parent ID</v>
      </c>
      <c r="T272" s="78">
        <f t="shared" si="114"/>
        <v>72093</v>
      </c>
      <c r="V272" s="79"/>
    </row>
    <row r="273" spans="1:29" s="70" customFormat="1" x14ac:dyDescent="0.2">
      <c r="A273" s="224" t="s">
        <v>129</v>
      </c>
      <c r="B273" s="154">
        <v>72097</v>
      </c>
      <c r="C273" s="70" t="str">
        <f>CONCATENATE("Passenger Pram - ",C268)</f>
        <v>Passenger Pram - Akurli_1</v>
      </c>
      <c r="D273" s="75" t="s">
        <v>53</v>
      </c>
      <c r="E273" s="70" t="str">
        <f t="shared" si="110"/>
        <v>MMRBEM_7_DOWN</v>
      </c>
      <c r="F273" s="70">
        <v>0</v>
      </c>
      <c r="G273" s="152">
        <f t="shared" si="111"/>
        <v>9375.9359999999997</v>
      </c>
      <c r="H273" s="159">
        <f t="shared" si="109"/>
        <v>9375.9359999999997</v>
      </c>
      <c r="I273" s="232">
        <f>IF("generated"=1, "Path=MMRBEM_7_DOWN, Scaled Offset=9375.9359999999996944097802042961121", 9757.43682366589)</f>
        <v>9757.4368236658902</v>
      </c>
      <c r="K273" s="76" t="str">
        <f t="shared" si="112"/>
        <v>BOTH</v>
      </c>
      <c r="M273" s="77">
        <f>M272</f>
        <v>-2.5</v>
      </c>
      <c r="N273" s="77">
        <f>N272</f>
        <v>0</v>
      </c>
      <c r="O273" s="77"/>
      <c r="P273" s="77">
        <v>270</v>
      </c>
      <c r="Q273" s="77">
        <f>Q272</f>
        <v>0</v>
      </c>
      <c r="R273" s="75" t="s">
        <v>52</v>
      </c>
      <c r="S273" s="70" t="str">
        <f t="shared" ref="S273:T273" si="115">S272</f>
        <v>Parent ID</v>
      </c>
      <c r="T273" s="78">
        <f t="shared" si="115"/>
        <v>72093</v>
      </c>
      <c r="V273" s="79"/>
    </row>
    <row r="274" spans="1:29" s="164" customFormat="1" x14ac:dyDescent="0.2">
      <c r="A274" s="224" t="s">
        <v>129</v>
      </c>
      <c r="B274" s="81">
        <v>72283</v>
      </c>
      <c r="C274" s="70" t="str">
        <f>CONCATENATE("PSD - ",C268)</f>
        <v>PSD - Akurli_1</v>
      </c>
      <c r="D274" s="165" t="s">
        <v>1042</v>
      </c>
      <c r="E274" s="70" t="str">
        <f t="shared" si="110"/>
        <v>MMRBEM_7_DOWN</v>
      </c>
      <c r="F274" s="70">
        <v>0</v>
      </c>
      <c r="G274" s="152">
        <f t="shared" si="111"/>
        <v>9375.9359999999997</v>
      </c>
      <c r="H274" s="159">
        <f t="shared" si="109"/>
        <v>9375.9359999999997</v>
      </c>
      <c r="I274" s="232">
        <f>IF("generated"=1, "Path=MMRBEM_7_DOWN, Scaled Offset=9375.9359999999996944097802042961121", 9757.43682366589)</f>
        <v>9757.4368236658902</v>
      </c>
      <c r="K274" s="76" t="str">
        <f t="shared" si="112"/>
        <v>BOTH</v>
      </c>
      <c r="M274" s="168">
        <f>M273+0.5</f>
        <v>-2</v>
      </c>
      <c r="N274" s="168"/>
      <c r="O274" s="168"/>
      <c r="P274" s="168"/>
      <c r="Q274" s="168"/>
      <c r="R274" s="165"/>
      <c r="S274" s="165" t="s">
        <v>1043</v>
      </c>
      <c r="T274" s="165" t="str">
        <f>_xlfn.CONCAT("PSD_",T269)</f>
        <v>PSD_AKU_PAS1</v>
      </c>
      <c r="U274" s="165" t="s">
        <v>926</v>
      </c>
      <c r="V274" s="165">
        <f>B268</f>
        <v>72092</v>
      </c>
      <c r="W274" s="165"/>
      <c r="X274" s="165"/>
    </row>
    <row r="275" spans="1:29" s="164" customFormat="1" x14ac:dyDescent="0.2">
      <c r="A275" s="224" t="s">
        <v>129</v>
      </c>
      <c r="B275" s="81">
        <v>72229</v>
      </c>
      <c r="C275" s="164" t="s">
        <v>995</v>
      </c>
      <c r="D275" s="140" t="s">
        <v>928</v>
      </c>
      <c r="E275" s="70" t="s">
        <v>126</v>
      </c>
      <c r="G275" s="166">
        <f>G276-22.2</f>
        <v>1631.48</v>
      </c>
      <c r="H275" s="159">
        <f t="shared" si="109"/>
        <v>1631.48</v>
      </c>
      <c r="I275" s="232">
        <f>IF("generated"=1, "Path=Track_10_Track_2, Scaled Offset=1631.4800000000000181898940354585648", 1631.48)</f>
        <v>1631.48</v>
      </c>
      <c r="K275" s="167"/>
      <c r="L275" s="164">
        <v>1</v>
      </c>
      <c r="M275" s="168"/>
      <c r="N275" s="168"/>
      <c r="O275" s="168"/>
      <c r="P275" s="168"/>
      <c r="Q275" s="168"/>
      <c r="R275" s="165" t="s">
        <v>1041</v>
      </c>
      <c r="S275" s="140" t="s">
        <v>926</v>
      </c>
      <c r="T275" s="143">
        <f>B268</f>
        <v>72092</v>
      </c>
      <c r="U275" s="140" t="s">
        <v>61</v>
      </c>
      <c r="V275" s="143" t="str">
        <f>X268</f>
        <v>AKU</v>
      </c>
      <c r="W275" s="140" t="s">
        <v>927</v>
      </c>
      <c r="X275" s="164">
        <v>2</v>
      </c>
    </row>
    <row r="276" spans="1:29" s="164" customFormat="1" x14ac:dyDescent="0.2">
      <c r="A276" s="224" t="s">
        <v>129</v>
      </c>
      <c r="B276" s="81">
        <v>72230</v>
      </c>
      <c r="C276" s="164" t="s">
        <v>996</v>
      </c>
      <c r="D276" s="140" t="s">
        <v>928</v>
      </c>
      <c r="E276" s="70" t="str">
        <f t="shared" ref="E276:E278" si="116">E275</f>
        <v>Track_10_Track_2</v>
      </c>
      <c r="G276" s="166">
        <v>1653.68</v>
      </c>
      <c r="H276" s="159">
        <f t="shared" si="109"/>
        <v>1653.68</v>
      </c>
      <c r="I276" s="232">
        <f>IF("generated"=1, "Path=Track_10_Track_2, Scaled Offset=1653.6800000000000636646291241049767", 1653.68)</f>
        <v>1653.68</v>
      </c>
      <c r="K276" s="167"/>
      <c r="L276" s="164">
        <v>1</v>
      </c>
      <c r="M276" s="168"/>
      <c r="N276" s="168"/>
      <c r="O276" s="168"/>
      <c r="P276" s="168"/>
      <c r="Q276" s="168"/>
      <c r="R276" s="165" t="s">
        <v>1041</v>
      </c>
      <c r="S276" s="140" t="s">
        <v>926</v>
      </c>
      <c r="T276" s="143">
        <f>T275</f>
        <v>72092</v>
      </c>
      <c r="U276" s="140" t="s">
        <v>61</v>
      </c>
      <c r="V276" s="143" t="str">
        <f>V275</f>
        <v>AKU</v>
      </c>
      <c r="W276" s="140" t="s">
        <v>927</v>
      </c>
      <c r="X276" s="164">
        <v>2</v>
      </c>
    </row>
    <row r="277" spans="1:29" s="164" customFormat="1" x14ac:dyDescent="0.2">
      <c r="A277" s="224" t="s">
        <v>129</v>
      </c>
      <c r="B277" s="81">
        <v>72231</v>
      </c>
      <c r="C277" s="164" t="s">
        <v>997</v>
      </c>
      <c r="D277" s="140" t="s">
        <v>928</v>
      </c>
      <c r="E277" s="70" t="str">
        <f t="shared" si="116"/>
        <v>Track_10_Track_2</v>
      </c>
      <c r="G277" s="166">
        <v>1789.68</v>
      </c>
      <c r="H277" s="159">
        <f t="shared" si="109"/>
        <v>1789.68</v>
      </c>
      <c r="I277" s="232">
        <f>IF("generated"=1, "Path=Track_10_Track_2, Scaled Offset=1789.6800000000000636646291241049767", 1789.68)</f>
        <v>1789.68</v>
      </c>
      <c r="K277" s="167"/>
      <c r="M277" s="168"/>
      <c r="N277" s="168"/>
      <c r="O277" s="168"/>
      <c r="P277" s="168"/>
      <c r="Q277" s="168"/>
      <c r="R277" s="165" t="s">
        <v>1041</v>
      </c>
      <c r="S277" s="140" t="s">
        <v>926</v>
      </c>
      <c r="T277" s="143">
        <f>T276</f>
        <v>72092</v>
      </c>
      <c r="U277" s="140" t="s">
        <v>61</v>
      </c>
      <c r="V277" s="143" t="str">
        <f>V276</f>
        <v>AKU</v>
      </c>
      <c r="W277" s="140" t="s">
        <v>927</v>
      </c>
      <c r="X277" s="164">
        <v>1</v>
      </c>
    </row>
    <row r="278" spans="1:29" s="164" customFormat="1" x14ac:dyDescent="0.2">
      <c r="A278" s="224" t="s">
        <v>129</v>
      </c>
      <c r="B278" s="81">
        <v>72232</v>
      </c>
      <c r="C278" s="164" t="s">
        <v>998</v>
      </c>
      <c r="D278" s="140" t="s">
        <v>928</v>
      </c>
      <c r="E278" s="70" t="str">
        <f t="shared" si="116"/>
        <v>Track_10_Track_2</v>
      </c>
      <c r="G278" s="166">
        <f>G277+22.2</f>
        <v>1811.88</v>
      </c>
      <c r="H278" s="159">
        <f t="shared" si="109"/>
        <v>1811.88</v>
      </c>
      <c r="I278" s="232">
        <f>IF("generated"=1, "Path=Track_10_Track_2, Scaled Offset=1811.8800000000001091393642127513885", 1811.88)</f>
        <v>1811.88</v>
      </c>
      <c r="K278" s="167"/>
      <c r="M278" s="168"/>
      <c r="N278" s="168"/>
      <c r="O278" s="168"/>
      <c r="P278" s="168"/>
      <c r="Q278" s="168"/>
      <c r="R278" s="165" t="s">
        <v>1041</v>
      </c>
      <c r="S278" s="140" t="s">
        <v>926</v>
      </c>
      <c r="T278" s="143">
        <f>T277</f>
        <v>72092</v>
      </c>
      <c r="U278" s="140" t="s">
        <v>61</v>
      </c>
      <c r="V278" s="143" t="str">
        <f>V277</f>
        <v>AKU</v>
      </c>
      <c r="W278" s="140" t="s">
        <v>927</v>
      </c>
      <c r="X278" s="164">
        <v>1</v>
      </c>
    </row>
    <row r="279" spans="1:29" s="61" customFormat="1" x14ac:dyDescent="0.2">
      <c r="A279" s="224" t="s">
        <v>930</v>
      </c>
      <c r="B279" s="81">
        <v>72091</v>
      </c>
      <c r="C279" s="61" t="str">
        <f>LEFT(C268,LEN(C268)-2)</f>
        <v>Akurli</v>
      </c>
      <c r="E279" s="61" t="s">
        <v>126</v>
      </c>
      <c r="G279" s="153"/>
      <c r="H279" s="160">
        <v>1816</v>
      </c>
      <c r="I279" s="232">
        <f>IF("generated"=1, "Path=Track_10_Track_2, Scaled Offset=1816", 1816)</f>
        <v>1816</v>
      </c>
      <c r="J279" s="89"/>
      <c r="M279" s="88"/>
      <c r="N279" s="88"/>
      <c r="O279" s="88"/>
      <c r="P279" s="88"/>
      <c r="Q279" s="88"/>
      <c r="S279" s="61" t="s">
        <v>41</v>
      </c>
      <c r="T279" s="87">
        <v>40</v>
      </c>
      <c r="V279" s="87"/>
    </row>
    <row r="280" spans="1:29" s="61" customFormat="1" x14ac:dyDescent="0.2">
      <c r="A280" s="224" t="s">
        <v>930</v>
      </c>
      <c r="B280" s="81">
        <v>72091</v>
      </c>
      <c r="C280" s="61" t="str">
        <f>C279</f>
        <v>Akurli</v>
      </c>
      <c r="E280" s="61" t="s">
        <v>126</v>
      </c>
      <c r="G280" s="153"/>
      <c r="H280" s="160">
        <v>1627</v>
      </c>
      <c r="I280" s="232">
        <f>IF("generated"=1, "Path=Track_10_Track_2, Scaled Offset=1627", 1627)</f>
        <v>1627</v>
      </c>
      <c r="J280" s="89"/>
      <c r="M280" s="88"/>
      <c r="N280" s="88"/>
      <c r="O280" s="88"/>
      <c r="P280" s="88"/>
      <c r="Q280" s="88"/>
      <c r="S280" s="61" t="s">
        <v>41</v>
      </c>
      <c r="T280" s="87">
        <v>40</v>
      </c>
      <c r="V280" s="87"/>
    </row>
    <row r="282" spans="1:29" s="62" customFormat="1" x14ac:dyDescent="0.2">
      <c r="A282" s="224" t="s">
        <v>129</v>
      </c>
      <c r="B282" s="154">
        <v>72091</v>
      </c>
      <c r="C282" s="61" t="s">
        <v>335</v>
      </c>
      <c r="D282" s="62" t="s">
        <v>69</v>
      </c>
      <c r="E282" s="94"/>
      <c r="G282" s="149"/>
      <c r="H282" s="158"/>
      <c r="I282" s="162"/>
      <c r="M282" s="63"/>
      <c r="N282" s="63"/>
      <c r="O282" s="63"/>
      <c r="P282" s="63"/>
      <c r="Q282" s="63"/>
      <c r="T282" s="64"/>
      <c r="V282" s="64"/>
    </row>
    <row r="283" spans="1:29" s="60" customFormat="1" x14ac:dyDescent="0.2">
      <c r="A283" s="224"/>
      <c r="B283" s="81"/>
      <c r="C283" s="60" t="s">
        <v>338</v>
      </c>
      <c r="D283" s="60" t="s">
        <v>51</v>
      </c>
      <c r="E283" s="94" t="s">
        <v>187</v>
      </c>
      <c r="G283" s="150">
        <v>9283.5640000000003</v>
      </c>
      <c r="H283" s="159">
        <f>G283+F283</f>
        <v>9283.5640000000003</v>
      </c>
      <c r="I283" s="90"/>
      <c r="J283" s="65"/>
      <c r="K283" s="60" t="s">
        <v>64</v>
      </c>
      <c r="M283" s="66">
        <v>2.5</v>
      </c>
      <c r="N283" s="66">
        <v>0</v>
      </c>
      <c r="O283" s="66"/>
      <c r="P283" s="66"/>
      <c r="Q283" s="66"/>
      <c r="R283" s="60" t="str">
        <f>$E$3</f>
        <v>Red</v>
      </c>
      <c r="S283" s="60" t="s">
        <v>68</v>
      </c>
      <c r="T283" s="67" t="str">
        <f>C283</f>
        <v>Akurli_S2</v>
      </c>
      <c r="U283" s="60" t="s">
        <v>50</v>
      </c>
      <c r="V283" s="67">
        <v>0</v>
      </c>
      <c r="W283" s="60" t="s">
        <v>67</v>
      </c>
      <c r="X283" s="60">
        <v>1</v>
      </c>
      <c r="Y283" s="60" t="s">
        <v>66</v>
      </c>
      <c r="Z283" s="60">
        <v>1</v>
      </c>
      <c r="AA283" s="60" t="s">
        <v>335</v>
      </c>
      <c r="AB283" s="74" t="s">
        <v>340</v>
      </c>
      <c r="AC283" s="60">
        <v>2</v>
      </c>
    </row>
    <row r="284" spans="1:29" s="60" customFormat="1" x14ac:dyDescent="0.2">
      <c r="A284" s="224"/>
      <c r="B284" s="81"/>
      <c r="C284" s="60" t="str">
        <f>AA284&amp;"_"&amp;AC284</f>
        <v>Akurli_2</v>
      </c>
      <c r="D284" s="60" t="s">
        <v>51</v>
      </c>
      <c r="E284" s="60" t="str">
        <f>E283</f>
        <v>MMRBEM_7_UP</v>
      </c>
      <c r="G284" s="151">
        <f>AVERAGE(H283,H285)</f>
        <v>9376.0640000000003</v>
      </c>
      <c r="H284" s="159">
        <f>F284+G284</f>
        <v>9376.0640000000003</v>
      </c>
      <c r="I284" s="90"/>
      <c r="J284" s="65"/>
      <c r="K284" s="60" t="s">
        <v>64</v>
      </c>
      <c r="M284" s="66">
        <v>2.5</v>
      </c>
      <c r="N284" s="66">
        <v>0</v>
      </c>
      <c r="O284" s="66"/>
      <c r="P284" s="66"/>
      <c r="Q284" s="66"/>
      <c r="R284" s="60" t="str">
        <f>$E$4</f>
        <v>Green</v>
      </c>
      <c r="S284" s="60" t="s">
        <v>68</v>
      </c>
      <c r="T284" s="67" t="str">
        <f>C284</f>
        <v>Akurli_2</v>
      </c>
      <c r="U284" s="60" t="s">
        <v>50</v>
      </c>
      <c r="V284" s="67">
        <v>0</v>
      </c>
      <c r="W284" s="60" t="s">
        <v>67</v>
      </c>
      <c r="X284" s="60">
        <v>1</v>
      </c>
      <c r="Y284" s="60" t="s">
        <v>66</v>
      </c>
      <c r="Z284" s="60">
        <v>1</v>
      </c>
      <c r="AA284" s="60" t="str">
        <f>AA283</f>
        <v>Akurli</v>
      </c>
      <c r="AB284" s="60" t="str">
        <f>AB283</f>
        <v>AKU</v>
      </c>
      <c r="AC284" s="60">
        <f>AC283</f>
        <v>2</v>
      </c>
    </row>
    <row r="285" spans="1:29" s="60" customFormat="1" x14ac:dyDescent="0.2">
      <c r="A285" s="224"/>
      <c r="B285" s="81"/>
      <c r="C285" s="60" t="s">
        <v>339</v>
      </c>
      <c r="D285" s="60" t="s">
        <v>51</v>
      </c>
      <c r="E285" s="94" t="s">
        <v>187</v>
      </c>
      <c r="G285" s="150">
        <v>9468.5640000000003</v>
      </c>
      <c r="H285" s="159">
        <f>G285+F285</f>
        <v>9468.5640000000003</v>
      </c>
      <c r="I285" s="90"/>
      <c r="J285" s="65"/>
      <c r="K285" s="60" t="s">
        <v>64</v>
      </c>
      <c r="M285" s="66">
        <v>2.5</v>
      </c>
      <c r="N285" s="66">
        <v>0</v>
      </c>
      <c r="O285" s="66"/>
      <c r="P285" s="66"/>
      <c r="Q285" s="66"/>
      <c r="R285" s="60" t="str">
        <f>$E$3</f>
        <v>Red</v>
      </c>
      <c r="S285" s="60" t="s">
        <v>68</v>
      </c>
      <c r="T285" s="67" t="str">
        <f>C285</f>
        <v>Akurli_E2</v>
      </c>
      <c r="U285" s="60" t="s">
        <v>50</v>
      </c>
      <c r="V285" s="67">
        <v>0</v>
      </c>
      <c r="W285" s="60" t="s">
        <v>67</v>
      </c>
      <c r="X285" s="60">
        <v>1</v>
      </c>
      <c r="Y285" s="60" t="s">
        <v>66</v>
      </c>
      <c r="Z285" s="60">
        <v>1</v>
      </c>
      <c r="AA285" s="60" t="s">
        <v>335</v>
      </c>
      <c r="AB285" s="74" t="s">
        <v>340</v>
      </c>
      <c r="AC285" s="60">
        <v>2</v>
      </c>
    </row>
    <row r="286" spans="1:29" s="70" customFormat="1" x14ac:dyDescent="0.2">
      <c r="A286" s="224" t="s">
        <v>129</v>
      </c>
      <c r="B286" s="154">
        <v>72098</v>
      </c>
      <c r="C286" s="68" t="str">
        <f>C284</f>
        <v>Akurli_2</v>
      </c>
      <c r="D286" s="69" t="s">
        <v>65</v>
      </c>
      <c r="E286" s="70" t="str">
        <f>E284</f>
        <v>MMRBEM_7_UP</v>
      </c>
      <c r="F286" s="70">
        <f>F284</f>
        <v>0</v>
      </c>
      <c r="G286" s="152">
        <f>H284</f>
        <v>9376.0640000000003</v>
      </c>
      <c r="H286" s="159">
        <f t="shared" ref="H286:H296" si="117">F286+G286</f>
        <v>9376.0640000000003</v>
      </c>
      <c r="I286" s="232">
        <f>IF("generated"=1, "Path=MMRBEM_7_UP, Scaled Offset=9376.0640000000003055902197957038879", 9754.82956745522)</f>
        <v>9754.8295674552191</v>
      </c>
      <c r="K286" s="69" t="s">
        <v>64</v>
      </c>
      <c r="M286" s="71">
        <f>2*M284</f>
        <v>5</v>
      </c>
      <c r="N286" s="71">
        <v>0</v>
      </c>
      <c r="O286" s="71"/>
      <c r="P286" s="71">
        <v>0</v>
      </c>
      <c r="Q286" s="71">
        <v>0</v>
      </c>
      <c r="S286" s="69" t="s">
        <v>63</v>
      </c>
      <c r="T286" s="72">
        <f>ABS(H285-H283)</f>
        <v>185</v>
      </c>
      <c r="U286" s="69" t="s">
        <v>62</v>
      </c>
      <c r="V286" s="73" t="str">
        <f>C286</f>
        <v>Akurli_2</v>
      </c>
      <c r="W286" s="68" t="s">
        <v>61</v>
      </c>
      <c r="X286" s="74" t="s">
        <v>340</v>
      </c>
      <c r="Y286" s="74" t="s">
        <v>60</v>
      </c>
      <c r="Z286" s="70" t="str">
        <f>LEFT(V286, LEN(V286)-2)</f>
        <v>Akurli</v>
      </c>
    </row>
    <row r="287" spans="1:29" s="70" customFormat="1" x14ac:dyDescent="0.2">
      <c r="A287" s="224" t="s">
        <v>129</v>
      </c>
      <c r="B287" s="154">
        <v>72099</v>
      </c>
      <c r="C287" s="70" t="str">
        <f>CONCATENATE("Platform Passenger - ",C286)</f>
        <v>Platform Passenger - Akurli_2</v>
      </c>
      <c r="D287" s="75" t="s">
        <v>59</v>
      </c>
      <c r="E287" s="70" t="str">
        <f t="shared" ref="E287:E292" si="118">E286</f>
        <v>MMRBEM_7_UP</v>
      </c>
      <c r="F287" s="70">
        <v>0</v>
      </c>
      <c r="G287" s="152">
        <f t="shared" ref="G287:G292" si="119">G286</f>
        <v>9376.0640000000003</v>
      </c>
      <c r="H287" s="159">
        <f t="shared" si="117"/>
        <v>9376.0640000000003</v>
      </c>
      <c r="I287" s="232">
        <f>IF("generated"=1, "Path=MMRBEM_7_UP, Scaled Offset=9376.0640000000003055902197957038879", 9754.82956745522)</f>
        <v>9754.8295674552191</v>
      </c>
      <c r="K287" s="76" t="str">
        <f t="shared" ref="K287:K292" si="120">K286</f>
        <v>BOTH</v>
      </c>
      <c r="M287" s="77">
        <f>M286/2</f>
        <v>2.5</v>
      </c>
      <c r="N287" s="77">
        <f>N286</f>
        <v>0</v>
      </c>
      <c r="O287" s="77"/>
      <c r="P287" s="77">
        <v>90</v>
      </c>
      <c r="Q287" s="77">
        <f>Q286</f>
        <v>0</v>
      </c>
      <c r="R287" s="75" t="s">
        <v>1091</v>
      </c>
      <c r="S287" s="70" t="s">
        <v>58</v>
      </c>
      <c r="T287" s="78" t="str">
        <f>CONCATENATE(X286,"_PAS"&amp;AC285)</f>
        <v>AKU_PAS2</v>
      </c>
      <c r="V287" s="79"/>
    </row>
    <row r="288" spans="1:29" s="70" customFormat="1" x14ac:dyDescent="0.2">
      <c r="A288" s="224" t="s">
        <v>129</v>
      </c>
      <c r="B288" s="154">
        <v>72100</v>
      </c>
      <c r="C288" s="70" t="str">
        <f>CONCATENATE("Passenger Alighting - ",C286)</f>
        <v>Passenger Alighting - Akurli_2</v>
      </c>
      <c r="D288" s="75" t="s">
        <v>57</v>
      </c>
      <c r="E288" s="70" t="str">
        <f t="shared" si="118"/>
        <v>MMRBEM_7_UP</v>
      </c>
      <c r="F288" s="70">
        <v>0</v>
      </c>
      <c r="G288" s="152">
        <f t="shared" si="119"/>
        <v>9376.0640000000003</v>
      </c>
      <c r="H288" s="159">
        <f t="shared" si="117"/>
        <v>9376.0640000000003</v>
      </c>
      <c r="I288" s="232">
        <f>IF("generated"=1, "Path=MMRBEM_7_UP, Scaled Offset=9376.0640000000003055902197957038879", 9754.82956745522)</f>
        <v>9754.8295674552191</v>
      </c>
      <c r="K288" s="76" t="str">
        <f t="shared" si="120"/>
        <v>BOTH</v>
      </c>
      <c r="M288" s="77">
        <f>M287</f>
        <v>2.5</v>
      </c>
      <c r="N288" s="77">
        <f>N287</f>
        <v>0</v>
      </c>
      <c r="O288" s="77"/>
      <c r="P288" s="77">
        <v>90</v>
      </c>
      <c r="Q288" s="77">
        <f>Q287</f>
        <v>0</v>
      </c>
      <c r="R288" s="75" t="s">
        <v>1091</v>
      </c>
      <c r="S288" s="70" t="s">
        <v>56</v>
      </c>
      <c r="T288" s="78">
        <f>B287</f>
        <v>72099</v>
      </c>
      <c r="V288" s="79"/>
    </row>
    <row r="289" spans="1:29" s="70" customFormat="1" x14ac:dyDescent="0.2">
      <c r="A289" s="224" t="s">
        <v>129</v>
      </c>
      <c r="B289" s="154">
        <v>72101</v>
      </c>
      <c r="C289" s="70" t="str">
        <f>CONCATENATE("Passenger Arriving - ",C284)</f>
        <v>Passenger Arriving - Akurli_2</v>
      </c>
      <c r="D289" s="75" t="s">
        <v>55</v>
      </c>
      <c r="E289" s="70" t="str">
        <f t="shared" si="118"/>
        <v>MMRBEM_7_UP</v>
      </c>
      <c r="F289" s="70">
        <v>0</v>
      </c>
      <c r="G289" s="152">
        <f t="shared" si="119"/>
        <v>9376.0640000000003</v>
      </c>
      <c r="H289" s="159">
        <f t="shared" si="117"/>
        <v>9376.0640000000003</v>
      </c>
      <c r="I289" s="232">
        <f>IF("generated"=1, "Path=MMRBEM_7_UP, Scaled Offset=9376.0640000000003055902197957038879", 9754.82956745522)</f>
        <v>9754.8295674552191</v>
      </c>
      <c r="K289" s="76" t="str">
        <f t="shared" si="120"/>
        <v>BOTH</v>
      </c>
      <c r="M289" s="77">
        <f>M288</f>
        <v>2.5</v>
      </c>
      <c r="N289" s="77">
        <f>N288</f>
        <v>0</v>
      </c>
      <c r="O289" s="77"/>
      <c r="P289" s="77">
        <v>90</v>
      </c>
      <c r="Q289" s="77">
        <f>Q288</f>
        <v>0</v>
      </c>
      <c r="R289" s="75" t="s">
        <v>52</v>
      </c>
      <c r="S289" s="70" t="str">
        <f t="shared" ref="S289:T289" si="121">S288</f>
        <v>Parent ID</v>
      </c>
      <c r="T289" s="78">
        <f t="shared" si="121"/>
        <v>72099</v>
      </c>
      <c r="V289" s="79"/>
    </row>
    <row r="290" spans="1:29" s="70" customFormat="1" x14ac:dyDescent="0.2">
      <c r="A290" s="224" t="s">
        <v>129</v>
      </c>
      <c r="B290" s="154">
        <v>72102</v>
      </c>
      <c r="C290" s="70" t="str">
        <f>CONCATENATE("Passenger Intoxicated - ",C286)</f>
        <v>Passenger Intoxicated - Akurli_2</v>
      </c>
      <c r="D290" s="75" t="s">
        <v>54</v>
      </c>
      <c r="E290" s="70" t="str">
        <f t="shared" si="118"/>
        <v>MMRBEM_7_UP</v>
      </c>
      <c r="F290" s="70">
        <v>0</v>
      </c>
      <c r="G290" s="152">
        <f t="shared" si="119"/>
        <v>9376.0640000000003</v>
      </c>
      <c r="H290" s="159">
        <f t="shared" si="117"/>
        <v>9376.0640000000003</v>
      </c>
      <c r="I290" s="232">
        <f>IF("generated"=1, "Path=MMRBEM_7_UP, Scaled Offset=9376.0640000000003055902197957038879", 9754.82956745522)</f>
        <v>9754.8295674552191</v>
      </c>
      <c r="K290" s="76" t="str">
        <f t="shared" si="120"/>
        <v>BOTH</v>
      </c>
      <c r="M290" s="77">
        <f>M289</f>
        <v>2.5</v>
      </c>
      <c r="N290" s="77">
        <f>N289</f>
        <v>0</v>
      </c>
      <c r="O290" s="77"/>
      <c r="P290" s="77">
        <v>90</v>
      </c>
      <c r="Q290" s="77">
        <f>Q289</f>
        <v>0</v>
      </c>
      <c r="R290" s="75" t="s">
        <v>52</v>
      </c>
      <c r="S290" s="70" t="str">
        <f t="shared" ref="S290:T290" si="122">S289</f>
        <v>Parent ID</v>
      </c>
      <c r="T290" s="78">
        <f t="shared" si="122"/>
        <v>72099</v>
      </c>
      <c r="V290" s="79"/>
    </row>
    <row r="291" spans="1:29" s="70" customFormat="1" x14ac:dyDescent="0.2">
      <c r="A291" s="224" t="s">
        <v>129</v>
      </c>
      <c r="B291" s="154">
        <v>72103</v>
      </c>
      <c r="C291" s="70" t="str">
        <f>CONCATENATE("Passenger Pram - ",C286)</f>
        <v>Passenger Pram - Akurli_2</v>
      </c>
      <c r="D291" s="75" t="s">
        <v>53</v>
      </c>
      <c r="E291" s="70" t="str">
        <f t="shared" si="118"/>
        <v>MMRBEM_7_UP</v>
      </c>
      <c r="F291" s="70">
        <v>0</v>
      </c>
      <c r="G291" s="152">
        <f t="shared" si="119"/>
        <v>9376.0640000000003</v>
      </c>
      <c r="H291" s="159">
        <f t="shared" si="117"/>
        <v>9376.0640000000003</v>
      </c>
      <c r="I291" s="232">
        <f>IF("generated"=1, "Path=MMRBEM_7_UP, Scaled Offset=9376.0640000000003055902197957038879", 9754.82956745522)</f>
        <v>9754.8295674552191</v>
      </c>
      <c r="K291" s="76" t="str">
        <f t="shared" si="120"/>
        <v>BOTH</v>
      </c>
      <c r="M291" s="77">
        <f>M290</f>
        <v>2.5</v>
      </c>
      <c r="N291" s="77">
        <f>N290</f>
        <v>0</v>
      </c>
      <c r="O291" s="77"/>
      <c r="P291" s="77">
        <v>90</v>
      </c>
      <c r="Q291" s="77">
        <f>Q290</f>
        <v>0</v>
      </c>
      <c r="R291" s="75" t="s">
        <v>52</v>
      </c>
      <c r="S291" s="70" t="str">
        <f t="shared" ref="S291:T291" si="123">S290</f>
        <v>Parent ID</v>
      </c>
      <c r="T291" s="78">
        <f t="shared" si="123"/>
        <v>72099</v>
      </c>
      <c r="V291" s="79"/>
    </row>
    <row r="292" spans="1:29" s="164" customFormat="1" x14ac:dyDescent="0.2">
      <c r="A292" s="224" t="s">
        <v>129</v>
      </c>
      <c r="B292" s="81">
        <v>72284</v>
      </c>
      <c r="C292" s="70" t="str">
        <f>CONCATENATE("PSD - ",C286)</f>
        <v>PSD - Akurli_2</v>
      </c>
      <c r="D292" s="165" t="s">
        <v>1042</v>
      </c>
      <c r="E292" s="70" t="str">
        <f t="shared" si="118"/>
        <v>MMRBEM_7_UP</v>
      </c>
      <c r="F292" s="70">
        <v>0</v>
      </c>
      <c r="G292" s="152">
        <f t="shared" si="119"/>
        <v>9376.0640000000003</v>
      </c>
      <c r="H292" s="159">
        <f t="shared" si="117"/>
        <v>9376.0640000000003</v>
      </c>
      <c r="I292" s="232">
        <f>IF("generated"=1, "Path=MMRBEM_7_UP, Scaled Offset=9376.0640000000003055902197957038879", 9754.82956745522)</f>
        <v>9754.8295674552191</v>
      </c>
      <c r="K292" s="76" t="str">
        <f t="shared" si="120"/>
        <v>BOTH</v>
      </c>
      <c r="M292" s="168">
        <f>M291-0.5</f>
        <v>2</v>
      </c>
      <c r="N292" s="168"/>
      <c r="O292" s="168"/>
      <c r="P292" s="168"/>
      <c r="Q292" s="168"/>
      <c r="R292" s="165"/>
      <c r="S292" s="165" t="s">
        <v>1043</v>
      </c>
      <c r="T292" s="165" t="str">
        <f>_xlfn.CONCAT("PSD_",T287)</f>
        <v>PSD_AKU_PAS2</v>
      </c>
      <c r="U292" s="165" t="s">
        <v>926</v>
      </c>
      <c r="V292" s="165">
        <f>B286</f>
        <v>72098</v>
      </c>
      <c r="W292" s="165"/>
      <c r="X292" s="165"/>
    </row>
    <row r="293" spans="1:29" s="164" customFormat="1" x14ac:dyDescent="0.2">
      <c r="A293" s="224" t="s">
        <v>129</v>
      </c>
      <c r="B293" s="154">
        <v>72233</v>
      </c>
      <c r="C293" s="164" t="s">
        <v>999</v>
      </c>
      <c r="D293" s="140" t="s">
        <v>928</v>
      </c>
      <c r="E293" s="70" t="s">
        <v>92</v>
      </c>
      <c r="G293" s="166">
        <f>G294+22.2</f>
        <v>1811.13</v>
      </c>
      <c r="H293" s="159">
        <f t="shared" si="117"/>
        <v>1811.13</v>
      </c>
      <c r="I293" s="232">
        <f>IF("generated"=1, "Path=Track_20_Track_2, Scaled Offset=1811.1300000000001091393642127513885", 1811.13)</f>
        <v>1811.13</v>
      </c>
      <c r="K293" s="167"/>
      <c r="M293" s="168"/>
      <c r="N293" s="168"/>
      <c r="O293" s="168"/>
      <c r="P293" s="168"/>
      <c r="Q293" s="168"/>
      <c r="R293" s="165" t="s">
        <v>1041</v>
      </c>
      <c r="S293" s="140" t="s">
        <v>926</v>
      </c>
      <c r="T293" s="143">
        <f>B286</f>
        <v>72098</v>
      </c>
      <c r="U293" s="140" t="s">
        <v>61</v>
      </c>
      <c r="V293" s="143" t="str">
        <f>X286</f>
        <v>AKU</v>
      </c>
      <c r="W293" s="140" t="s">
        <v>927</v>
      </c>
      <c r="X293" s="164">
        <v>2</v>
      </c>
    </row>
    <row r="294" spans="1:29" s="164" customFormat="1" x14ac:dyDescent="0.2">
      <c r="A294" s="224" t="s">
        <v>129</v>
      </c>
      <c r="B294" s="154">
        <v>72234</v>
      </c>
      <c r="C294" s="164" t="s">
        <v>1000</v>
      </c>
      <c r="D294" s="140" t="s">
        <v>928</v>
      </c>
      <c r="E294" s="70" t="str">
        <f t="shared" ref="E294:E296" si="124">E293</f>
        <v>Track_20_Track_2</v>
      </c>
      <c r="G294" s="166">
        <v>1788.93</v>
      </c>
      <c r="H294" s="159">
        <f t="shared" si="117"/>
        <v>1788.93</v>
      </c>
      <c r="I294" s="232">
        <f>IF("generated"=1, "Path=Track_20_Track_2, Scaled Offset=1788.9300000000000636646291241049767", 1788.93)</f>
        <v>1788.93</v>
      </c>
      <c r="K294" s="167"/>
      <c r="M294" s="168"/>
      <c r="N294" s="168"/>
      <c r="O294" s="168"/>
      <c r="P294" s="168"/>
      <c r="Q294" s="168"/>
      <c r="R294" s="165" t="s">
        <v>1041</v>
      </c>
      <c r="S294" s="140" t="s">
        <v>926</v>
      </c>
      <c r="T294" s="143">
        <f>T293</f>
        <v>72098</v>
      </c>
      <c r="U294" s="140" t="s">
        <v>61</v>
      </c>
      <c r="V294" s="143" t="str">
        <f>V293</f>
        <v>AKU</v>
      </c>
      <c r="W294" s="140" t="s">
        <v>927</v>
      </c>
      <c r="X294" s="164">
        <v>2</v>
      </c>
    </row>
    <row r="295" spans="1:29" s="164" customFormat="1" x14ac:dyDescent="0.2">
      <c r="A295" s="224" t="s">
        <v>129</v>
      </c>
      <c r="B295" s="154">
        <v>72235</v>
      </c>
      <c r="C295" s="164" t="s">
        <v>1001</v>
      </c>
      <c r="D295" s="140" t="s">
        <v>928</v>
      </c>
      <c r="E295" s="70" t="str">
        <f t="shared" si="124"/>
        <v>Track_20_Track_2</v>
      </c>
      <c r="G295" s="166">
        <v>1652.76</v>
      </c>
      <c r="H295" s="159">
        <f t="shared" si="117"/>
        <v>1652.76</v>
      </c>
      <c r="I295" s="232">
        <f>IF("generated"=1, "Path=Track_20_Track_2, Scaled Offset=1652.7599999999999909050529822707176", 1652.75999999999)</f>
        <v>1652.75999999999</v>
      </c>
      <c r="K295" s="167"/>
      <c r="L295" s="164">
        <v>1</v>
      </c>
      <c r="M295" s="168"/>
      <c r="N295" s="168"/>
      <c r="O295" s="168"/>
      <c r="P295" s="168"/>
      <c r="Q295" s="168"/>
      <c r="R295" s="165" t="s">
        <v>1041</v>
      </c>
      <c r="S295" s="140" t="s">
        <v>926</v>
      </c>
      <c r="T295" s="143">
        <f>T294</f>
        <v>72098</v>
      </c>
      <c r="U295" s="140" t="s">
        <v>61</v>
      </c>
      <c r="V295" s="143" t="str">
        <f>V294</f>
        <v>AKU</v>
      </c>
      <c r="W295" s="140" t="s">
        <v>927</v>
      </c>
      <c r="X295" s="164">
        <v>1</v>
      </c>
    </row>
    <row r="296" spans="1:29" s="164" customFormat="1" x14ac:dyDescent="0.2">
      <c r="A296" s="224" t="s">
        <v>129</v>
      </c>
      <c r="B296" s="154">
        <v>72236</v>
      </c>
      <c r="C296" s="164" t="s">
        <v>1002</v>
      </c>
      <c r="D296" s="140" t="s">
        <v>928</v>
      </c>
      <c r="E296" s="70" t="str">
        <f t="shared" si="124"/>
        <v>Track_20_Track_2</v>
      </c>
      <c r="G296" s="166">
        <f>G295-22.2</f>
        <v>1630.56</v>
      </c>
      <c r="H296" s="159">
        <f t="shared" si="117"/>
        <v>1630.56</v>
      </c>
      <c r="I296" s="232">
        <f>IF("generated"=1, "Path=Track_20_Track_2, Scaled Offset=1630.5599999999999454303178936243057", 1630.55999999999)</f>
        <v>1630.5599999999899</v>
      </c>
      <c r="K296" s="167"/>
      <c r="L296" s="164">
        <v>1</v>
      </c>
      <c r="M296" s="168"/>
      <c r="N296" s="168"/>
      <c r="O296" s="168"/>
      <c r="P296" s="168"/>
      <c r="Q296" s="168"/>
      <c r="R296" s="165" t="s">
        <v>1041</v>
      </c>
      <c r="S296" s="140" t="s">
        <v>926</v>
      </c>
      <c r="T296" s="143">
        <f>T295</f>
        <v>72098</v>
      </c>
      <c r="U296" s="140" t="s">
        <v>61</v>
      </c>
      <c r="V296" s="143" t="str">
        <f>V295</f>
        <v>AKU</v>
      </c>
      <c r="W296" s="140" t="s">
        <v>927</v>
      </c>
      <c r="X296" s="164">
        <v>1</v>
      </c>
    </row>
    <row r="297" spans="1:29" s="61" customFormat="1" x14ac:dyDescent="0.2">
      <c r="A297" s="224" t="s">
        <v>930</v>
      </c>
      <c r="B297" s="154">
        <v>72091</v>
      </c>
      <c r="C297" s="61" t="str">
        <f>LEFT(C286,LEN(C286)-2)</f>
        <v>Akurli</v>
      </c>
      <c r="E297" s="61" t="s">
        <v>92</v>
      </c>
      <c r="G297" s="153"/>
      <c r="H297" s="160">
        <v>1626</v>
      </c>
      <c r="I297" s="232">
        <f>IF("generated"=1, "Path=Track_20_Track_2, Scaled Offset=1626", 1626)</f>
        <v>1626</v>
      </c>
      <c r="J297" s="89"/>
      <c r="M297" s="88"/>
      <c r="N297" s="88"/>
      <c r="O297" s="88"/>
      <c r="P297" s="88"/>
      <c r="Q297" s="88"/>
      <c r="S297" s="61" t="s">
        <v>41</v>
      </c>
      <c r="T297" s="87">
        <v>40</v>
      </c>
      <c r="V297" s="87"/>
    </row>
    <row r="298" spans="1:29" s="61" customFormat="1" x14ac:dyDescent="0.2">
      <c r="A298" s="224" t="s">
        <v>930</v>
      </c>
      <c r="B298" s="154">
        <v>72091</v>
      </c>
      <c r="C298" s="61" t="str">
        <f>C297</f>
        <v>Akurli</v>
      </c>
      <c r="E298" s="61" t="s">
        <v>92</v>
      </c>
      <c r="G298" s="153"/>
      <c r="H298" s="160">
        <v>1815</v>
      </c>
      <c r="I298" s="232">
        <f>IF("generated"=1, "Path=Track_20_Track_2, Scaled Offset=1815", 1815)</f>
        <v>1815</v>
      </c>
      <c r="J298" s="89"/>
      <c r="M298" s="88"/>
      <c r="N298" s="88"/>
      <c r="O298" s="88"/>
      <c r="P298" s="88"/>
      <c r="Q298" s="88"/>
      <c r="S298" s="61" t="s">
        <v>41</v>
      </c>
      <c r="T298" s="87">
        <v>40</v>
      </c>
      <c r="V298" s="87"/>
    </row>
    <row r="300" spans="1:29" s="62" customFormat="1" x14ac:dyDescent="0.2">
      <c r="A300" s="224" t="s">
        <v>129</v>
      </c>
      <c r="B300" s="154">
        <v>72104</v>
      </c>
      <c r="C300" s="61" t="s">
        <v>341</v>
      </c>
      <c r="D300" s="62" t="s">
        <v>69</v>
      </c>
      <c r="G300" s="149"/>
      <c r="H300" s="158"/>
      <c r="I300" s="162"/>
      <c r="M300" s="63"/>
      <c r="N300" s="63"/>
      <c r="O300" s="63"/>
      <c r="P300" s="63"/>
      <c r="Q300" s="63"/>
      <c r="T300" s="64"/>
      <c r="V300" s="64"/>
    </row>
    <row r="301" spans="1:29" s="60" customFormat="1" x14ac:dyDescent="0.2">
      <c r="A301" s="224"/>
      <c r="B301" s="81"/>
      <c r="C301" s="60" t="s">
        <v>342</v>
      </c>
      <c r="D301" s="60" t="s">
        <v>51</v>
      </c>
      <c r="E301" t="s">
        <v>188</v>
      </c>
      <c r="G301" s="150">
        <v>9991.1479999999992</v>
      </c>
      <c r="H301" s="159">
        <f>G301+F301</f>
        <v>9991.1479999999992</v>
      </c>
      <c r="I301" s="90">
        <f>IF("generated"=1, "Path=Intermodal_Coronel_Platform_2_2, Scaled Offset=160.40000000000000568434188608080149", 160.4)</f>
        <v>160.4</v>
      </c>
      <c r="J301" s="65"/>
      <c r="K301" s="60" t="s">
        <v>64</v>
      </c>
      <c r="M301" s="66">
        <v>-2.5</v>
      </c>
      <c r="N301" s="66">
        <v>0</v>
      </c>
      <c r="O301" s="66"/>
      <c r="P301" s="66"/>
      <c r="Q301" s="66"/>
      <c r="R301" s="60" t="str">
        <f>$E$3</f>
        <v>Red</v>
      </c>
      <c r="S301" s="60" t="s">
        <v>68</v>
      </c>
      <c r="T301" s="67" t="str">
        <f>C301</f>
        <v>Poisar_S1</v>
      </c>
      <c r="U301" s="60" t="s">
        <v>50</v>
      </c>
      <c r="V301" s="67">
        <v>0</v>
      </c>
      <c r="W301" s="60" t="s">
        <v>67</v>
      </c>
      <c r="X301" s="60">
        <v>1</v>
      </c>
      <c r="Y301" s="60" t="s">
        <v>66</v>
      </c>
      <c r="Z301" s="60">
        <v>1</v>
      </c>
      <c r="AA301" s="61" t="s">
        <v>341</v>
      </c>
      <c r="AB301" s="74" t="s">
        <v>346</v>
      </c>
      <c r="AC301" s="60">
        <v>2</v>
      </c>
    </row>
    <row r="302" spans="1:29" s="60" customFormat="1" x14ac:dyDescent="0.2">
      <c r="A302" s="224"/>
      <c r="B302" s="81"/>
      <c r="C302" s="60" t="str">
        <f>AA302&amp;"_"&amp;AC302</f>
        <v>Poisar_2</v>
      </c>
      <c r="D302" s="60" t="s">
        <v>51</v>
      </c>
      <c r="E302" t="s">
        <v>188</v>
      </c>
      <c r="G302" s="151">
        <f>AVERAGE(H301,H303)</f>
        <v>10083.647999999999</v>
      </c>
      <c r="H302" s="159">
        <f>F302+G302</f>
        <v>10083.647999999999</v>
      </c>
      <c r="I302" s="90">
        <f>IF("generated"=1, "Path=East_Central_Line1_5, Scaled Offset=69.5", 69.5)</f>
        <v>69.5</v>
      </c>
      <c r="J302" s="65"/>
      <c r="K302" s="60" t="s">
        <v>64</v>
      </c>
      <c r="M302" s="66">
        <f>M301</f>
        <v>-2.5</v>
      </c>
      <c r="N302" s="66">
        <v>0</v>
      </c>
      <c r="O302" s="66"/>
      <c r="P302" s="66"/>
      <c r="Q302" s="66"/>
      <c r="R302" s="60" t="str">
        <f>$E$4</f>
        <v>Green</v>
      </c>
      <c r="S302" s="60" t="s">
        <v>68</v>
      </c>
      <c r="T302" s="67" t="str">
        <f>C302</f>
        <v>Poisar_2</v>
      </c>
      <c r="U302" s="60" t="s">
        <v>50</v>
      </c>
      <c r="V302" s="67">
        <v>0</v>
      </c>
      <c r="W302" s="60" t="s">
        <v>67</v>
      </c>
      <c r="X302" s="60">
        <v>1</v>
      </c>
      <c r="Y302" s="60" t="s">
        <v>66</v>
      </c>
      <c r="Z302" s="60">
        <v>1</v>
      </c>
      <c r="AA302" s="60" t="str">
        <f>AA301</f>
        <v>Poisar</v>
      </c>
      <c r="AB302" s="60" t="str">
        <f>AB301</f>
        <v>POI</v>
      </c>
      <c r="AC302" s="60">
        <f>AC301</f>
        <v>2</v>
      </c>
    </row>
    <row r="303" spans="1:29" s="60" customFormat="1" x14ac:dyDescent="0.2">
      <c r="A303" s="224"/>
      <c r="B303" s="81"/>
      <c r="C303" s="60" t="s">
        <v>343</v>
      </c>
      <c r="D303" s="60" t="s">
        <v>51</v>
      </c>
      <c r="E303" t="s">
        <v>188</v>
      </c>
      <c r="G303" s="150">
        <v>10176.147999999999</v>
      </c>
      <c r="H303" s="159">
        <f>G303+F303</f>
        <v>10176.147999999999</v>
      </c>
      <c r="I303" s="90">
        <f>IF("generated"=1, "Path=Intermodal_Coronel_Platform_2_2, Scaled Offset=231", 231)</f>
        <v>231</v>
      </c>
      <c r="J303" s="65"/>
      <c r="K303" s="60" t="s">
        <v>64</v>
      </c>
      <c r="M303" s="66">
        <v>-2.5</v>
      </c>
      <c r="N303" s="66">
        <v>0</v>
      </c>
      <c r="O303" s="66"/>
      <c r="P303" s="66"/>
      <c r="Q303" s="66"/>
      <c r="R303" s="60" t="str">
        <f>$E$3</f>
        <v>Red</v>
      </c>
      <c r="S303" s="60" t="s">
        <v>68</v>
      </c>
      <c r="T303" s="67" t="str">
        <f>C303</f>
        <v>Poisar_E1</v>
      </c>
      <c r="U303" s="60" t="s">
        <v>50</v>
      </c>
      <c r="V303" s="67">
        <v>0</v>
      </c>
      <c r="W303" s="60" t="s">
        <v>67</v>
      </c>
      <c r="X303" s="60">
        <v>1</v>
      </c>
      <c r="Y303" s="60" t="s">
        <v>66</v>
      </c>
      <c r="Z303" s="60">
        <v>1</v>
      </c>
      <c r="AA303" s="61" t="s">
        <v>341</v>
      </c>
      <c r="AB303" s="74" t="s">
        <v>346</v>
      </c>
      <c r="AC303" s="60">
        <v>2</v>
      </c>
    </row>
    <row r="304" spans="1:29" s="70" customFormat="1" x14ac:dyDescent="0.2">
      <c r="A304" s="224" t="s">
        <v>129</v>
      </c>
      <c r="B304" s="154">
        <v>72105</v>
      </c>
      <c r="C304" s="68" t="str">
        <f>C302</f>
        <v>Poisar_2</v>
      </c>
      <c r="D304" s="69" t="s">
        <v>65</v>
      </c>
      <c r="E304" s="70" t="str">
        <f>E302</f>
        <v>MMRBEM_7_DOWN</v>
      </c>
      <c r="F304" s="70">
        <f>F302</f>
        <v>0</v>
      </c>
      <c r="G304" s="152">
        <f>H302</f>
        <v>10083.647999999999</v>
      </c>
      <c r="H304" s="159">
        <f t="shared" ref="H304:H314" si="125">F304+G304</f>
        <v>10083.647999999999</v>
      </c>
      <c r="I304" s="232">
        <f>IF("generated"=1, "Path=MMRBEM_7_DOWN, Scaled Offset=10083.647999999999228748492896556854", 10451.6996651408)</f>
        <v>10451.699665140801</v>
      </c>
      <c r="K304" s="69" t="s">
        <v>64</v>
      </c>
      <c r="M304" s="71">
        <f>2*M302</f>
        <v>-5</v>
      </c>
      <c r="N304" s="71">
        <v>0</v>
      </c>
      <c r="O304" s="71"/>
      <c r="P304" s="71">
        <v>0</v>
      </c>
      <c r="Q304" s="71">
        <v>0</v>
      </c>
      <c r="S304" s="69" t="s">
        <v>63</v>
      </c>
      <c r="T304" s="72">
        <f>ABS(H303-H301)</f>
        <v>185</v>
      </c>
      <c r="U304" s="69" t="s">
        <v>62</v>
      </c>
      <c r="V304" s="73" t="str">
        <f>C304</f>
        <v>Poisar_2</v>
      </c>
      <c r="W304" s="68" t="s">
        <v>61</v>
      </c>
      <c r="X304" s="74" t="s">
        <v>346</v>
      </c>
      <c r="Y304" s="74" t="s">
        <v>60</v>
      </c>
      <c r="Z304" s="70" t="str">
        <f>LEFT(V304, LEN(V304)-2)</f>
        <v>Poisar</v>
      </c>
    </row>
    <row r="305" spans="1:29" s="70" customFormat="1" x14ac:dyDescent="0.2">
      <c r="A305" s="224" t="s">
        <v>129</v>
      </c>
      <c r="B305" s="154">
        <v>72106</v>
      </c>
      <c r="C305" s="70" t="str">
        <f>CONCATENATE("Platform Passenger - ",C304)</f>
        <v>Platform Passenger - Poisar_2</v>
      </c>
      <c r="D305" s="75" t="s">
        <v>59</v>
      </c>
      <c r="E305" s="70" t="str">
        <f t="shared" ref="E305:E310" si="126">E304</f>
        <v>MMRBEM_7_DOWN</v>
      </c>
      <c r="F305" s="70">
        <v>0</v>
      </c>
      <c r="G305" s="152">
        <f t="shared" ref="G305:G310" si="127">G304</f>
        <v>10083.647999999999</v>
      </c>
      <c r="H305" s="159">
        <f t="shared" si="125"/>
        <v>10083.647999999999</v>
      </c>
      <c r="I305" s="232">
        <f>IF("generated"=1, "Path=MMRBEM_7_DOWN, Scaled Offset=10083.647999999999228748492896556854", 10451.6996651408)</f>
        <v>10451.699665140801</v>
      </c>
      <c r="K305" s="76" t="str">
        <f t="shared" ref="K305:K310" si="128">K304</f>
        <v>BOTH</v>
      </c>
      <c r="M305" s="77">
        <f>M304/2</f>
        <v>-2.5</v>
      </c>
      <c r="N305" s="77">
        <f>N304</f>
        <v>0</v>
      </c>
      <c r="O305" s="77"/>
      <c r="P305" s="77">
        <v>270</v>
      </c>
      <c r="Q305" s="77">
        <f>Q304</f>
        <v>0</v>
      </c>
      <c r="R305" s="75" t="s">
        <v>1091</v>
      </c>
      <c r="S305" s="70" t="s">
        <v>58</v>
      </c>
      <c r="T305" s="78" t="str">
        <f>CONCATENATE(X304,"_PAS"&amp;AC303)</f>
        <v>POI_PAS2</v>
      </c>
      <c r="V305" s="79"/>
    </row>
    <row r="306" spans="1:29" s="70" customFormat="1" x14ac:dyDescent="0.2">
      <c r="A306" s="224" t="s">
        <v>129</v>
      </c>
      <c r="B306" s="154">
        <v>72107</v>
      </c>
      <c r="C306" s="70" t="str">
        <f>CONCATENATE("Passenger Alighting - ",C304)</f>
        <v>Passenger Alighting - Poisar_2</v>
      </c>
      <c r="D306" s="75" t="s">
        <v>57</v>
      </c>
      <c r="E306" s="70" t="str">
        <f t="shared" si="126"/>
        <v>MMRBEM_7_DOWN</v>
      </c>
      <c r="F306" s="70">
        <v>0</v>
      </c>
      <c r="G306" s="152">
        <f t="shared" si="127"/>
        <v>10083.647999999999</v>
      </c>
      <c r="H306" s="159">
        <f t="shared" si="125"/>
        <v>10083.647999999999</v>
      </c>
      <c r="I306" s="232">
        <f>IF("generated"=1, "Path=MMRBEM_7_DOWN, Scaled Offset=10083.647999999999228748492896556854", 10451.6996651408)</f>
        <v>10451.699665140801</v>
      </c>
      <c r="K306" s="76" t="str">
        <f t="shared" si="128"/>
        <v>BOTH</v>
      </c>
      <c r="M306" s="77">
        <f>M305</f>
        <v>-2.5</v>
      </c>
      <c r="N306" s="77">
        <f>N305</f>
        <v>0</v>
      </c>
      <c r="O306" s="77"/>
      <c r="P306" s="77">
        <v>270</v>
      </c>
      <c r="Q306" s="77">
        <f>Q305</f>
        <v>0</v>
      </c>
      <c r="R306" s="75" t="s">
        <v>1091</v>
      </c>
      <c r="S306" s="70" t="s">
        <v>56</v>
      </c>
      <c r="T306" s="78">
        <f>B305</f>
        <v>72106</v>
      </c>
      <c r="V306" s="79"/>
    </row>
    <row r="307" spans="1:29" s="70" customFormat="1" x14ac:dyDescent="0.2">
      <c r="A307" s="224" t="s">
        <v>129</v>
      </c>
      <c r="B307" s="154">
        <v>72108</v>
      </c>
      <c r="C307" s="70" t="str">
        <f>CONCATENATE("Passenger Arriving - ",C302)</f>
        <v>Passenger Arriving - Poisar_2</v>
      </c>
      <c r="D307" s="75" t="s">
        <v>55</v>
      </c>
      <c r="E307" s="70" t="str">
        <f t="shared" si="126"/>
        <v>MMRBEM_7_DOWN</v>
      </c>
      <c r="F307" s="70">
        <v>0</v>
      </c>
      <c r="G307" s="152">
        <f t="shared" si="127"/>
        <v>10083.647999999999</v>
      </c>
      <c r="H307" s="159">
        <f t="shared" si="125"/>
        <v>10083.647999999999</v>
      </c>
      <c r="I307" s="232">
        <f>IF("generated"=1, "Path=MMRBEM_7_DOWN, Scaled Offset=10083.647999999999228748492896556854", 10451.6996651408)</f>
        <v>10451.699665140801</v>
      </c>
      <c r="K307" s="76" t="str">
        <f t="shared" si="128"/>
        <v>BOTH</v>
      </c>
      <c r="M307" s="77">
        <f>M306</f>
        <v>-2.5</v>
      </c>
      <c r="N307" s="77">
        <f>N306</f>
        <v>0</v>
      </c>
      <c r="O307" s="77"/>
      <c r="P307" s="77">
        <v>270</v>
      </c>
      <c r="Q307" s="77">
        <f>Q306</f>
        <v>0</v>
      </c>
      <c r="R307" s="75" t="s">
        <v>52</v>
      </c>
      <c r="S307" s="70" t="str">
        <f t="shared" ref="S307:T307" si="129">S306</f>
        <v>Parent ID</v>
      </c>
      <c r="T307" s="78">
        <f t="shared" si="129"/>
        <v>72106</v>
      </c>
      <c r="V307" s="79"/>
    </row>
    <row r="308" spans="1:29" s="70" customFormat="1" x14ac:dyDescent="0.2">
      <c r="A308" s="224" t="s">
        <v>129</v>
      </c>
      <c r="B308" s="154">
        <v>72109</v>
      </c>
      <c r="C308" s="70" t="str">
        <f>CONCATENATE("Passenger Intoxicated - ",C304)</f>
        <v>Passenger Intoxicated - Poisar_2</v>
      </c>
      <c r="D308" s="75" t="s">
        <v>54</v>
      </c>
      <c r="E308" s="70" t="str">
        <f t="shared" si="126"/>
        <v>MMRBEM_7_DOWN</v>
      </c>
      <c r="F308" s="70">
        <v>0</v>
      </c>
      <c r="G308" s="152">
        <f t="shared" si="127"/>
        <v>10083.647999999999</v>
      </c>
      <c r="H308" s="159">
        <f t="shared" si="125"/>
        <v>10083.647999999999</v>
      </c>
      <c r="I308" s="232">
        <f>IF("generated"=1, "Path=MMRBEM_7_DOWN, Scaled Offset=10083.647999999999228748492896556854", 10451.6996651408)</f>
        <v>10451.699665140801</v>
      </c>
      <c r="K308" s="76" t="str">
        <f t="shared" si="128"/>
        <v>BOTH</v>
      </c>
      <c r="M308" s="77">
        <f>M307</f>
        <v>-2.5</v>
      </c>
      <c r="N308" s="77">
        <f>N307</f>
        <v>0</v>
      </c>
      <c r="O308" s="77"/>
      <c r="P308" s="77">
        <v>270</v>
      </c>
      <c r="Q308" s="77">
        <f>Q307</f>
        <v>0</v>
      </c>
      <c r="R308" s="75" t="s">
        <v>52</v>
      </c>
      <c r="S308" s="70" t="str">
        <f t="shared" ref="S308:T308" si="130">S307</f>
        <v>Parent ID</v>
      </c>
      <c r="T308" s="78">
        <f t="shared" si="130"/>
        <v>72106</v>
      </c>
      <c r="V308" s="79"/>
    </row>
    <row r="309" spans="1:29" s="70" customFormat="1" x14ac:dyDescent="0.2">
      <c r="A309" s="224" t="s">
        <v>129</v>
      </c>
      <c r="B309" s="154">
        <v>72110</v>
      </c>
      <c r="C309" s="70" t="str">
        <f>CONCATENATE("Passenger Pram - ",C304)</f>
        <v>Passenger Pram - Poisar_2</v>
      </c>
      <c r="D309" s="75" t="s">
        <v>53</v>
      </c>
      <c r="E309" s="70" t="str">
        <f t="shared" si="126"/>
        <v>MMRBEM_7_DOWN</v>
      </c>
      <c r="F309" s="70">
        <v>0</v>
      </c>
      <c r="G309" s="152">
        <f t="shared" si="127"/>
        <v>10083.647999999999</v>
      </c>
      <c r="H309" s="159">
        <f t="shared" si="125"/>
        <v>10083.647999999999</v>
      </c>
      <c r="I309" s="232">
        <f>IF("generated"=1, "Path=MMRBEM_7_DOWN, Scaled Offset=10083.647999999999228748492896556854", 10451.6996651408)</f>
        <v>10451.699665140801</v>
      </c>
      <c r="K309" s="76" t="str">
        <f t="shared" si="128"/>
        <v>BOTH</v>
      </c>
      <c r="M309" s="77">
        <f>M308</f>
        <v>-2.5</v>
      </c>
      <c r="N309" s="77">
        <f>N308</f>
        <v>0</v>
      </c>
      <c r="O309" s="77"/>
      <c r="P309" s="77">
        <v>270</v>
      </c>
      <c r="Q309" s="77">
        <f>Q308</f>
        <v>0</v>
      </c>
      <c r="R309" s="75" t="s">
        <v>52</v>
      </c>
      <c r="S309" s="70" t="str">
        <f t="shared" ref="S309:T309" si="131">S308</f>
        <v>Parent ID</v>
      </c>
      <c r="T309" s="78">
        <f t="shared" si="131"/>
        <v>72106</v>
      </c>
      <c r="V309" s="79"/>
    </row>
    <row r="310" spans="1:29" s="164" customFormat="1" x14ac:dyDescent="0.2">
      <c r="A310" s="224" t="s">
        <v>129</v>
      </c>
      <c r="B310" s="81">
        <v>72285</v>
      </c>
      <c r="C310" s="70" t="str">
        <f>CONCATENATE("PSD - ",C304)</f>
        <v>PSD - Poisar_2</v>
      </c>
      <c r="D310" s="165" t="s">
        <v>1042</v>
      </c>
      <c r="E310" s="70" t="str">
        <f t="shared" si="126"/>
        <v>MMRBEM_7_DOWN</v>
      </c>
      <c r="F310" s="70">
        <v>0</v>
      </c>
      <c r="G310" s="152">
        <f t="shared" si="127"/>
        <v>10083.647999999999</v>
      </c>
      <c r="H310" s="159">
        <f t="shared" si="125"/>
        <v>10083.647999999999</v>
      </c>
      <c r="I310" s="232">
        <f>IF("generated"=1, "Path=MMRBEM_7_DOWN, Scaled Offset=10083.647999999999228748492896556854", 10451.6996651408)</f>
        <v>10451.699665140801</v>
      </c>
      <c r="K310" s="76" t="str">
        <f t="shared" si="128"/>
        <v>BOTH</v>
      </c>
      <c r="M310" s="168">
        <f>M309+0.5</f>
        <v>-2</v>
      </c>
      <c r="N310" s="168"/>
      <c r="O310" s="168"/>
      <c r="P310" s="168"/>
      <c r="Q310" s="168"/>
      <c r="R310" s="165"/>
      <c r="S310" s="165" t="s">
        <v>1043</v>
      </c>
      <c r="T310" s="165" t="str">
        <f>_xlfn.CONCAT("PSD_",T305)</f>
        <v>PSD_POI_PAS2</v>
      </c>
      <c r="U310" s="165" t="s">
        <v>926</v>
      </c>
      <c r="V310" s="165">
        <f>B304</f>
        <v>72105</v>
      </c>
      <c r="W310" s="165"/>
      <c r="X310" s="165"/>
    </row>
    <row r="311" spans="1:29" s="164" customFormat="1" x14ac:dyDescent="0.2">
      <c r="A311" s="224" t="s">
        <v>129</v>
      </c>
      <c r="B311" s="81">
        <v>72237</v>
      </c>
      <c r="C311" s="164" t="s">
        <v>1003</v>
      </c>
      <c r="D311" s="140" t="s">
        <v>928</v>
      </c>
      <c r="E311" s="70" t="s">
        <v>126</v>
      </c>
      <c r="G311" s="166">
        <f>G312-22.2</f>
        <v>2334.11</v>
      </c>
      <c r="H311" s="159">
        <f t="shared" si="125"/>
        <v>2334.11</v>
      </c>
      <c r="I311" s="232">
        <f>IF("generated"=1, "Path=Track_10_Track_2, Scaled Offset=2334.1100000000001273292582482099533", 2334.11)</f>
        <v>2334.11</v>
      </c>
      <c r="K311" s="167"/>
      <c r="L311" s="164">
        <v>1</v>
      </c>
      <c r="M311" s="168"/>
      <c r="N311" s="168"/>
      <c r="O311" s="168"/>
      <c r="P311" s="168"/>
      <c r="Q311" s="168"/>
      <c r="R311" s="165" t="s">
        <v>1041</v>
      </c>
      <c r="S311" s="140" t="s">
        <v>926</v>
      </c>
      <c r="T311" s="143">
        <f>B304</f>
        <v>72105</v>
      </c>
      <c r="U311" s="140" t="s">
        <v>61</v>
      </c>
      <c r="V311" s="143" t="str">
        <f>X304</f>
        <v>POI</v>
      </c>
      <c r="W311" s="140" t="s">
        <v>927</v>
      </c>
      <c r="X311" s="164">
        <v>2</v>
      </c>
    </row>
    <row r="312" spans="1:29" s="164" customFormat="1" x14ac:dyDescent="0.2">
      <c r="A312" s="224" t="s">
        <v>129</v>
      </c>
      <c r="B312" s="81">
        <v>72238</v>
      </c>
      <c r="C312" s="164" t="s">
        <v>1004</v>
      </c>
      <c r="D312" s="140" t="s">
        <v>928</v>
      </c>
      <c r="E312" s="70" t="str">
        <f t="shared" ref="E312:E314" si="132">E311</f>
        <v>Track_10_Track_2</v>
      </c>
      <c r="G312" s="166">
        <v>2356.31</v>
      </c>
      <c r="H312" s="159">
        <f t="shared" si="125"/>
        <v>2356.31</v>
      </c>
      <c r="I312" s="232">
        <f>IF("generated"=1, "Path=Track_10_Track_2, Scaled Offset=2356.3099999999999454303178936243057", 2356.30999999999)</f>
        <v>2356.3099999999899</v>
      </c>
      <c r="K312" s="167"/>
      <c r="L312" s="164">
        <v>1</v>
      </c>
      <c r="M312" s="168"/>
      <c r="N312" s="168"/>
      <c r="O312" s="168"/>
      <c r="P312" s="168"/>
      <c r="Q312" s="168"/>
      <c r="R312" s="165" t="s">
        <v>1041</v>
      </c>
      <c r="S312" s="140" t="s">
        <v>926</v>
      </c>
      <c r="T312" s="143">
        <f>T311</f>
        <v>72105</v>
      </c>
      <c r="U312" s="140" t="s">
        <v>61</v>
      </c>
      <c r="V312" s="143" t="str">
        <f>V311</f>
        <v>POI</v>
      </c>
      <c r="W312" s="140" t="s">
        <v>927</v>
      </c>
      <c r="X312" s="164">
        <v>2</v>
      </c>
    </row>
    <row r="313" spans="1:29" s="164" customFormat="1" x14ac:dyDescent="0.2">
      <c r="A313" s="224" t="s">
        <v>129</v>
      </c>
      <c r="B313" s="81">
        <v>72239</v>
      </c>
      <c r="C313" s="164" t="s">
        <v>1005</v>
      </c>
      <c r="D313" s="140" t="s">
        <v>928</v>
      </c>
      <c r="E313" s="70" t="str">
        <f t="shared" si="132"/>
        <v>Track_10_Track_2</v>
      </c>
      <c r="G313" s="166">
        <v>2492.46</v>
      </c>
      <c r="H313" s="159">
        <f t="shared" si="125"/>
        <v>2492.46</v>
      </c>
      <c r="I313" s="232">
        <f>IF("generated"=1, "Path=Track_10_Track_2, Scaled Offset=2492.4600000000000363797880709171295", 2492.46)</f>
        <v>2492.46</v>
      </c>
      <c r="K313" s="167"/>
      <c r="M313" s="168"/>
      <c r="N313" s="168"/>
      <c r="O313" s="168"/>
      <c r="P313" s="168"/>
      <c r="Q313" s="168"/>
      <c r="R313" s="165" t="s">
        <v>1041</v>
      </c>
      <c r="S313" s="140" t="s">
        <v>926</v>
      </c>
      <c r="T313" s="143">
        <f>T312</f>
        <v>72105</v>
      </c>
      <c r="U313" s="140" t="s">
        <v>61</v>
      </c>
      <c r="V313" s="143" t="str">
        <f>V312</f>
        <v>POI</v>
      </c>
      <c r="W313" s="140" t="s">
        <v>927</v>
      </c>
      <c r="X313" s="164">
        <v>1</v>
      </c>
    </row>
    <row r="314" spans="1:29" s="164" customFormat="1" x14ac:dyDescent="0.2">
      <c r="A314" s="224" t="s">
        <v>129</v>
      </c>
      <c r="B314" s="81">
        <v>72240</v>
      </c>
      <c r="C314" s="164" t="s">
        <v>1006</v>
      </c>
      <c r="D314" s="140" t="s">
        <v>928</v>
      </c>
      <c r="E314" s="70" t="str">
        <f t="shared" si="132"/>
        <v>Track_10_Track_2</v>
      </c>
      <c r="G314" s="166">
        <f>G313+22.2</f>
        <v>2514.66</v>
      </c>
      <c r="H314" s="159">
        <f t="shared" si="125"/>
        <v>2514.66</v>
      </c>
      <c r="I314" s="232">
        <f>IF("generated"=1, "Path=Track_10_Track_2, Scaled Offset=2514.6599999999998544808477163314819", 2514.65999999999)</f>
        <v>2514.6599999999899</v>
      </c>
      <c r="K314" s="167"/>
      <c r="M314" s="168"/>
      <c r="N314" s="168"/>
      <c r="O314" s="168"/>
      <c r="P314" s="168"/>
      <c r="Q314" s="168"/>
      <c r="R314" s="165" t="s">
        <v>1041</v>
      </c>
      <c r="S314" s="140" t="s">
        <v>926</v>
      </c>
      <c r="T314" s="143">
        <f>T313</f>
        <v>72105</v>
      </c>
      <c r="U314" s="140" t="s">
        <v>61</v>
      </c>
      <c r="V314" s="143" t="str">
        <f>V313</f>
        <v>POI</v>
      </c>
      <c r="W314" s="140" t="s">
        <v>927</v>
      </c>
      <c r="X314" s="164">
        <v>1</v>
      </c>
    </row>
    <row r="315" spans="1:29" s="61" customFormat="1" x14ac:dyDescent="0.2">
      <c r="A315" s="224" t="s">
        <v>930</v>
      </c>
      <c r="B315" s="81">
        <v>72104</v>
      </c>
      <c r="C315" s="61" t="str">
        <f>LEFT(C304,LEN(C304)-2)</f>
        <v>Poisar</v>
      </c>
      <c r="E315" s="61" t="s">
        <v>126</v>
      </c>
      <c r="G315" s="153"/>
      <c r="H315" s="160">
        <v>2521</v>
      </c>
      <c r="I315" s="232">
        <f>IF("generated"=1, "Path=Track_10_Track_2, Scaled Offset=2521", 2521)</f>
        <v>2521</v>
      </c>
      <c r="J315" s="89"/>
      <c r="M315" s="88"/>
      <c r="N315" s="88"/>
      <c r="O315" s="88"/>
      <c r="P315" s="88"/>
      <c r="Q315" s="88"/>
      <c r="S315" s="61" t="s">
        <v>41</v>
      </c>
      <c r="T315" s="87">
        <v>40</v>
      </c>
      <c r="V315" s="87"/>
    </row>
    <row r="316" spans="1:29" s="61" customFormat="1" x14ac:dyDescent="0.2">
      <c r="A316" s="224" t="s">
        <v>930</v>
      </c>
      <c r="B316" s="81">
        <v>72104</v>
      </c>
      <c r="C316" s="61" t="str">
        <f>C315</f>
        <v>Poisar</v>
      </c>
      <c r="E316" s="61" t="s">
        <v>126</v>
      </c>
      <c r="G316" s="153"/>
      <c r="H316" s="160">
        <v>2329</v>
      </c>
      <c r="I316" s="232">
        <f>IF("generated"=1, "Path=Track_10_Track_2, Scaled Offset=2329", 2329)</f>
        <v>2329</v>
      </c>
      <c r="J316" s="89"/>
      <c r="M316" s="88"/>
      <c r="N316" s="88"/>
      <c r="O316" s="88"/>
      <c r="P316" s="88"/>
      <c r="Q316" s="88"/>
      <c r="S316" s="61" t="s">
        <v>41</v>
      </c>
      <c r="T316" s="87">
        <v>40</v>
      </c>
      <c r="V316" s="87"/>
    </row>
    <row r="318" spans="1:29" s="62" customFormat="1" x14ac:dyDescent="0.2">
      <c r="A318" s="224" t="s">
        <v>129</v>
      </c>
      <c r="B318" s="154">
        <v>72104</v>
      </c>
      <c r="C318" s="61" t="s">
        <v>341</v>
      </c>
      <c r="D318" s="62" t="s">
        <v>69</v>
      </c>
      <c r="E318" s="94"/>
      <c r="G318" s="149"/>
      <c r="H318" s="158"/>
      <c r="I318" s="162"/>
      <c r="M318" s="63"/>
      <c r="N318" s="63"/>
      <c r="O318" s="63"/>
      <c r="P318" s="63"/>
      <c r="Q318" s="63"/>
      <c r="T318" s="64"/>
      <c r="V318" s="64"/>
    </row>
    <row r="319" spans="1:29" s="60" customFormat="1" x14ac:dyDescent="0.2">
      <c r="A319" s="224"/>
      <c r="B319" s="81"/>
      <c r="C319" s="60" t="s">
        <v>344</v>
      </c>
      <c r="D319" s="60" t="s">
        <v>51</v>
      </c>
      <c r="E319" s="94" t="s">
        <v>187</v>
      </c>
      <c r="G319" s="150">
        <v>9988.4130000000005</v>
      </c>
      <c r="H319" s="159">
        <f>G319+F319</f>
        <v>9988.4130000000005</v>
      </c>
      <c r="I319" s="90"/>
      <c r="J319" s="65"/>
      <c r="K319" s="60" t="s">
        <v>64</v>
      </c>
      <c r="M319" s="66">
        <v>2.5</v>
      </c>
      <c r="N319" s="66">
        <v>0</v>
      </c>
      <c r="O319" s="66"/>
      <c r="P319" s="66"/>
      <c r="Q319" s="66"/>
      <c r="R319" s="60" t="str">
        <f>$E$3</f>
        <v>Red</v>
      </c>
      <c r="S319" s="60" t="s">
        <v>68</v>
      </c>
      <c r="T319" s="67" t="str">
        <f>C319</f>
        <v>Poisar_S2</v>
      </c>
      <c r="U319" s="60" t="s">
        <v>50</v>
      </c>
      <c r="V319" s="67">
        <v>0</v>
      </c>
      <c r="W319" s="60" t="s">
        <v>67</v>
      </c>
      <c r="X319" s="60">
        <v>1</v>
      </c>
      <c r="Y319" s="60" t="s">
        <v>66</v>
      </c>
      <c r="Z319" s="60">
        <v>1</v>
      </c>
      <c r="AA319" s="60" t="s">
        <v>341</v>
      </c>
      <c r="AB319" s="74" t="s">
        <v>346</v>
      </c>
      <c r="AC319" s="60">
        <v>1</v>
      </c>
    </row>
    <row r="320" spans="1:29" s="60" customFormat="1" x14ac:dyDescent="0.2">
      <c r="A320" s="224"/>
      <c r="B320" s="81"/>
      <c r="C320" s="60" t="str">
        <f>AA320&amp;"_"&amp;AC320</f>
        <v>Poisar_1</v>
      </c>
      <c r="D320" s="60" t="s">
        <v>51</v>
      </c>
      <c r="E320" s="60" t="str">
        <f>E319</f>
        <v>MMRBEM_7_UP</v>
      </c>
      <c r="G320" s="151">
        <f>AVERAGE(H319,H321)</f>
        <v>10080.914499999999</v>
      </c>
      <c r="H320" s="159">
        <f>F320+G320</f>
        <v>10080.914499999999</v>
      </c>
      <c r="I320" s="90"/>
      <c r="J320" s="65"/>
      <c r="K320" s="60" t="s">
        <v>64</v>
      </c>
      <c r="M320" s="66">
        <v>2.5</v>
      </c>
      <c r="N320" s="66">
        <v>0</v>
      </c>
      <c r="O320" s="66"/>
      <c r="P320" s="66"/>
      <c r="Q320" s="66"/>
      <c r="R320" s="60" t="str">
        <f>$E$4</f>
        <v>Green</v>
      </c>
      <c r="S320" s="60" t="s">
        <v>68</v>
      </c>
      <c r="T320" s="67" t="str">
        <f>C320</f>
        <v>Poisar_1</v>
      </c>
      <c r="U320" s="60" t="s">
        <v>50</v>
      </c>
      <c r="V320" s="67">
        <v>0</v>
      </c>
      <c r="W320" s="60" t="s">
        <v>67</v>
      </c>
      <c r="X320" s="60">
        <v>1</v>
      </c>
      <c r="Y320" s="60" t="s">
        <v>66</v>
      </c>
      <c r="Z320" s="60">
        <v>1</v>
      </c>
      <c r="AA320" s="60" t="str">
        <f>AA319</f>
        <v>Poisar</v>
      </c>
      <c r="AB320" s="60" t="str">
        <f>AB319</f>
        <v>POI</v>
      </c>
      <c r="AC320" s="60">
        <f>AC319</f>
        <v>1</v>
      </c>
    </row>
    <row r="321" spans="1:29" s="60" customFormat="1" x14ac:dyDescent="0.2">
      <c r="A321" s="224"/>
      <c r="B321" s="81"/>
      <c r="C321" s="60" t="s">
        <v>345</v>
      </c>
      <c r="D321" s="60" t="s">
        <v>51</v>
      </c>
      <c r="E321" s="94" t="s">
        <v>187</v>
      </c>
      <c r="G321" s="150">
        <v>10173.415999999999</v>
      </c>
      <c r="H321" s="159">
        <f>G321+F321</f>
        <v>10173.415999999999</v>
      </c>
      <c r="I321" s="90"/>
      <c r="J321" s="65"/>
      <c r="K321" s="60" t="s">
        <v>64</v>
      </c>
      <c r="M321" s="66">
        <v>2.5</v>
      </c>
      <c r="N321" s="66">
        <v>0</v>
      </c>
      <c r="O321" s="66"/>
      <c r="P321" s="66"/>
      <c r="Q321" s="66"/>
      <c r="R321" s="60" t="str">
        <f>$E$3</f>
        <v>Red</v>
      </c>
      <c r="S321" s="60" t="s">
        <v>68</v>
      </c>
      <c r="T321" s="67" t="str">
        <f>C321</f>
        <v>Poisar_E2</v>
      </c>
      <c r="U321" s="60" t="s">
        <v>50</v>
      </c>
      <c r="V321" s="67">
        <v>0</v>
      </c>
      <c r="W321" s="60" t="s">
        <v>67</v>
      </c>
      <c r="X321" s="60">
        <v>1</v>
      </c>
      <c r="Y321" s="60" t="s">
        <v>66</v>
      </c>
      <c r="Z321" s="60">
        <v>1</v>
      </c>
      <c r="AA321" s="60" t="s">
        <v>341</v>
      </c>
      <c r="AB321" s="74" t="s">
        <v>346</v>
      </c>
      <c r="AC321" s="60">
        <v>1</v>
      </c>
    </row>
    <row r="322" spans="1:29" s="70" customFormat="1" x14ac:dyDescent="0.2">
      <c r="A322" s="224" t="s">
        <v>129</v>
      </c>
      <c r="B322" s="154">
        <v>72111</v>
      </c>
      <c r="C322" s="68" t="str">
        <f>C320</f>
        <v>Poisar_1</v>
      </c>
      <c r="D322" s="69" t="s">
        <v>65</v>
      </c>
      <c r="E322" s="70" t="str">
        <f>E320</f>
        <v>MMRBEM_7_UP</v>
      </c>
      <c r="F322" s="70">
        <f>F320</f>
        <v>0</v>
      </c>
      <c r="G322" s="152">
        <f>H320</f>
        <v>10080.914499999999</v>
      </c>
      <c r="H322" s="159">
        <f t="shared" ref="H322:H332" si="133">F322+G322</f>
        <v>10080.914499999999</v>
      </c>
      <c r="I322" s="232">
        <f>IF("generated"=1, "Path=MMRBEM_7_UP, Scaled Offset=10080.91449999999895226210355758667", 10446.6818984212)</f>
        <v>10446.6818984212</v>
      </c>
      <c r="K322" s="69" t="s">
        <v>64</v>
      </c>
      <c r="M322" s="71">
        <f>2*M320</f>
        <v>5</v>
      </c>
      <c r="N322" s="71">
        <v>0</v>
      </c>
      <c r="O322" s="71"/>
      <c r="P322" s="71">
        <v>0</v>
      </c>
      <c r="Q322" s="71">
        <v>0</v>
      </c>
      <c r="S322" s="69" t="s">
        <v>63</v>
      </c>
      <c r="T322" s="72">
        <f>ABS(H321-H319)</f>
        <v>185.00299999999879</v>
      </c>
      <c r="U322" s="69" t="s">
        <v>62</v>
      </c>
      <c r="V322" s="73" t="str">
        <f>C322</f>
        <v>Poisar_1</v>
      </c>
      <c r="W322" s="68" t="s">
        <v>61</v>
      </c>
      <c r="X322" s="74" t="s">
        <v>346</v>
      </c>
      <c r="Y322" s="74" t="s">
        <v>60</v>
      </c>
      <c r="Z322" s="70" t="str">
        <f>LEFT(V322, LEN(V322)-2)</f>
        <v>Poisar</v>
      </c>
    </row>
    <row r="323" spans="1:29" s="70" customFormat="1" x14ac:dyDescent="0.2">
      <c r="A323" s="224" t="s">
        <v>129</v>
      </c>
      <c r="B323" s="154">
        <v>72112</v>
      </c>
      <c r="C323" s="70" t="str">
        <f>CONCATENATE("Platform Passenger - ",C322)</f>
        <v>Platform Passenger - Poisar_1</v>
      </c>
      <c r="D323" s="75" t="s">
        <v>59</v>
      </c>
      <c r="E323" s="70" t="str">
        <f t="shared" ref="E323:E328" si="134">E322</f>
        <v>MMRBEM_7_UP</v>
      </c>
      <c r="F323" s="70">
        <v>0</v>
      </c>
      <c r="G323" s="152">
        <f t="shared" ref="G323:G328" si="135">G322</f>
        <v>10080.914499999999</v>
      </c>
      <c r="H323" s="159">
        <f t="shared" si="133"/>
        <v>10080.914499999999</v>
      </c>
      <c r="I323" s="232">
        <f>IF("generated"=1, "Path=MMRBEM_7_UP, Scaled Offset=10080.91449999999895226210355758667", 10446.6818984212)</f>
        <v>10446.6818984212</v>
      </c>
      <c r="K323" s="76" t="str">
        <f t="shared" ref="K323:K328" si="136">K322</f>
        <v>BOTH</v>
      </c>
      <c r="M323" s="77">
        <f>M322/2</f>
        <v>2.5</v>
      </c>
      <c r="N323" s="77">
        <f>N322</f>
        <v>0</v>
      </c>
      <c r="O323" s="77"/>
      <c r="P323" s="77">
        <v>90</v>
      </c>
      <c r="Q323" s="77">
        <f>Q322</f>
        <v>0</v>
      </c>
      <c r="R323" s="75" t="s">
        <v>1091</v>
      </c>
      <c r="S323" s="70" t="s">
        <v>58</v>
      </c>
      <c r="T323" s="78" t="str">
        <f>CONCATENATE(X322,"_PAS"&amp;AC321)</f>
        <v>POI_PAS1</v>
      </c>
      <c r="V323" s="79"/>
    </row>
    <row r="324" spans="1:29" s="70" customFormat="1" x14ac:dyDescent="0.2">
      <c r="A324" s="224" t="s">
        <v>129</v>
      </c>
      <c r="B324" s="154">
        <v>72113</v>
      </c>
      <c r="C324" s="70" t="str">
        <f>CONCATENATE("Passenger Alighting - ",C322)</f>
        <v>Passenger Alighting - Poisar_1</v>
      </c>
      <c r="D324" s="75" t="s">
        <v>57</v>
      </c>
      <c r="E324" s="70" t="str">
        <f t="shared" si="134"/>
        <v>MMRBEM_7_UP</v>
      </c>
      <c r="F324" s="70">
        <v>0</v>
      </c>
      <c r="G324" s="152">
        <f t="shared" si="135"/>
        <v>10080.914499999999</v>
      </c>
      <c r="H324" s="159">
        <f t="shared" si="133"/>
        <v>10080.914499999999</v>
      </c>
      <c r="I324" s="232">
        <f>IF("generated"=1, "Path=MMRBEM_7_UP, Scaled Offset=10080.91449999999895226210355758667", 10446.6818984212)</f>
        <v>10446.6818984212</v>
      </c>
      <c r="K324" s="76" t="str">
        <f t="shared" si="136"/>
        <v>BOTH</v>
      </c>
      <c r="M324" s="77">
        <f>M323</f>
        <v>2.5</v>
      </c>
      <c r="N324" s="77">
        <f>N323</f>
        <v>0</v>
      </c>
      <c r="O324" s="77"/>
      <c r="P324" s="77">
        <v>90</v>
      </c>
      <c r="Q324" s="77">
        <f>Q323</f>
        <v>0</v>
      </c>
      <c r="R324" s="75" t="s">
        <v>1091</v>
      </c>
      <c r="S324" s="70" t="s">
        <v>56</v>
      </c>
      <c r="T324" s="78">
        <f>B323</f>
        <v>72112</v>
      </c>
      <c r="V324" s="79"/>
    </row>
    <row r="325" spans="1:29" s="70" customFormat="1" x14ac:dyDescent="0.2">
      <c r="A325" s="224" t="s">
        <v>129</v>
      </c>
      <c r="B325" s="154">
        <v>72114</v>
      </c>
      <c r="C325" s="70" t="str">
        <f>CONCATENATE("Passenger Arriving - ",C320)</f>
        <v>Passenger Arriving - Poisar_1</v>
      </c>
      <c r="D325" s="75" t="s">
        <v>55</v>
      </c>
      <c r="E325" s="70" t="str">
        <f t="shared" si="134"/>
        <v>MMRBEM_7_UP</v>
      </c>
      <c r="F325" s="70">
        <v>0</v>
      </c>
      <c r="G325" s="152">
        <f t="shared" si="135"/>
        <v>10080.914499999999</v>
      </c>
      <c r="H325" s="159">
        <f t="shared" si="133"/>
        <v>10080.914499999999</v>
      </c>
      <c r="I325" s="232">
        <f>IF("generated"=1, "Path=MMRBEM_7_UP, Scaled Offset=10080.91449999999895226210355758667", 10446.6818984212)</f>
        <v>10446.6818984212</v>
      </c>
      <c r="K325" s="76" t="str">
        <f t="shared" si="136"/>
        <v>BOTH</v>
      </c>
      <c r="M325" s="77">
        <f>M324</f>
        <v>2.5</v>
      </c>
      <c r="N325" s="77">
        <f>N324</f>
        <v>0</v>
      </c>
      <c r="O325" s="77"/>
      <c r="P325" s="77">
        <v>90</v>
      </c>
      <c r="Q325" s="77">
        <f>Q324</f>
        <v>0</v>
      </c>
      <c r="R325" s="75" t="s">
        <v>52</v>
      </c>
      <c r="S325" s="70" t="str">
        <f t="shared" ref="S325:T325" si="137">S324</f>
        <v>Parent ID</v>
      </c>
      <c r="T325" s="78">
        <f t="shared" si="137"/>
        <v>72112</v>
      </c>
      <c r="V325" s="79"/>
    </row>
    <row r="326" spans="1:29" s="70" customFormat="1" x14ac:dyDescent="0.2">
      <c r="A326" s="224" t="s">
        <v>129</v>
      </c>
      <c r="B326" s="154">
        <v>72115</v>
      </c>
      <c r="C326" s="70" t="str">
        <f>CONCATENATE("Passenger Intoxicated - ",C322)</f>
        <v>Passenger Intoxicated - Poisar_1</v>
      </c>
      <c r="D326" s="75" t="s">
        <v>54</v>
      </c>
      <c r="E326" s="70" t="str">
        <f t="shared" si="134"/>
        <v>MMRBEM_7_UP</v>
      </c>
      <c r="F326" s="70">
        <v>0</v>
      </c>
      <c r="G326" s="152">
        <f t="shared" si="135"/>
        <v>10080.914499999999</v>
      </c>
      <c r="H326" s="159">
        <f t="shared" si="133"/>
        <v>10080.914499999999</v>
      </c>
      <c r="I326" s="232">
        <f>IF("generated"=1, "Path=MMRBEM_7_UP, Scaled Offset=10080.91449999999895226210355758667", 10446.6818984212)</f>
        <v>10446.6818984212</v>
      </c>
      <c r="K326" s="76" t="str">
        <f t="shared" si="136"/>
        <v>BOTH</v>
      </c>
      <c r="M326" s="77">
        <f>M325</f>
        <v>2.5</v>
      </c>
      <c r="N326" s="77">
        <f>N325</f>
        <v>0</v>
      </c>
      <c r="O326" s="77"/>
      <c r="P326" s="77">
        <v>90</v>
      </c>
      <c r="Q326" s="77">
        <f>Q325</f>
        <v>0</v>
      </c>
      <c r="R326" s="75" t="s">
        <v>52</v>
      </c>
      <c r="S326" s="70" t="str">
        <f t="shared" ref="S326:T326" si="138">S325</f>
        <v>Parent ID</v>
      </c>
      <c r="T326" s="78">
        <f t="shared" si="138"/>
        <v>72112</v>
      </c>
      <c r="V326" s="79"/>
    </row>
    <row r="327" spans="1:29" s="70" customFormat="1" x14ac:dyDescent="0.2">
      <c r="A327" s="224" t="s">
        <v>129</v>
      </c>
      <c r="B327" s="154">
        <v>72116</v>
      </c>
      <c r="C327" s="70" t="str">
        <f>CONCATENATE("Passenger Pram - ",C322)</f>
        <v>Passenger Pram - Poisar_1</v>
      </c>
      <c r="D327" s="75" t="s">
        <v>53</v>
      </c>
      <c r="E327" s="70" t="str">
        <f t="shared" si="134"/>
        <v>MMRBEM_7_UP</v>
      </c>
      <c r="F327" s="70">
        <v>0</v>
      </c>
      <c r="G327" s="152">
        <f t="shared" si="135"/>
        <v>10080.914499999999</v>
      </c>
      <c r="H327" s="159">
        <f t="shared" si="133"/>
        <v>10080.914499999999</v>
      </c>
      <c r="I327" s="232">
        <f>IF("generated"=1, "Path=MMRBEM_7_UP, Scaled Offset=10080.91449999999895226210355758667", 10446.6818984212)</f>
        <v>10446.6818984212</v>
      </c>
      <c r="K327" s="76" t="str">
        <f t="shared" si="136"/>
        <v>BOTH</v>
      </c>
      <c r="M327" s="77">
        <f>M326</f>
        <v>2.5</v>
      </c>
      <c r="N327" s="77">
        <f>N326</f>
        <v>0</v>
      </c>
      <c r="O327" s="77"/>
      <c r="P327" s="77">
        <v>90</v>
      </c>
      <c r="Q327" s="77">
        <f>Q326</f>
        <v>0</v>
      </c>
      <c r="R327" s="75" t="s">
        <v>52</v>
      </c>
      <c r="S327" s="70" t="str">
        <f t="shared" ref="S327:T327" si="139">S326</f>
        <v>Parent ID</v>
      </c>
      <c r="T327" s="78">
        <f t="shared" si="139"/>
        <v>72112</v>
      </c>
      <c r="V327" s="79"/>
    </row>
    <row r="328" spans="1:29" s="164" customFormat="1" x14ac:dyDescent="0.2">
      <c r="A328" s="224" t="s">
        <v>129</v>
      </c>
      <c r="B328" s="81">
        <v>72286</v>
      </c>
      <c r="C328" s="70" t="str">
        <f>CONCATENATE("PSD - ",C322)</f>
        <v>PSD - Poisar_1</v>
      </c>
      <c r="D328" s="165" t="s">
        <v>1042</v>
      </c>
      <c r="E328" s="70" t="str">
        <f t="shared" si="134"/>
        <v>MMRBEM_7_UP</v>
      </c>
      <c r="F328" s="70">
        <v>0</v>
      </c>
      <c r="G328" s="152">
        <f t="shared" si="135"/>
        <v>10080.914499999999</v>
      </c>
      <c r="H328" s="159">
        <f t="shared" si="133"/>
        <v>10080.914499999999</v>
      </c>
      <c r="I328" s="232">
        <f>IF("generated"=1, "Path=MMRBEM_7_UP, Scaled Offset=10080.91449999999895226210355758667", 10446.6818984212)</f>
        <v>10446.6818984212</v>
      </c>
      <c r="K328" s="76" t="str">
        <f t="shared" si="136"/>
        <v>BOTH</v>
      </c>
      <c r="M328" s="168">
        <f>M327-0.5</f>
        <v>2</v>
      </c>
      <c r="N328" s="168"/>
      <c r="O328" s="168"/>
      <c r="P328" s="168"/>
      <c r="Q328" s="168"/>
      <c r="R328" s="165"/>
      <c r="S328" s="165" t="s">
        <v>1043</v>
      </c>
      <c r="T328" s="165" t="str">
        <f>_xlfn.CONCAT("PSD_",T323)</f>
        <v>PSD_POI_PAS1</v>
      </c>
      <c r="U328" s="165" t="s">
        <v>926</v>
      </c>
      <c r="V328" s="165">
        <f>B322</f>
        <v>72111</v>
      </c>
      <c r="W328" s="165"/>
      <c r="X328" s="165"/>
    </row>
    <row r="329" spans="1:29" s="164" customFormat="1" x14ac:dyDescent="0.2">
      <c r="A329" s="224" t="s">
        <v>129</v>
      </c>
      <c r="B329" s="154">
        <v>72241</v>
      </c>
      <c r="C329" s="164" t="s">
        <v>1007</v>
      </c>
      <c r="D329" s="140" t="s">
        <v>928</v>
      </c>
      <c r="E329" s="70" t="s">
        <v>92</v>
      </c>
      <c r="G329" s="166">
        <f>G330-22.2</f>
        <v>2330.5800000000004</v>
      </c>
      <c r="H329" s="159">
        <f t="shared" si="133"/>
        <v>2330.5800000000004</v>
      </c>
      <c r="I329" s="232">
        <f>IF("generated"=1, "Path=Track_20_Track_2, Scaled Offset=2330.5800000000003819877747446298599", 2330.58)</f>
        <v>2330.58</v>
      </c>
      <c r="K329" s="167"/>
      <c r="L329" s="164">
        <v>1</v>
      </c>
      <c r="M329" s="168"/>
      <c r="N329" s="168"/>
      <c r="O329" s="168"/>
      <c r="P329" s="168"/>
      <c r="Q329" s="168"/>
      <c r="R329" s="165" t="s">
        <v>1041</v>
      </c>
      <c r="S329" s="140" t="s">
        <v>926</v>
      </c>
      <c r="T329" s="143">
        <f>B322</f>
        <v>72111</v>
      </c>
      <c r="U329" s="140" t="s">
        <v>61</v>
      </c>
      <c r="V329" s="143" t="str">
        <f>X322</f>
        <v>POI</v>
      </c>
      <c r="W329" s="140" t="s">
        <v>927</v>
      </c>
      <c r="X329" s="164">
        <v>1</v>
      </c>
    </row>
    <row r="330" spans="1:29" s="164" customFormat="1" x14ac:dyDescent="0.2">
      <c r="A330" s="224" t="s">
        <v>129</v>
      </c>
      <c r="B330" s="154">
        <v>72242</v>
      </c>
      <c r="C330" s="164" t="s">
        <v>1008</v>
      </c>
      <c r="D330" s="140" t="s">
        <v>928</v>
      </c>
      <c r="E330" s="70" t="str">
        <f t="shared" ref="E330:E332" si="140">E329</f>
        <v>Track_20_Track_2</v>
      </c>
      <c r="G330" s="166">
        <v>2352.7800000000002</v>
      </c>
      <c r="H330" s="159">
        <f t="shared" si="133"/>
        <v>2352.7800000000002</v>
      </c>
      <c r="I330" s="232">
        <f>IF("generated"=1, "Path=Track_20_Track_2, Scaled Offset=2352.7800000000002000888343900442123", 2352.78)</f>
        <v>2352.7800000000002</v>
      </c>
      <c r="K330" s="167"/>
      <c r="L330" s="164">
        <v>1</v>
      </c>
      <c r="M330" s="168"/>
      <c r="N330" s="168"/>
      <c r="O330" s="168"/>
      <c r="P330" s="168"/>
      <c r="Q330" s="168"/>
      <c r="R330" s="165" t="s">
        <v>1041</v>
      </c>
      <c r="S330" s="140" t="s">
        <v>926</v>
      </c>
      <c r="T330" s="143">
        <f>T329</f>
        <v>72111</v>
      </c>
      <c r="U330" s="140" t="s">
        <v>61</v>
      </c>
      <c r="V330" s="143" t="str">
        <f>V329</f>
        <v>POI</v>
      </c>
      <c r="W330" s="140" t="s">
        <v>927</v>
      </c>
      <c r="X330" s="164">
        <v>1</v>
      </c>
    </row>
    <row r="331" spans="1:29" s="164" customFormat="1" x14ac:dyDescent="0.2">
      <c r="A331" s="224" t="s">
        <v>129</v>
      </c>
      <c r="B331" s="154">
        <v>72243</v>
      </c>
      <c r="C331" s="164" t="s">
        <v>1009</v>
      </c>
      <c r="D331" s="140" t="s">
        <v>928</v>
      </c>
      <c r="E331" s="70" t="str">
        <f t="shared" si="140"/>
        <v>Track_20_Track_2</v>
      </c>
      <c r="G331" s="166">
        <v>2488.94</v>
      </c>
      <c r="H331" s="159">
        <f t="shared" si="133"/>
        <v>2488.94</v>
      </c>
      <c r="I331" s="232">
        <f>IF("generated"=1, "Path=Track_20_Track_2, Scaled Offset=2488.9400000000000545696821063756943", 2488.94)</f>
        <v>2488.94</v>
      </c>
      <c r="K331" s="167"/>
      <c r="M331" s="168"/>
      <c r="N331" s="168"/>
      <c r="O331" s="168"/>
      <c r="P331" s="168"/>
      <c r="Q331" s="168"/>
      <c r="R331" s="165" t="s">
        <v>1041</v>
      </c>
      <c r="S331" s="140" t="s">
        <v>926</v>
      </c>
      <c r="T331" s="143">
        <f>T330</f>
        <v>72111</v>
      </c>
      <c r="U331" s="140" t="s">
        <v>61</v>
      </c>
      <c r="V331" s="143" t="str">
        <f>V330</f>
        <v>POI</v>
      </c>
      <c r="W331" s="140" t="s">
        <v>927</v>
      </c>
      <c r="X331" s="164">
        <v>2</v>
      </c>
    </row>
    <row r="332" spans="1:29" s="164" customFormat="1" x14ac:dyDescent="0.2">
      <c r="A332" s="224" t="s">
        <v>129</v>
      </c>
      <c r="B332" s="154">
        <v>72244</v>
      </c>
      <c r="C332" s="164" t="s">
        <v>1010</v>
      </c>
      <c r="D332" s="140" t="s">
        <v>928</v>
      </c>
      <c r="E332" s="70" t="str">
        <f t="shared" si="140"/>
        <v>Track_20_Track_2</v>
      </c>
      <c r="G332" s="166">
        <f>G331+22.2</f>
        <v>2511.14</v>
      </c>
      <c r="H332" s="159">
        <f t="shared" si="133"/>
        <v>2511.14</v>
      </c>
      <c r="I332" s="232">
        <f>IF("generated"=1, "Path=Track_20_Track_2, Scaled Offset=2511.1399999999998726707417517900467", 2511.13999999999)</f>
        <v>2511.1399999999899</v>
      </c>
      <c r="K332" s="167"/>
      <c r="M332" s="168"/>
      <c r="N332" s="168"/>
      <c r="O332" s="168"/>
      <c r="P332" s="168"/>
      <c r="Q332" s="168"/>
      <c r="R332" s="165" t="s">
        <v>1041</v>
      </c>
      <c r="S332" s="140" t="s">
        <v>926</v>
      </c>
      <c r="T332" s="143">
        <f>T331</f>
        <v>72111</v>
      </c>
      <c r="U332" s="140" t="s">
        <v>61</v>
      </c>
      <c r="V332" s="143" t="str">
        <f>V331</f>
        <v>POI</v>
      </c>
      <c r="W332" s="140" t="s">
        <v>927</v>
      </c>
      <c r="X332" s="164">
        <v>2</v>
      </c>
    </row>
    <row r="333" spans="1:29" s="61" customFormat="1" x14ac:dyDescent="0.2">
      <c r="A333" s="224" t="s">
        <v>930</v>
      </c>
      <c r="B333" s="154">
        <v>72104</v>
      </c>
      <c r="C333" s="61" t="str">
        <f>LEFT(C322,LEN(C322)-2)</f>
        <v>Poisar</v>
      </c>
      <c r="E333" s="61" t="s">
        <v>92</v>
      </c>
      <c r="G333" s="153"/>
      <c r="H333" s="160">
        <v>2518</v>
      </c>
      <c r="I333" s="232">
        <f>IF("generated"=1, "Path=Track_20_Track_2, Scaled Offset=2518", 2518)</f>
        <v>2518</v>
      </c>
      <c r="J333" s="89"/>
      <c r="M333" s="88"/>
      <c r="N333" s="88"/>
      <c r="O333" s="88"/>
      <c r="P333" s="88"/>
      <c r="Q333" s="88"/>
      <c r="S333" s="61" t="s">
        <v>41</v>
      </c>
      <c r="T333" s="87">
        <v>40</v>
      </c>
      <c r="V333" s="87"/>
    </row>
    <row r="334" spans="1:29" s="61" customFormat="1" x14ac:dyDescent="0.2">
      <c r="A334" s="224" t="s">
        <v>930</v>
      </c>
      <c r="B334" s="154">
        <v>72104</v>
      </c>
      <c r="C334" s="61" t="str">
        <f>C333</f>
        <v>Poisar</v>
      </c>
      <c r="E334" s="61" t="s">
        <v>92</v>
      </c>
      <c r="G334" s="153"/>
      <c r="H334" s="160">
        <v>2325</v>
      </c>
      <c r="I334" s="232">
        <f>IF("generated"=1, "Path=Track_20_Track_2, Scaled Offset=2325", 2325)</f>
        <v>2325</v>
      </c>
      <c r="J334" s="89"/>
      <c r="M334" s="88"/>
      <c r="N334" s="88"/>
      <c r="O334" s="88"/>
      <c r="P334" s="88"/>
      <c r="Q334" s="88"/>
      <c r="S334" s="61" t="s">
        <v>41</v>
      </c>
      <c r="T334" s="87">
        <v>40</v>
      </c>
      <c r="V334" s="87"/>
    </row>
    <row r="336" spans="1:29" s="62" customFormat="1" x14ac:dyDescent="0.2">
      <c r="A336" s="224" t="s">
        <v>129</v>
      </c>
      <c r="B336" s="154">
        <v>72117</v>
      </c>
      <c r="C336" s="61" t="s">
        <v>347</v>
      </c>
      <c r="D336" s="62" t="s">
        <v>69</v>
      </c>
      <c r="G336" s="149"/>
      <c r="H336" s="158"/>
      <c r="I336" s="162"/>
      <c r="M336" s="63"/>
      <c r="N336" s="63"/>
      <c r="O336" s="63"/>
      <c r="P336" s="63"/>
      <c r="Q336" s="63"/>
      <c r="T336" s="64"/>
      <c r="V336" s="64"/>
    </row>
    <row r="337" spans="1:29" s="60" customFormat="1" x14ac:dyDescent="0.2">
      <c r="A337" s="224"/>
      <c r="B337" s="81"/>
      <c r="C337" s="60" t="s">
        <v>348</v>
      </c>
      <c r="D337" s="60" t="s">
        <v>51</v>
      </c>
      <c r="E337" t="s">
        <v>188</v>
      </c>
      <c r="G337" s="150">
        <v>11667.067999999999</v>
      </c>
      <c r="H337" s="159">
        <f>G337+F337</f>
        <v>11667.067999999999</v>
      </c>
      <c r="I337" s="90">
        <f>IF("generated"=1, "Path=Intermodal_Coronel_Platform_2_2, Scaled Offset=160.40000000000000568434188608080149", 160.4)</f>
        <v>160.4</v>
      </c>
      <c r="J337" s="65"/>
      <c r="K337" s="60" t="s">
        <v>64</v>
      </c>
      <c r="M337" s="66">
        <v>-2.5</v>
      </c>
      <c r="N337" s="66">
        <v>0</v>
      </c>
      <c r="O337" s="66"/>
      <c r="P337" s="66"/>
      <c r="Q337" s="66"/>
      <c r="R337" s="60" t="str">
        <f>$E$3</f>
        <v>Red</v>
      </c>
      <c r="S337" s="60" t="s">
        <v>68</v>
      </c>
      <c r="T337" s="67" t="str">
        <f>C337</f>
        <v>Magathane_S1</v>
      </c>
      <c r="U337" s="60" t="s">
        <v>50</v>
      </c>
      <c r="V337" s="67">
        <v>0</v>
      </c>
      <c r="W337" s="60" t="s">
        <v>67</v>
      </c>
      <c r="X337" s="60">
        <v>1</v>
      </c>
      <c r="Y337" s="60" t="s">
        <v>66</v>
      </c>
      <c r="Z337" s="60">
        <v>1</v>
      </c>
      <c r="AA337" s="61" t="s">
        <v>347</v>
      </c>
      <c r="AB337" s="74" t="s">
        <v>352</v>
      </c>
      <c r="AC337" s="60">
        <v>2</v>
      </c>
    </row>
    <row r="338" spans="1:29" s="60" customFormat="1" x14ac:dyDescent="0.2">
      <c r="A338" s="224"/>
      <c r="B338" s="81"/>
      <c r="C338" s="60" t="str">
        <f>AA338&amp;"_"&amp;AC338</f>
        <v>Magathane_2</v>
      </c>
      <c r="D338" s="60" t="s">
        <v>51</v>
      </c>
      <c r="E338" t="s">
        <v>188</v>
      </c>
      <c r="G338" s="151">
        <f>AVERAGE(H337,H339)</f>
        <v>11759.567999999999</v>
      </c>
      <c r="H338" s="159">
        <f>F338+G338</f>
        <v>11759.567999999999</v>
      </c>
      <c r="I338" s="90">
        <f>IF("generated"=1, "Path=East_Central_Line1_5, Scaled Offset=69.5", 69.5)</f>
        <v>69.5</v>
      </c>
      <c r="J338" s="65"/>
      <c r="K338" s="60" t="s">
        <v>64</v>
      </c>
      <c r="M338" s="66">
        <f>M337</f>
        <v>-2.5</v>
      </c>
      <c r="N338" s="66">
        <v>0</v>
      </c>
      <c r="O338" s="66"/>
      <c r="P338" s="66"/>
      <c r="Q338" s="66"/>
      <c r="R338" s="60" t="str">
        <f>$E$4</f>
        <v>Green</v>
      </c>
      <c r="S338" s="60" t="s">
        <v>68</v>
      </c>
      <c r="T338" s="67" t="str">
        <f>C338</f>
        <v>Magathane_2</v>
      </c>
      <c r="U338" s="60" t="s">
        <v>50</v>
      </c>
      <c r="V338" s="67">
        <v>0</v>
      </c>
      <c r="W338" s="60" t="s">
        <v>67</v>
      </c>
      <c r="X338" s="60">
        <v>1</v>
      </c>
      <c r="Y338" s="60" t="s">
        <v>66</v>
      </c>
      <c r="Z338" s="60">
        <v>1</v>
      </c>
      <c r="AA338" s="60" t="str">
        <f>AA337</f>
        <v>Magathane</v>
      </c>
      <c r="AB338" s="60" t="str">
        <f>AB337</f>
        <v>MAG</v>
      </c>
      <c r="AC338" s="60">
        <f>AC337</f>
        <v>2</v>
      </c>
    </row>
    <row r="339" spans="1:29" s="60" customFormat="1" x14ac:dyDescent="0.2">
      <c r="A339" s="224"/>
      <c r="B339" s="81"/>
      <c r="C339" s="60" t="s">
        <v>349</v>
      </c>
      <c r="D339" s="60" t="s">
        <v>51</v>
      </c>
      <c r="E339" t="s">
        <v>188</v>
      </c>
      <c r="G339" s="150">
        <v>11852.067999999999</v>
      </c>
      <c r="H339" s="159">
        <f>G339+F339</f>
        <v>11852.067999999999</v>
      </c>
      <c r="I339" s="90">
        <f>IF("generated"=1, "Path=Intermodal_Coronel_Platform_2_2, Scaled Offset=231", 231)</f>
        <v>231</v>
      </c>
      <c r="J339" s="65"/>
      <c r="K339" s="60" t="s">
        <v>64</v>
      </c>
      <c r="M339" s="66">
        <v>-2.5</v>
      </c>
      <c r="N339" s="66">
        <v>0</v>
      </c>
      <c r="O339" s="66"/>
      <c r="P339" s="66"/>
      <c r="Q339" s="66"/>
      <c r="R339" s="60" t="str">
        <f>$E$3</f>
        <v>Red</v>
      </c>
      <c r="S339" s="60" t="s">
        <v>68</v>
      </c>
      <c r="T339" s="67" t="str">
        <f>C339</f>
        <v>Magathane_E1</v>
      </c>
      <c r="U339" s="60" t="s">
        <v>50</v>
      </c>
      <c r="V339" s="67">
        <v>0</v>
      </c>
      <c r="W339" s="60" t="s">
        <v>67</v>
      </c>
      <c r="X339" s="60">
        <v>1</v>
      </c>
      <c r="Y339" s="60" t="s">
        <v>66</v>
      </c>
      <c r="Z339" s="60">
        <v>1</v>
      </c>
      <c r="AA339" s="61" t="s">
        <v>347</v>
      </c>
      <c r="AB339" s="74" t="s">
        <v>352</v>
      </c>
      <c r="AC339" s="60">
        <v>2</v>
      </c>
    </row>
    <row r="340" spans="1:29" s="70" customFormat="1" x14ac:dyDescent="0.2">
      <c r="A340" s="224" t="s">
        <v>129</v>
      </c>
      <c r="B340" s="154">
        <v>72118</v>
      </c>
      <c r="C340" s="68" t="str">
        <f>C338</f>
        <v>Magathane_2</v>
      </c>
      <c r="D340" s="69" t="s">
        <v>65</v>
      </c>
      <c r="E340" s="70" t="str">
        <f>E338</f>
        <v>MMRBEM_7_DOWN</v>
      </c>
      <c r="F340" s="70">
        <f>F338</f>
        <v>0</v>
      </c>
      <c r="G340" s="152">
        <f>H338</f>
        <v>11759.567999999999</v>
      </c>
      <c r="H340" s="159">
        <f t="shared" ref="H340:H350" si="141">F340+G340</f>
        <v>11759.567999999999</v>
      </c>
      <c r="I340" s="232">
        <f>IF("generated"=1, "Path=MMRBEM_7_DOWN, Scaled Offset=11759.567999999999301508069038391113", 12095.7709558419)</f>
        <v>12095.770955841899</v>
      </c>
      <c r="K340" s="69" t="s">
        <v>64</v>
      </c>
      <c r="M340" s="71">
        <f>2*M338</f>
        <v>-5</v>
      </c>
      <c r="N340" s="71">
        <v>0</v>
      </c>
      <c r="O340" s="71"/>
      <c r="P340" s="71">
        <v>0</v>
      </c>
      <c r="Q340" s="71">
        <v>0</v>
      </c>
      <c r="S340" s="69" t="s">
        <v>63</v>
      </c>
      <c r="T340" s="72">
        <f>ABS(H339-H337)</f>
        <v>185</v>
      </c>
      <c r="U340" s="69" t="s">
        <v>62</v>
      </c>
      <c r="V340" s="73" t="str">
        <f>C340</f>
        <v>Magathane_2</v>
      </c>
      <c r="W340" s="68" t="s">
        <v>61</v>
      </c>
      <c r="X340" s="74" t="s">
        <v>352</v>
      </c>
      <c r="Y340" s="74" t="s">
        <v>60</v>
      </c>
      <c r="Z340" s="70" t="str">
        <f>LEFT(V340, LEN(V340)-2)</f>
        <v>Magathane</v>
      </c>
    </row>
    <row r="341" spans="1:29" s="70" customFormat="1" x14ac:dyDescent="0.2">
      <c r="A341" s="224" t="s">
        <v>129</v>
      </c>
      <c r="B341" s="154">
        <v>72119</v>
      </c>
      <c r="C341" s="70" t="str">
        <f>CONCATENATE("Platform Passenger - ",C340)</f>
        <v>Platform Passenger - Magathane_2</v>
      </c>
      <c r="D341" s="75" t="s">
        <v>59</v>
      </c>
      <c r="E341" s="70" t="str">
        <f t="shared" ref="E341:E346" si="142">E340</f>
        <v>MMRBEM_7_DOWN</v>
      </c>
      <c r="F341" s="70">
        <v>0</v>
      </c>
      <c r="G341" s="152">
        <f t="shared" ref="G341:G346" si="143">G340</f>
        <v>11759.567999999999</v>
      </c>
      <c r="H341" s="159">
        <f t="shared" si="141"/>
        <v>11759.567999999999</v>
      </c>
      <c r="I341" s="232">
        <f>IF("generated"=1, "Path=MMRBEM_7_DOWN, Scaled Offset=11759.567999999999301508069038391113", 12095.7709558419)</f>
        <v>12095.770955841899</v>
      </c>
      <c r="K341" s="76" t="str">
        <f t="shared" ref="K341:K346" si="144">K340</f>
        <v>BOTH</v>
      </c>
      <c r="M341" s="77">
        <f>M340/2</f>
        <v>-2.5</v>
      </c>
      <c r="N341" s="77">
        <f>N340</f>
        <v>0</v>
      </c>
      <c r="O341" s="77"/>
      <c r="P341" s="77">
        <v>270</v>
      </c>
      <c r="Q341" s="77">
        <f>Q340</f>
        <v>0</v>
      </c>
      <c r="R341" s="75" t="s">
        <v>1091</v>
      </c>
      <c r="S341" s="70" t="s">
        <v>58</v>
      </c>
      <c r="T341" s="78" t="str">
        <f>CONCATENATE(X340,"_PAS"&amp;AC339)</f>
        <v>MAG_PAS2</v>
      </c>
      <c r="V341" s="79"/>
    </row>
    <row r="342" spans="1:29" s="70" customFormat="1" x14ac:dyDescent="0.2">
      <c r="A342" s="224" t="s">
        <v>129</v>
      </c>
      <c r="B342" s="154">
        <v>72120</v>
      </c>
      <c r="C342" s="70" t="str">
        <f>CONCATENATE("Passenger Alighting - ",C340)</f>
        <v>Passenger Alighting - Magathane_2</v>
      </c>
      <c r="D342" s="75" t="s">
        <v>57</v>
      </c>
      <c r="E342" s="70" t="str">
        <f t="shared" si="142"/>
        <v>MMRBEM_7_DOWN</v>
      </c>
      <c r="F342" s="70">
        <v>0</v>
      </c>
      <c r="G342" s="152">
        <f t="shared" si="143"/>
        <v>11759.567999999999</v>
      </c>
      <c r="H342" s="159">
        <f t="shared" si="141"/>
        <v>11759.567999999999</v>
      </c>
      <c r="I342" s="232">
        <f>IF("generated"=1, "Path=MMRBEM_7_DOWN, Scaled Offset=11759.567999999999301508069038391113", 12095.7709558419)</f>
        <v>12095.770955841899</v>
      </c>
      <c r="K342" s="76" t="str">
        <f t="shared" si="144"/>
        <v>BOTH</v>
      </c>
      <c r="M342" s="77">
        <f>M341</f>
        <v>-2.5</v>
      </c>
      <c r="N342" s="77">
        <f>N341</f>
        <v>0</v>
      </c>
      <c r="O342" s="77"/>
      <c r="P342" s="77">
        <v>270</v>
      </c>
      <c r="Q342" s="77">
        <f>Q341</f>
        <v>0</v>
      </c>
      <c r="R342" s="75" t="s">
        <v>1091</v>
      </c>
      <c r="S342" s="70" t="s">
        <v>56</v>
      </c>
      <c r="T342" s="78">
        <f>B341</f>
        <v>72119</v>
      </c>
      <c r="V342" s="79"/>
    </row>
    <row r="343" spans="1:29" s="70" customFormat="1" x14ac:dyDescent="0.2">
      <c r="A343" s="224" t="s">
        <v>129</v>
      </c>
      <c r="B343" s="154">
        <v>72121</v>
      </c>
      <c r="C343" s="70" t="str">
        <f>CONCATENATE("Passenger Arriving - ",C338)</f>
        <v>Passenger Arriving - Magathane_2</v>
      </c>
      <c r="D343" s="75" t="s">
        <v>55</v>
      </c>
      <c r="E343" s="70" t="str">
        <f t="shared" si="142"/>
        <v>MMRBEM_7_DOWN</v>
      </c>
      <c r="F343" s="70">
        <v>0</v>
      </c>
      <c r="G343" s="152">
        <f t="shared" si="143"/>
        <v>11759.567999999999</v>
      </c>
      <c r="H343" s="159">
        <f t="shared" si="141"/>
        <v>11759.567999999999</v>
      </c>
      <c r="I343" s="232">
        <f>IF("generated"=1, "Path=MMRBEM_7_DOWN, Scaled Offset=11759.567999999999301508069038391113", 12095.7709558419)</f>
        <v>12095.770955841899</v>
      </c>
      <c r="K343" s="76" t="str">
        <f t="shared" si="144"/>
        <v>BOTH</v>
      </c>
      <c r="M343" s="77">
        <f>M342</f>
        <v>-2.5</v>
      </c>
      <c r="N343" s="77">
        <f>N342</f>
        <v>0</v>
      </c>
      <c r="O343" s="77"/>
      <c r="P343" s="77">
        <v>270</v>
      </c>
      <c r="Q343" s="77">
        <f>Q342</f>
        <v>0</v>
      </c>
      <c r="R343" s="75" t="s">
        <v>52</v>
      </c>
      <c r="S343" s="70" t="str">
        <f t="shared" ref="S343:T343" si="145">S342</f>
        <v>Parent ID</v>
      </c>
      <c r="T343" s="78">
        <f t="shared" si="145"/>
        <v>72119</v>
      </c>
      <c r="V343" s="79"/>
    </row>
    <row r="344" spans="1:29" s="70" customFormat="1" x14ac:dyDescent="0.2">
      <c r="A344" s="224" t="s">
        <v>129</v>
      </c>
      <c r="B344" s="154">
        <v>72122</v>
      </c>
      <c r="C344" s="70" t="str">
        <f>CONCATENATE("Passenger Intoxicated - ",C340)</f>
        <v>Passenger Intoxicated - Magathane_2</v>
      </c>
      <c r="D344" s="75" t="s">
        <v>54</v>
      </c>
      <c r="E344" s="70" t="str">
        <f t="shared" si="142"/>
        <v>MMRBEM_7_DOWN</v>
      </c>
      <c r="F344" s="70">
        <v>0</v>
      </c>
      <c r="G344" s="152">
        <f t="shared" si="143"/>
        <v>11759.567999999999</v>
      </c>
      <c r="H344" s="159">
        <f t="shared" si="141"/>
        <v>11759.567999999999</v>
      </c>
      <c r="I344" s="232">
        <f>IF("generated"=1, "Path=MMRBEM_7_DOWN, Scaled Offset=11759.567999999999301508069038391113", 12095.7709558419)</f>
        <v>12095.770955841899</v>
      </c>
      <c r="K344" s="76" t="str">
        <f t="shared" si="144"/>
        <v>BOTH</v>
      </c>
      <c r="M344" s="77">
        <f>M343</f>
        <v>-2.5</v>
      </c>
      <c r="N344" s="77">
        <f>N343</f>
        <v>0</v>
      </c>
      <c r="O344" s="77"/>
      <c r="P344" s="77">
        <v>270</v>
      </c>
      <c r="Q344" s="77">
        <f>Q343</f>
        <v>0</v>
      </c>
      <c r="R344" s="75" t="s">
        <v>52</v>
      </c>
      <c r="S344" s="70" t="str">
        <f t="shared" ref="S344:T344" si="146">S343</f>
        <v>Parent ID</v>
      </c>
      <c r="T344" s="78">
        <f t="shared" si="146"/>
        <v>72119</v>
      </c>
      <c r="V344" s="79"/>
    </row>
    <row r="345" spans="1:29" s="70" customFormat="1" x14ac:dyDescent="0.2">
      <c r="A345" s="224" t="s">
        <v>129</v>
      </c>
      <c r="B345" s="154">
        <v>72123</v>
      </c>
      <c r="C345" s="70" t="str">
        <f>CONCATENATE("Passenger Pram - ",C340)</f>
        <v>Passenger Pram - Magathane_2</v>
      </c>
      <c r="D345" s="75" t="s">
        <v>53</v>
      </c>
      <c r="E345" s="70" t="str">
        <f t="shared" si="142"/>
        <v>MMRBEM_7_DOWN</v>
      </c>
      <c r="F345" s="70">
        <v>0</v>
      </c>
      <c r="G345" s="152">
        <f t="shared" si="143"/>
        <v>11759.567999999999</v>
      </c>
      <c r="H345" s="159">
        <f t="shared" si="141"/>
        <v>11759.567999999999</v>
      </c>
      <c r="I345" s="232">
        <f>IF("generated"=1, "Path=MMRBEM_7_DOWN, Scaled Offset=11759.567999999999301508069038391113", 12095.7709558419)</f>
        <v>12095.770955841899</v>
      </c>
      <c r="K345" s="76" t="str">
        <f t="shared" si="144"/>
        <v>BOTH</v>
      </c>
      <c r="M345" s="77">
        <f>M344</f>
        <v>-2.5</v>
      </c>
      <c r="N345" s="77">
        <f>N344</f>
        <v>0</v>
      </c>
      <c r="O345" s="77"/>
      <c r="P345" s="77">
        <v>270</v>
      </c>
      <c r="Q345" s="77">
        <f>Q344</f>
        <v>0</v>
      </c>
      <c r="R345" s="75" t="s">
        <v>52</v>
      </c>
      <c r="S345" s="70" t="str">
        <f t="shared" ref="S345:T345" si="147">S344</f>
        <v>Parent ID</v>
      </c>
      <c r="T345" s="78">
        <f t="shared" si="147"/>
        <v>72119</v>
      </c>
      <c r="V345" s="79"/>
    </row>
    <row r="346" spans="1:29" s="164" customFormat="1" x14ac:dyDescent="0.2">
      <c r="A346" s="224" t="s">
        <v>129</v>
      </c>
      <c r="B346" s="81">
        <v>72287</v>
      </c>
      <c r="C346" s="70" t="str">
        <f>CONCATENATE("PSD - ",C340)</f>
        <v>PSD - Magathane_2</v>
      </c>
      <c r="D346" s="165" t="s">
        <v>1042</v>
      </c>
      <c r="E346" s="70" t="str">
        <f t="shared" si="142"/>
        <v>MMRBEM_7_DOWN</v>
      </c>
      <c r="F346" s="70">
        <v>0</v>
      </c>
      <c r="G346" s="152">
        <f t="shared" si="143"/>
        <v>11759.567999999999</v>
      </c>
      <c r="H346" s="159">
        <f t="shared" si="141"/>
        <v>11759.567999999999</v>
      </c>
      <c r="I346" s="232">
        <f>IF("generated"=1, "Path=MMRBEM_7_DOWN, Scaled Offset=11759.567999999999301508069038391113", 12095.7709558419)</f>
        <v>12095.770955841899</v>
      </c>
      <c r="K346" s="76" t="str">
        <f t="shared" si="144"/>
        <v>BOTH</v>
      </c>
      <c r="M346" s="168">
        <f>M345+0.5</f>
        <v>-2</v>
      </c>
      <c r="N346" s="168"/>
      <c r="O346" s="168"/>
      <c r="P346" s="168"/>
      <c r="Q346" s="168"/>
      <c r="R346" s="165"/>
      <c r="S346" s="165" t="s">
        <v>1043</v>
      </c>
      <c r="T346" s="165" t="str">
        <f>_xlfn.CONCAT("PSD_",T341)</f>
        <v>PSD_MAG_PAS2</v>
      </c>
      <c r="U346" s="165" t="s">
        <v>926</v>
      </c>
      <c r="V346" s="165">
        <f>B340</f>
        <v>72118</v>
      </c>
      <c r="W346" s="165"/>
      <c r="X346" s="165"/>
    </row>
    <row r="347" spans="1:29" s="164" customFormat="1" x14ac:dyDescent="0.2">
      <c r="A347" s="224" t="s">
        <v>129</v>
      </c>
      <c r="B347" s="81">
        <v>72245</v>
      </c>
      <c r="C347" s="164" t="s">
        <v>1011</v>
      </c>
      <c r="D347" s="140" t="s">
        <v>928</v>
      </c>
      <c r="E347" s="70" t="s">
        <v>126</v>
      </c>
      <c r="G347" s="166">
        <f>G348+22.2</f>
        <v>4149.6399999999994</v>
      </c>
      <c r="H347" s="159">
        <f t="shared" si="141"/>
        <v>4149.6399999999994</v>
      </c>
      <c r="I347" s="232">
        <f>IF("generated"=1, "Path=Track_10_Track_2, Scaled Offset=4149.6399999999994179233908653259277", 4149.63999999999)</f>
        <v>4149.6399999999903</v>
      </c>
      <c r="K347" s="167"/>
      <c r="M347" s="168"/>
      <c r="N347" s="168"/>
      <c r="O347" s="168"/>
      <c r="P347" s="168"/>
      <c r="Q347" s="168"/>
      <c r="R347" s="165" t="s">
        <v>1041</v>
      </c>
      <c r="S347" s="140" t="s">
        <v>926</v>
      </c>
      <c r="T347" s="143">
        <f>B340</f>
        <v>72118</v>
      </c>
      <c r="U347" s="140" t="s">
        <v>61</v>
      </c>
      <c r="V347" s="143" t="str">
        <f>X340</f>
        <v>MAG</v>
      </c>
      <c r="W347" s="140" t="s">
        <v>927</v>
      </c>
      <c r="X347" s="164">
        <v>1</v>
      </c>
    </row>
    <row r="348" spans="1:29" s="164" customFormat="1" x14ac:dyDescent="0.2">
      <c r="A348" s="224" t="s">
        <v>129</v>
      </c>
      <c r="B348" s="81">
        <v>72246</v>
      </c>
      <c r="C348" s="164" t="s">
        <v>1012</v>
      </c>
      <c r="D348" s="140" t="s">
        <v>928</v>
      </c>
      <c r="E348" s="70" t="str">
        <f t="shared" ref="E348:E350" si="148">E347</f>
        <v>Track_10_Track_2</v>
      </c>
      <c r="G348" s="166">
        <v>4127.4399999999996</v>
      </c>
      <c r="H348" s="159">
        <f t="shared" si="141"/>
        <v>4127.4399999999996</v>
      </c>
      <c r="I348" s="232">
        <f>IF("generated"=1, "Path=Track_10_Track_2, Scaled Offset=4127.4399999999995998223312199115753", 4127.43999999999)</f>
        <v>4127.4399999999896</v>
      </c>
      <c r="K348" s="167"/>
      <c r="M348" s="168"/>
      <c r="N348" s="168"/>
      <c r="O348" s="168"/>
      <c r="P348" s="168"/>
      <c r="Q348" s="168"/>
      <c r="R348" s="165" t="s">
        <v>1041</v>
      </c>
      <c r="S348" s="140" t="s">
        <v>926</v>
      </c>
      <c r="T348" s="143">
        <f>T347</f>
        <v>72118</v>
      </c>
      <c r="U348" s="140" t="s">
        <v>61</v>
      </c>
      <c r="V348" s="143" t="str">
        <f>V347</f>
        <v>MAG</v>
      </c>
      <c r="W348" s="140" t="s">
        <v>927</v>
      </c>
      <c r="X348" s="164">
        <v>1</v>
      </c>
    </row>
    <row r="349" spans="1:29" s="164" customFormat="1" x14ac:dyDescent="0.2">
      <c r="A349" s="224" t="s">
        <v>129</v>
      </c>
      <c r="B349" s="81">
        <v>72247</v>
      </c>
      <c r="C349" s="164" t="s">
        <v>1013</v>
      </c>
      <c r="D349" s="140" t="s">
        <v>928</v>
      </c>
      <c r="E349" s="70" t="str">
        <f t="shared" si="148"/>
        <v>Track_10_Track_2</v>
      </c>
      <c r="G349" s="166">
        <v>3991.36</v>
      </c>
      <c r="H349" s="159">
        <f t="shared" si="141"/>
        <v>3991.36</v>
      </c>
      <c r="I349" s="232">
        <f>IF("generated"=1, "Path=Track_10_Track_2, Scaled Offset=3991.3600000000001273292582482099533", 3991.36)</f>
        <v>3991.36</v>
      </c>
      <c r="K349" s="167"/>
      <c r="L349" s="164">
        <v>1</v>
      </c>
      <c r="M349" s="168"/>
      <c r="N349" s="168"/>
      <c r="O349" s="168"/>
      <c r="P349" s="168"/>
      <c r="Q349" s="168"/>
      <c r="R349" s="165" t="s">
        <v>1041</v>
      </c>
      <c r="S349" s="140" t="s">
        <v>926</v>
      </c>
      <c r="T349" s="143">
        <f>T348</f>
        <v>72118</v>
      </c>
      <c r="U349" s="140" t="s">
        <v>61</v>
      </c>
      <c r="V349" s="143" t="str">
        <f>V348</f>
        <v>MAG</v>
      </c>
      <c r="W349" s="140" t="s">
        <v>927</v>
      </c>
      <c r="X349" s="164">
        <v>2</v>
      </c>
    </row>
    <row r="350" spans="1:29" s="164" customFormat="1" x14ac:dyDescent="0.2">
      <c r="A350" s="224" t="s">
        <v>129</v>
      </c>
      <c r="B350" s="81">
        <v>72248</v>
      </c>
      <c r="C350" s="164" t="s">
        <v>1014</v>
      </c>
      <c r="D350" s="140" t="s">
        <v>928</v>
      </c>
      <c r="E350" s="70" t="str">
        <f t="shared" si="148"/>
        <v>Track_10_Track_2</v>
      </c>
      <c r="G350" s="166">
        <f>G349-22.2</f>
        <v>3969.1600000000003</v>
      </c>
      <c r="H350" s="159">
        <f t="shared" si="141"/>
        <v>3969.1600000000003</v>
      </c>
      <c r="I350" s="232">
        <f>IF("generated"=1, "Path=Track_10_Track_2, Scaled Offset=3969.1600000000003092281986027956009", 3969.16)</f>
        <v>3969.16</v>
      </c>
      <c r="K350" s="167"/>
      <c r="L350" s="164">
        <v>1</v>
      </c>
      <c r="M350" s="168"/>
      <c r="N350" s="168"/>
      <c r="O350" s="168"/>
      <c r="P350" s="168"/>
      <c r="Q350" s="168"/>
      <c r="R350" s="165" t="s">
        <v>1041</v>
      </c>
      <c r="S350" s="140" t="s">
        <v>926</v>
      </c>
      <c r="T350" s="143">
        <f>T349</f>
        <v>72118</v>
      </c>
      <c r="U350" s="140" t="s">
        <v>61</v>
      </c>
      <c r="V350" s="143" t="str">
        <f>V349</f>
        <v>MAG</v>
      </c>
      <c r="W350" s="140" t="s">
        <v>927</v>
      </c>
      <c r="X350" s="164">
        <v>2</v>
      </c>
    </row>
    <row r="351" spans="1:29" s="61" customFormat="1" x14ac:dyDescent="0.2">
      <c r="A351" s="224" t="s">
        <v>930</v>
      </c>
      <c r="B351" s="81">
        <v>72117</v>
      </c>
      <c r="C351" s="61" t="str">
        <f>LEFT(C340,LEN(C340)-2)</f>
        <v>Magathane</v>
      </c>
      <c r="E351" s="61" t="s">
        <v>126</v>
      </c>
      <c r="G351" s="153"/>
      <c r="H351" s="160">
        <v>3964</v>
      </c>
      <c r="I351" s="232">
        <f>IF("generated"=1, "Path=Track_10_Track_2, Scaled Offset=3964", 3964)</f>
        <v>3964</v>
      </c>
      <c r="J351" s="89"/>
      <c r="M351" s="88"/>
      <c r="N351" s="88"/>
      <c r="O351" s="88"/>
      <c r="P351" s="88"/>
      <c r="Q351" s="88"/>
      <c r="S351" s="61" t="s">
        <v>41</v>
      </c>
      <c r="T351" s="87">
        <v>40</v>
      </c>
      <c r="V351" s="87"/>
    </row>
    <row r="352" spans="1:29" s="61" customFormat="1" x14ac:dyDescent="0.2">
      <c r="A352" s="224" t="s">
        <v>930</v>
      </c>
      <c r="B352" s="81">
        <v>72117</v>
      </c>
      <c r="C352" s="61" t="str">
        <f>C351</f>
        <v>Magathane</v>
      </c>
      <c r="E352" s="61" t="s">
        <v>126</v>
      </c>
      <c r="G352" s="153"/>
      <c r="H352" s="160">
        <v>4153</v>
      </c>
      <c r="I352" s="232">
        <f>IF("generated"=1, "Path=Track_10_Track_2, Scaled Offset=4153", 4153)</f>
        <v>4153</v>
      </c>
      <c r="J352" s="89"/>
      <c r="M352" s="88"/>
      <c r="N352" s="88"/>
      <c r="O352" s="88"/>
      <c r="P352" s="88"/>
      <c r="Q352" s="88"/>
      <c r="S352" s="61" t="s">
        <v>41</v>
      </c>
      <c r="T352" s="87">
        <v>40</v>
      </c>
      <c r="V352" s="87"/>
    </row>
    <row r="354" spans="1:29" s="62" customFormat="1" x14ac:dyDescent="0.2">
      <c r="A354" s="224" t="s">
        <v>129</v>
      </c>
      <c r="B354" s="154">
        <v>72117</v>
      </c>
      <c r="C354" s="61" t="s">
        <v>347</v>
      </c>
      <c r="D354" s="62" t="s">
        <v>69</v>
      </c>
      <c r="E354" s="94"/>
      <c r="G354" s="149"/>
      <c r="H354" s="158"/>
      <c r="I354" s="162"/>
      <c r="M354" s="63"/>
      <c r="N354" s="63"/>
      <c r="O354" s="63"/>
      <c r="P354" s="63"/>
      <c r="Q354" s="63"/>
      <c r="T354" s="64"/>
      <c r="V354" s="64"/>
    </row>
    <row r="355" spans="1:29" s="60" customFormat="1" x14ac:dyDescent="0.2">
      <c r="A355" s="224"/>
      <c r="B355" s="81"/>
      <c r="C355" s="60" t="s">
        <v>350</v>
      </c>
      <c r="D355" s="60" t="s">
        <v>51</v>
      </c>
      <c r="E355" s="94" t="s">
        <v>187</v>
      </c>
      <c r="G355" s="150">
        <v>11669.699000000001</v>
      </c>
      <c r="H355" s="159">
        <f>G355+F355</f>
        <v>11669.699000000001</v>
      </c>
      <c r="I355" s="90"/>
      <c r="J355" s="65"/>
      <c r="K355" s="60" t="s">
        <v>64</v>
      </c>
      <c r="M355" s="66">
        <v>2.5</v>
      </c>
      <c r="N355" s="66">
        <v>0</v>
      </c>
      <c r="O355" s="66"/>
      <c r="P355" s="66"/>
      <c r="Q355" s="66"/>
      <c r="R355" s="60" t="str">
        <f>$E$3</f>
        <v>Red</v>
      </c>
      <c r="S355" s="60" t="s">
        <v>68</v>
      </c>
      <c r="T355" s="67" t="str">
        <f>C355</f>
        <v>Magathane_S2</v>
      </c>
      <c r="U355" s="60" t="s">
        <v>50</v>
      </c>
      <c r="V355" s="67">
        <v>0</v>
      </c>
      <c r="W355" s="60" t="s">
        <v>67</v>
      </c>
      <c r="X355" s="60">
        <v>1</v>
      </c>
      <c r="Y355" s="60" t="s">
        <v>66</v>
      </c>
      <c r="Z355" s="60">
        <v>1</v>
      </c>
      <c r="AA355" s="60" t="s">
        <v>347</v>
      </c>
      <c r="AB355" s="74" t="s">
        <v>352</v>
      </c>
      <c r="AC355" s="60">
        <v>1</v>
      </c>
    </row>
    <row r="356" spans="1:29" s="60" customFormat="1" x14ac:dyDescent="0.2">
      <c r="A356" s="224"/>
      <c r="B356" s="81"/>
      <c r="C356" s="60" t="str">
        <f>AA356&amp;"_"&amp;AC356</f>
        <v>Magathane_1</v>
      </c>
      <c r="D356" s="60" t="s">
        <v>51</v>
      </c>
      <c r="E356" s="60" t="str">
        <f>E355</f>
        <v>MMRBEM_7_UP</v>
      </c>
      <c r="G356" s="151">
        <f>AVERAGE(H355,H357)</f>
        <v>11762.199000000001</v>
      </c>
      <c r="H356" s="159">
        <f>F356+G356</f>
        <v>11762.199000000001</v>
      </c>
      <c r="I356" s="90"/>
      <c r="J356" s="65"/>
      <c r="K356" s="60" t="s">
        <v>64</v>
      </c>
      <c r="M356" s="66">
        <v>2.5</v>
      </c>
      <c r="N356" s="66">
        <v>0</v>
      </c>
      <c r="O356" s="66"/>
      <c r="P356" s="66"/>
      <c r="Q356" s="66"/>
      <c r="R356" s="60" t="str">
        <f>$E$4</f>
        <v>Green</v>
      </c>
      <c r="S356" s="60" t="s">
        <v>68</v>
      </c>
      <c r="T356" s="67" t="str">
        <f>C356</f>
        <v>Magathane_1</v>
      </c>
      <c r="U356" s="60" t="s">
        <v>50</v>
      </c>
      <c r="V356" s="67">
        <v>0</v>
      </c>
      <c r="W356" s="60" t="s">
        <v>67</v>
      </c>
      <c r="X356" s="60">
        <v>1</v>
      </c>
      <c r="Y356" s="60" t="s">
        <v>66</v>
      </c>
      <c r="Z356" s="60">
        <v>1</v>
      </c>
      <c r="AA356" s="60" t="str">
        <f>AA355</f>
        <v>Magathane</v>
      </c>
      <c r="AB356" s="60" t="str">
        <f>AB355</f>
        <v>MAG</v>
      </c>
      <c r="AC356" s="60">
        <f>AC355</f>
        <v>1</v>
      </c>
    </row>
    <row r="357" spans="1:29" s="60" customFormat="1" x14ac:dyDescent="0.2">
      <c r="A357" s="224"/>
      <c r="B357" s="81"/>
      <c r="C357" s="60" t="s">
        <v>351</v>
      </c>
      <c r="D357" s="60" t="s">
        <v>51</v>
      </c>
      <c r="E357" s="94" t="s">
        <v>187</v>
      </c>
      <c r="G357" s="150">
        <v>11854.699000000001</v>
      </c>
      <c r="H357" s="159">
        <f>G357+F357</f>
        <v>11854.699000000001</v>
      </c>
      <c r="I357" s="90"/>
      <c r="J357" s="65"/>
      <c r="K357" s="60" t="s">
        <v>64</v>
      </c>
      <c r="M357" s="66">
        <v>2.5</v>
      </c>
      <c r="N357" s="66">
        <v>0</v>
      </c>
      <c r="O357" s="66"/>
      <c r="P357" s="66"/>
      <c r="Q357" s="66"/>
      <c r="R357" s="60" t="str">
        <f>$E$3</f>
        <v>Red</v>
      </c>
      <c r="S357" s="60" t="s">
        <v>68</v>
      </c>
      <c r="T357" s="67" t="str">
        <f>C357</f>
        <v>Magathane_E2</v>
      </c>
      <c r="U357" s="60" t="s">
        <v>50</v>
      </c>
      <c r="V357" s="67">
        <v>0</v>
      </c>
      <c r="W357" s="60" t="s">
        <v>67</v>
      </c>
      <c r="X357" s="60">
        <v>1</v>
      </c>
      <c r="Y357" s="60" t="s">
        <v>66</v>
      </c>
      <c r="Z357" s="60">
        <v>1</v>
      </c>
      <c r="AA357" s="60" t="s">
        <v>347</v>
      </c>
      <c r="AB357" s="74" t="s">
        <v>352</v>
      </c>
      <c r="AC357" s="60">
        <v>1</v>
      </c>
    </row>
    <row r="358" spans="1:29" s="70" customFormat="1" x14ac:dyDescent="0.2">
      <c r="A358" s="224" t="s">
        <v>129</v>
      </c>
      <c r="B358" s="154">
        <v>72124</v>
      </c>
      <c r="C358" s="68" t="str">
        <f>C356</f>
        <v>Magathane_1</v>
      </c>
      <c r="D358" s="69" t="s">
        <v>65</v>
      </c>
      <c r="E358" s="70" t="str">
        <f>E356</f>
        <v>MMRBEM_7_UP</v>
      </c>
      <c r="F358" s="70">
        <f>F356</f>
        <v>0</v>
      </c>
      <c r="G358" s="152">
        <f>H356</f>
        <v>11762.199000000001</v>
      </c>
      <c r="H358" s="159">
        <f t="shared" ref="H358:H368" si="149">F358+G358</f>
        <v>11762.199000000001</v>
      </c>
      <c r="I358" s="232">
        <f>IF("generated"=1, "Path=MMRBEM_7_UP, Scaled Offset=11762.199000000000523868948221206665", 12096.9617809524)</f>
        <v>12096.961780952401</v>
      </c>
      <c r="K358" s="69" t="s">
        <v>64</v>
      </c>
      <c r="M358" s="71">
        <f>2*M356</f>
        <v>5</v>
      </c>
      <c r="N358" s="71">
        <v>0</v>
      </c>
      <c r="O358" s="71"/>
      <c r="P358" s="71">
        <v>0</v>
      </c>
      <c r="Q358" s="71">
        <v>0</v>
      </c>
      <c r="S358" s="69" t="s">
        <v>63</v>
      </c>
      <c r="T358" s="72">
        <f>ABS(H357-H355)</f>
        <v>185</v>
      </c>
      <c r="U358" s="69" t="s">
        <v>62</v>
      </c>
      <c r="V358" s="73" t="str">
        <f>C358</f>
        <v>Magathane_1</v>
      </c>
      <c r="W358" s="68" t="s">
        <v>61</v>
      </c>
      <c r="X358" s="74" t="s">
        <v>352</v>
      </c>
      <c r="Y358" s="74" t="s">
        <v>60</v>
      </c>
      <c r="Z358" s="70" t="str">
        <f>LEFT(V358, LEN(V358)-2)</f>
        <v>Magathane</v>
      </c>
    </row>
    <row r="359" spans="1:29" s="70" customFormat="1" x14ac:dyDescent="0.2">
      <c r="A359" s="224" t="s">
        <v>129</v>
      </c>
      <c r="B359" s="154">
        <v>72125</v>
      </c>
      <c r="C359" s="70" t="str">
        <f>CONCATENATE("Platform Passenger - ",C358)</f>
        <v>Platform Passenger - Magathane_1</v>
      </c>
      <c r="D359" s="75" t="s">
        <v>59</v>
      </c>
      <c r="E359" s="70" t="str">
        <f t="shared" ref="E359:E364" si="150">E358</f>
        <v>MMRBEM_7_UP</v>
      </c>
      <c r="F359" s="70">
        <v>0</v>
      </c>
      <c r="G359" s="152">
        <f t="shared" ref="G359:G364" si="151">G358</f>
        <v>11762.199000000001</v>
      </c>
      <c r="H359" s="159">
        <f t="shared" si="149"/>
        <v>11762.199000000001</v>
      </c>
      <c r="I359" s="232">
        <f>IF("generated"=1, "Path=MMRBEM_7_UP, Scaled Offset=11762.199000000000523868948221206665", 12096.9617809524)</f>
        <v>12096.961780952401</v>
      </c>
      <c r="K359" s="76" t="str">
        <f t="shared" ref="K359:K364" si="152">K358</f>
        <v>BOTH</v>
      </c>
      <c r="M359" s="77">
        <f>M358/2</f>
        <v>2.5</v>
      </c>
      <c r="N359" s="77">
        <f>N358</f>
        <v>0</v>
      </c>
      <c r="O359" s="77"/>
      <c r="P359" s="77">
        <v>90</v>
      </c>
      <c r="Q359" s="77">
        <f>Q358</f>
        <v>0</v>
      </c>
      <c r="R359" s="75" t="s">
        <v>1091</v>
      </c>
      <c r="S359" s="70" t="s">
        <v>58</v>
      </c>
      <c r="T359" s="78" t="str">
        <f>CONCATENATE(X358,"_PAS"&amp;AC357)</f>
        <v>MAG_PAS1</v>
      </c>
      <c r="V359" s="79"/>
    </row>
    <row r="360" spans="1:29" s="70" customFormat="1" x14ac:dyDescent="0.2">
      <c r="A360" s="224" t="s">
        <v>129</v>
      </c>
      <c r="B360" s="154">
        <v>72126</v>
      </c>
      <c r="C360" s="70" t="str">
        <f>CONCATENATE("Passenger Alighting - ",C358)</f>
        <v>Passenger Alighting - Magathane_1</v>
      </c>
      <c r="D360" s="75" t="s">
        <v>57</v>
      </c>
      <c r="E360" s="70" t="str">
        <f t="shared" si="150"/>
        <v>MMRBEM_7_UP</v>
      </c>
      <c r="F360" s="70">
        <v>0</v>
      </c>
      <c r="G360" s="152">
        <f t="shared" si="151"/>
        <v>11762.199000000001</v>
      </c>
      <c r="H360" s="159">
        <f t="shared" si="149"/>
        <v>11762.199000000001</v>
      </c>
      <c r="I360" s="232">
        <f>IF("generated"=1, "Path=MMRBEM_7_UP, Scaled Offset=11762.199000000000523868948221206665", 12096.9617809524)</f>
        <v>12096.961780952401</v>
      </c>
      <c r="K360" s="76" t="str">
        <f t="shared" si="152"/>
        <v>BOTH</v>
      </c>
      <c r="M360" s="77">
        <f>M359</f>
        <v>2.5</v>
      </c>
      <c r="N360" s="77">
        <f>N359</f>
        <v>0</v>
      </c>
      <c r="O360" s="77"/>
      <c r="P360" s="77">
        <v>90</v>
      </c>
      <c r="Q360" s="77">
        <f>Q359</f>
        <v>0</v>
      </c>
      <c r="R360" s="75" t="s">
        <v>1091</v>
      </c>
      <c r="S360" s="70" t="s">
        <v>56</v>
      </c>
      <c r="T360" s="78">
        <f>B359</f>
        <v>72125</v>
      </c>
      <c r="V360" s="79"/>
    </row>
    <row r="361" spans="1:29" s="70" customFormat="1" x14ac:dyDescent="0.2">
      <c r="A361" s="224" t="s">
        <v>129</v>
      </c>
      <c r="B361" s="154">
        <v>72127</v>
      </c>
      <c r="C361" s="70" t="str">
        <f>CONCATENATE("Passenger Arriving - ",C356)</f>
        <v>Passenger Arriving - Magathane_1</v>
      </c>
      <c r="D361" s="75" t="s">
        <v>55</v>
      </c>
      <c r="E361" s="70" t="str">
        <f t="shared" si="150"/>
        <v>MMRBEM_7_UP</v>
      </c>
      <c r="F361" s="70">
        <v>0</v>
      </c>
      <c r="G361" s="152">
        <f t="shared" si="151"/>
        <v>11762.199000000001</v>
      </c>
      <c r="H361" s="159">
        <f t="shared" si="149"/>
        <v>11762.199000000001</v>
      </c>
      <c r="I361" s="232">
        <f>IF("generated"=1, "Path=MMRBEM_7_UP, Scaled Offset=11762.199000000000523868948221206665", 12096.9617809524)</f>
        <v>12096.961780952401</v>
      </c>
      <c r="K361" s="76" t="str">
        <f t="shared" si="152"/>
        <v>BOTH</v>
      </c>
      <c r="M361" s="77">
        <f>M360</f>
        <v>2.5</v>
      </c>
      <c r="N361" s="77">
        <f>N360</f>
        <v>0</v>
      </c>
      <c r="O361" s="77"/>
      <c r="P361" s="77">
        <v>90</v>
      </c>
      <c r="Q361" s="77">
        <f>Q360</f>
        <v>0</v>
      </c>
      <c r="R361" s="75" t="s">
        <v>52</v>
      </c>
      <c r="S361" s="70" t="str">
        <f t="shared" ref="S361:T361" si="153">S360</f>
        <v>Parent ID</v>
      </c>
      <c r="T361" s="78">
        <f t="shared" si="153"/>
        <v>72125</v>
      </c>
      <c r="V361" s="79"/>
    </row>
    <row r="362" spans="1:29" s="70" customFormat="1" x14ac:dyDescent="0.2">
      <c r="A362" s="224" t="s">
        <v>129</v>
      </c>
      <c r="B362" s="154">
        <v>72128</v>
      </c>
      <c r="C362" s="70" t="str">
        <f>CONCATENATE("Passenger Intoxicated - ",C358)</f>
        <v>Passenger Intoxicated - Magathane_1</v>
      </c>
      <c r="D362" s="75" t="s">
        <v>54</v>
      </c>
      <c r="E362" s="70" t="str">
        <f t="shared" si="150"/>
        <v>MMRBEM_7_UP</v>
      </c>
      <c r="F362" s="70">
        <v>0</v>
      </c>
      <c r="G362" s="152">
        <f t="shared" si="151"/>
        <v>11762.199000000001</v>
      </c>
      <c r="H362" s="159">
        <f t="shared" si="149"/>
        <v>11762.199000000001</v>
      </c>
      <c r="I362" s="232">
        <f>IF("generated"=1, "Path=MMRBEM_7_UP, Scaled Offset=11762.199000000000523868948221206665", 12096.9617809524)</f>
        <v>12096.961780952401</v>
      </c>
      <c r="K362" s="76" t="str">
        <f t="shared" si="152"/>
        <v>BOTH</v>
      </c>
      <c r="M362" s="77">
        <f>M361</f>
        <v>2.5</v>
      </c>
      <c r="N362" s="77">
        <f>N361</f>
        <v>0</v>
      </c>
      <c r="O362" s="77"/>
      <c r="P362" s="77">
        <v>90</v>
      </c>
      <c r="Q362" s="77">
        <f>Q361</f>
        <v>0</v>
      </c>
      <c r="R362" s="75" t="s">
        <v>52</v>
      </c>
      <c r="S362" s="70" t="str">
        <f t="shared" ref="S362:T362" si="154">S361</f>
        <v>Parent ID</v>
      </c>
      <c r="T362" s="78">
        <f t="shared" si="154"/>
        <v>72125</v>
      </c>
      <c r="V362" s="79"/>
    </row>
    <row r="363" spans="1:29" s="70" customFormat="1" x14ac:dyDescent="0.2">
      <c r="A363" s="224" t="s">
        <v>129</v>
      </c>
      <c r="B363" s="154">
        <v>72129</v>
      </c>
      <c r="C363" s="70" t="str">
        <f>CONCATENATE("Passenger Pram - ",C358)</f>
        <v>Passenger Pram - Magathane_1</v>
      </c>
      <c r="D363" s="75" t="s">
        <v>53</v>
      </c>
      <c r="E363" s="70" t="str">
        <f t="shared" si="150"/>
        <v>MMRBEM_7_UP</v>
      </c>
      <c r="F363" s="70">
        <v>0</v>
      </c>
      <c r="G363" s="152">
        <f t="shared" si="151"/>
        <v>11762.199000000001</v>
      </c>
      <c r="H363" s="159">
        <f t="shared" si="149"/>
        <v>11762.199000000001</v>
      </c>
      <c r="I363" s="232">
        <f>IF("generated"=1, "Path=MMRBEM_7_UP, Scaled Offset=11762.199000000000523868948221206665", 12096.9617809524)</f>
        <v>12096.961780952401</v>
      </c>
      <c r="K363" s="76" t="str">
        <f t="shared" si="152"/>
        <v>BOTH</v>
      </c>
      <c r="M363" s="77">
        <f>M362</f>
        <v>2.5</v>
      </c>
      <c r="N363" s="77">
        <f>N362</f>
        <v>0</v>
      </c>
      <c r="O363" s="77"/>
      <c r="P363" s="77">
        <v>90</v>
      </c>
      <c r="Q363" s="77">
        <f>Q362</f>
        <v>0</v>
      </c>
      <c r="R363" s="75" t="s">
        <v>52</v>
      </c>
      <c r="S363" s="70" t="str">
        <f t="shared" ref="S363:T363" si="155">S362</f>
        <v>Parent ID</v>
      </c>
      <c r="T363" s="78">
        <f t="shared" si="155"/>
        <v>72125</v>
      </c>
      <c r="V363" s="79"/>
    </row>
    <row r="364" spans="1:29" s="164" customFormat="1" x14ac:dyDescent="0.2">
      <c r="A364" s="224" t="s">
        <v>129</v>
      </c>
      <c r="B364" s="81">
        <v>72288</v>
      </c>
      <c r="C364" s="70" t="str">
        <f>CONCATENATE("PSD - ",C358)</f>
        <v>PSD - Magathane_1</v>
      </c>
      <c r="D364" s="165" t="s">
        <v>1042</v>
      </c>
      <c r="E364" s="70" t="str">
        <f t="shared" si="150"/>
        <v>MMRBEM_7_UP</v>
      </c>
      <c r="F364" s="70">
        <v>0</v>
      </c>
      <c r="G364" s="152">
        <f t="shared" si="151"/>
        <v>11762.199000000001</v>
      </c>
      <c r="H364" s="159">
        <f t="shared" si="149"/>
        <v>11762.199000000001</v>
      </c>
      <c r="I364" s="232">
        <f>IF("generated"=1, "Path=MMRBEM_7_UP, Scaled Offset=11762.199000000000523868948221206665", 12096.9617809524)</f>
        <v>12096.961780952401</v>
      </c>
      <c r="K364" s="76" t="str">
        <f t="shared" si="152"/>
        <v>BOTH</v>
      </c>
      <c r="M364" s="168">
        <f>M363-0.5</f>
        <v>2</v>
      </c>
      <c r="N364" s="168"/>
      <c r="O364" s="168"/>
      <c r="P364" s="168"/>
      <c r="Q364" s="168"/>
      <c r="R364" s="165"/>
      <c r="S364" s="165" t="s">
        <v>1043</v>
      </c>
      <c r="T364" s="165" t="str">
        <f>_xlfn.CONCAT("PSD_",T359)</f>
        <v>PSD_MAG_PAS1</v>
      </c>
      <c r="U364" s="165" t="s">
        <v>926</v>
      </c>
      <c r="V364" s="165">
        <f>B358</f>
        <v>72124</v>
      </c>
      <c r="W364" s="165"/>
      <c r="X364" s="165"/>
    </row>
    <row r="365" spans="1:29" s="164" customFormat="1" x14ac:dyDescent="0.2">
      <c r="A365" s="224" t="s">
        <v>129</v>
      </c>
      <c r="B365" s="154">
        <v>72249</v>
      </c>
      <c r="C365" s="164" t="s">
        <v>1015</v>
      </c>
      <c r="D365" s="140" t="s">
        <v>928</v>
      </c>
      <c r="E365" s="70" t="s">
        <v>92</v>
      </c>
      <c r="G365" s="166">
        <f>G366-22.2</f>
        <v>3969.2200000000003</v>
      </c>
      <c r="H365" s="159">
        <f t="shared" si="149"/>
        <v>3969.2200000000003</v>
      </c>
      <c r="I365" s="232">
        <f>IF("generated"=1, "Path=Track_20_Track_2, Scaled Offset=3969.2200000000002546585164964199066", 3969.22)</f>
        <v>3969.22</v>
      </c>
      <c r="K365" s="167"/>
      <c r="L365" s="164">
        <v>1</v>
      </c>
      <c r="M365" s="168"/>
      <c r="N365" s="168"/>
      <c r="O365" s="168"/>
      <c r="P365" s="168"/>
      <c r="Q365" s="168"/>
      <c r="R365" s="165" t="s">
        <v>1041</v>
      </c>
      <c r="S365" s="140" t="s">
        <v>926</v>
      </c>
      <c r="T365" s="143">
        <f>B358</f>
        <v>72124</v>
      </c>
      <c r="U365" s="140" t="s">
        <v>61</v>
      </c>
      <c r="V365" s="143" t="str">
        <f>X358</f>
        <v>MAG</v>
      </c>
      <c r="W365" s="140" t="s">
        <v>927</v>
      </c>
      <c r="X365" s="164">
        <v>1</v>
      </c>
    </row>
    <row r="366" spans="1:29" s="164" customFormat="1" x14ac:dyDescent="0.2">
      <c r="A366" s="224" t="s">
        <v>129</v>
      </c>
      <c r="B366" s="154">
        <v>72250</v>
      </c>
      <c r="C366" s="164" t="s">
        <v>1016</v>
      </c>
      <c r="D366" s="140" t="s">
        <v>928</v>
      </c>
      <c r="E366" s="70" t="str">
        <f t="shared" ref="E366:E368" si="156">E365</f>
        <v>Track_20_Track_2</v>
      </c>
      <c r="G366" s="166">
        <v>3991.42</v>
      </c>
      <c r="H366" s="159">
        <f t="shared" si="149"/>
        <v>3991.42</v>
      </c>
      <c r="I366" s="232">
        <f>IF("generated"=1, "Path=Track_20_Track_2, Scaled Offset=3991.420000000000072759576141834259", 3991.42)</f>
        <v>3991.42</v>
      </c>
      <c r="K366" s="167"/>
      <c r="L366" s="164">
        <v>1</v>
      </c>
      <c r="M366" s="168"/>
      <c r="N366" s="168"/>
      <c r="O366" s="168"/>
      <c r="P366" s="168"/>
      <c r="Q366" s="168"/>
      <c r="R366" s="165" t="s">
        <v>1041</v>
      </c>
      <c r="S366" s="140" t="s">
        <v>926</v>
      </c>
      <c r="T366" s="143">
        <f>T365</f>
        <v>72124</v>
      </c>
      <c r="U366" s="140" t="s">
        <v>61</v>
      </c>
      <c r="V366" s="143" t="str">
        <f>V365</f>
        <v>MAG</v>
      </c>
      <c r="W366" s="140" t="s">
        <v>927</v>
      </c>
      <c r="X366" s="164">
        <v>1</v>
      </c>
    </row>
    <row r="367" spans="1:29" s="164" customFormat="1" x14ac:dyDescent="0.2">
      <c r="A367" s="224" t="s">
        <v>129</v>
      </c>
      <c r="B367" s="154">
        <v>72251</v>
      </c>
      <c r="C367" s="164" t="s">
        <v>1017</v>
      </c>
      <c r="D367" s="140" t="s">
        <v>928</v>
      </c>
      <c r="E367" s="70" t="str">
        <f t="shared" si="156"/>
        <v>Track_20_Track_2</v>
      </c>
      <c r="G367" s="166">
        <v>4127.3900000000003</v>
      </c>
      <c r="H367" s="159">
        <f t="shared" si="149"/>
        <v>4127.3900000000003</v>
      </c>
      <c r="I367" s="232">
        <f>IF("generated"=1, "Path=Track_20_Track_2, Scaled Offset=4127.3900000000003274180926382541656", 4127.39)</f>
        <v>4127.3900000000003</v>
      </c>
      <c r="K367" s="167"/>
      <c r="M367" s="168"/>
      <c r="N367" s="168"/>
      <c r="O367" s="168"/>
      <c r="P367" s="168"/>
      <c r="Q367" s="168"/>
      <c r="R367" s="165" t="s">
        <v>1041</v>
      </c>
      <c r="S367" s="140" t="s">
        <v>926</v>
      </c>
      <c r="T367" s="143">
        <f>T366</f>
        <v>72124</v>
      </c>
      <c r="U367" s="140" t="s">
        <v>61</v>
      </c>
      <c r="V367" s="143" t="str">
        <f>V366</f>
        <v>MAG</v>
      </c>
      <c r="W367" s="140" t="s">
        <v>927</v>
      </c>
      <c r="X367" s="164">
        <v>2</v>
      </c>
    </row>
    <row r="368" spans="1:29" s="164" customFormat="1" x14ac:dyDescent="0.2">
      <c r="A368" s="224" t="s">
        <v>129</v>
      </c>
      <c r="B368" s="154">
        <v>72252</v>
      </c>
      <c r="C368" s="164" t="s">
        <v>1018</v>
      </c>
      <c r="D368" s="140" t="s">
        <v>928</v>
      </c>
      <c r="E368" s="70" t="str">
        <f t="shared" si="156"/>
        <v>Track_20_Track_2</v>
      </c>
      <c r="G368" s="166">
        <f>G367+22.2</f>
        <v>4149.59</v>
      </c>
      <c r="H368" s="159">
        <f t="shared" si="149"/>
        <v>4149.59</v>
      </c>
      <c r="I368" s="232">
        <f>IF("generated"=1, "Path=Track_20_Track_2, Scaled Offset=4149.5900000000001455191522836685181", 4149.59)</f>
        <v>4149.59</v>
      </c>
      <c r="K368" s="167"/>
      <c r="M368" s="168"/>
      <c r="N368" s="168"/>
      <c r="O368" s="168"/>
      <c r="P368" s="168"/>
      <c r="Q368" s="168"/>
      <c r="R368" s="165" t="s">
        <v>1041</v>
      </c>
      <c r="S368" s="140" t="s">
        <v>926</v>
      </c>
      <c r="T368" s="143">
        <f>T367</f>
        <v>72124</v>
      </c>
      <c r="U368" s="140" t="s">
        <v>61</v>
      </c>
      <c r="V368" s="143" t="str">
        <f>V367</f>
        <v>MAG</v>
      </c>
      <c r="W368" s="140" t="s">
        <v>927</v>
      </c>
      <c r="X368" s="164">
        <v>2</v>
      </c>
    </row>
    <row r="369" spans="1:29" s="61" customFormat="1" x14ac:dyDescent="0.2">
      <c r="A369" s="224" t="s">
        <v>930</v>
      </c>
      <c r="B369" s="154">
        <v>72117</v>
      </c>
      <c r="C369" s="61" t="str">
        <f>LEFT(C358,LEN(C358)-2)</f>
        <v>Magathane</v>
      </c>
      <c r="E369" s="61" t="s">
        <v>92</v>
      </c>
      <c r="G369" s="153"/>
      <c r="H369" s="160">
        <v>4153</v>
      </c>
      <c r="I369" s="232">
        <f>IF("generated"=1, "Path=Track_20_Track_2, Scaled Offset=4153", 4153)</f>
        <v>4153</v>
      </c>
      <c r="J369" s="89"/>
      <c r="M369" s="88"/>
      <c r="N369" s="88"/>
      <c r="O369" s="88"/>
      <c r="P369" s="88"/>
      <c r="Q369" s="88"/>
      <c r="S369" s="61" t="s">
        <v>41</v>
      </c>
      <c r="T369" s="87">
        <v>40</v>
      </c>
      <c r="V369" s="87"/>
    </row>
    <row r="370" spans="1:29" s="61" customFormat="1" x14ac:dyDescent="0.2">
      <c r="A370" s="224" t="s">
        <v>930</v>
      </c>
      <c r="B370" s="154">
        <v>72117</v>
      </c>
      <c r="C370" s="61" t="str">
        <f>C369</f>
        <v>Magathane</v>
      </c>
      <c r="E370" s="61" t="s">
        <v>92</v>
      </c>
      <c r="G370" s="153"/>
      <c r="H370" s="160">
        <v>3965</v>
      </c>
      <c r="I370" s="232">
        <f>IF("generated"=1, "Path=Track_20_Track_2, Scaled Offset=3965", 3965)</f>
        <v>3965</v>
      </c>
      <c r="J370" s="89"/>
      <c r="M370" s="88"/>
      <c r="N370" s="88"/>
      <c r="O370" s="88"/>
      <c r="P370" s="88"/>
      <c r="Q370" s="88"/>
      <c r="S370" s="61" t="s">
        <v>41</v>
      </c>
      <c r="T370" s="87">
        <v>40</v>
      </c>
      <c r="V370" s="87"/>
    </row>
    <row r="372" spans="1:29" s="62" customFormat="1" x14ac:dyDescent="0.2">
      <c r="A372" s="224" t="s">
        <v>129</v>
      </c>
      <c r="B372" s="154">
        <v>72130</v>
      </c>
      <c r="C372" s="61" t="s">
        <v>353</v>
      </c>
      <c r="D372" s="62" t="s">
        <v>69</v>
      </c>
      <c r="G372" s="149"/>
      <c r="H372" s="158"/>
      <c r="I372" s="162"/>
      <c r="M372" s="63"/>
      <c r="N372" s="63"/>
      <c r="O372" s="63"/>
      <c r="P372" s="63"/>
      <c r="Q372" s="63"/>
      <c r="T372" s="64"/>
      <c r="V372" s="64"/>
    </row>
    <row r="373" spans="1:29" s="60" customFormat="1" x14ac:dyDescent="0.2">
      <c r="A373" s="224"/>
      <c r="B373" s="81"/>
      <c r="C373" s="60" t="s">
        <v>354</v>
      </c>
      <c r="D373" s="60" t="s">
        <v>51</v>
      </c>
      <c r="E373" t="s">
        <v>188</v>
      </c>
      <c r="G373" s="150">
        <v>12503.968999999999</v>
      </c>
      <c r="H373" s="159">
        <f>G373+F373</f>
        <v>12503.968999999999</v>
      </c>
      <c r="I373" s="90">
        <f>IF("generated"=1, "Path=Intermodal_Coronel_Platform_2_2, Scaled Offset=160.40000000000000568434188608080149", 160.4)</f>
        <v>160.4</v>
      </c>
      <c r="J373" s="65"/>
      <c r="K373" s="60" t="s">
        <v>64</v>
      </c>
      <c r="M373" s="66">
        <v>-2.5</v>
      </c>
      <c r="N373" s="66">
        <v>0</v>
      </c>
      <c r="O373" s="66"/>
      <c r="P373" s="66"/>
      <c r="Q373" s="66"/>
      <c r="R373" s="60" t="str">
        <f>$E$3</f>
        <v>Red</v>
      </c>
      <c r="S373" s="60" t="s">
        <v>68</v>
      </c>
      <c r="T373" s="67" t="str">
        <f>C373</f>
        <v>Devipada_S1</v>
      </c>
      <c r="U373" s="60" t="s">
        <v>50</v>
      </c>
      <c r="V373" s="67">
        <v>0</v>
      </c>
      <c r="W373" s="60" t="s">
        <v>67</v>
      </c>
      <c r="X373" s="60">
        <v>1</v>
      </c>
      <c r="Y373" s="60" t="s">
        <v>66</v>
      </c>
      <c r="Z373" s="60">
        <v>1</v>
      </c>
      <c r="AA373" s="61" t="s">
        <v>353</v>
      </c>
      <c r="AB373" s="74" t="s">
        <v>358</v>
      </c>
      <c r="AC373" s="60">
        <v>2</v>
      </c>
    </row>
    <row r="374" spans="1:29" s="60" customFormat="1" x14ac:dyDescent="0.2">
      <c r="A374" s="224"/>
      <c r="B374" s="81"/>
      <c r="C374" s="60" t="str">
        <f>AA374&amp;"_"&amp;AC374</f>
        <v>Devipada_2</v>
      </c>
      <c r="D374" s="60" t="s">
        <v>51</v>
      </c>
      <c r="E374" t="s">
        <v>188</v>
      </c>
      <c r="G374" s="151">
        <f>AVERAGE(H373,H375)</f>
        <v>12596.468999999999</v>
      </c>
      <c r="H374" s="159">
        <f>F374+G374</f>
        <v>12596.468999999999</v>
      </c>
      <c r="I374" s="90">
        <f>IF("generated"=1, "Path=East_Central_Line1_5, Scaled Offset=69.5", 69.5)</f>
        <v>69.5</v>
      </c>
      <c r="J374" s="65"/>
      <c r="K374" s="60" t="s">
        <v>64</v>
      </c>
      <c r="M374" s="66">
        <f>M373</f>
        <v>-2.5</v>
      </c>
      <c r="N374" s="66">
        <v>0</v>
      </c>
      <c r="O374" s="66"/>
      <c r="P374" s="66"/>
      <c r="Q374" s="66"/>
      <c r="R374" s="60" t="str">
        <f>$E$4</f>
        <v>Green</v>
      </c>
      <c r="S374" s="60" t="s">
        <v>68</v>
      </c>
      <c r="T374" s="67" t="str">
        <f>C374</f>
        <v>Devipada_2</v>
      </c>
      <c r="U374" s="60" t="s">
        <v>50</v>
      </c>
      <c r="V374" s="67">
        <v>0</v>
      </c>
      <c r="W374" s="60" t="s">
        <v>67</v>
      </c>
      <c r="X374" s="60">
        <v>1</v>
      </c>
      <c r="Y374" s="60" t="s">
        <v>66</v>
      </c>
      <c r="Z374" s="60">
        <v>1</v>
      </c>
      <c r="AA374" s="60" t="str">
        <f>AA373</f>
        <v>Devipada</v>
      </c>
      <c r="AB374" s="60" t="str">
        <f>AB373</f>
        <v>DEV</v>
      </c>
      <c r="AC374" s="60">
        <f>AC373</f>
        <v>2</v>
      </c>
    </row>
    <row r="375" spans="1:29" s="60" customFormat="1" x14ac:dyDescent="0.2">
      <c r="A375" s="224"/>
      <c r="B375" s="81"/>
      <c r="C375" s="60" t="s">
        <v>355</v>
      </c>
      <c r="D375" s="60" t="s">
        <v>51</v>
      </c>
      <c r="E375" t="s">
        <v>188</v>
      </c>
      <c r="G375" s="150">
        <v>12688.968999999999</v>
      </c>
      <c r="H375" s="159">
        <f>G375+F375</f>
        <v>12688.968999999999</v>
      </c>
      <c r="I375" s="90">
        <f>IF("generated"=1, "Path=Intermodal_Coronel_Platform_2_2, Scaled Offset=231", 231)</f>
        <v>231</v>
      </c>
      <c r="J375" s="65"/>
      <c r="K375" s="60" t="s">
        <v>64</v>
      </c>
      <c r="M375" s="66">
        <v>-2.5</v>
      </c>
      <c r="N375" s="66">
        <v>0</v>
      </c>
      <c r="O375" s="66"/>
      <c r="P375" s="66"/>
      <c r="Q375" s="66"/>
      <c r="R375" s="60" t="str">
        <f>$E$3</f>
        <v>Red</v>
      </c>
      <c r="S375" s="60" t="s">
        <v>68</v>
      </c>
      <c r="T375" s="67" t="str">
        <f>C375</f>
        <v>Devipada_E1</v>
      </c>
      <c r="U375" s="60" t="s">
        <v>50</v>
      </c>
      <c r="V375" s="67">
        <v>0</v>
      </c>
      <c r="W375" s="60" t="s">
        <v>67</v>
      </c>
      <c r="X375" s="60">
        <v>1</v>
      </c>
      <c r="Y375" s="60" t="s">
        <v>66</v>
      </c>
      <c r="Z375" s="60">
        <v>1</v>
      </c>
      <c r="AA375" s="61" t="s">
        <v>353</v>
      </c>
      <c r="AB375" s="74" t="s">
        <v>358</v>
      </c>
      <c r="AC375" s="60">
        <v>2</v>
      </c>
    </row>
    <row r="376" spans="1:29" s="70" customFormat="1" x14ac:dyDescent="0.2">
      <c r="A376" s="224" t="s">
        <v>129</v>
      </c>
      <c r="B376" s="154">
        <v>72131</v>
      </c>
      <c r="C376" s="68" t="str">
        <f>C374</f>
        <v>Devipada_2</v>
      </c>
      <c r="D376" s="69" t="s">
        <v>65</v>
      </c>
      <c r="E376" s="70" t="str">
        <f>E374</f>
        <v>MMRBEM_7_DOWN</v>
      </c>
      <c r="F376" s="70">
        <f>F374</f>
        <v>0</v>
      </c>
      <c r="G376" s="152">
        <f>H374</f>
        <v>12596.468999999999</v>
      </c>
      <c r="H376" s="159">
        <f t="shared" ref="H376:H386" si="157">F376+G376</f>
        <v>12596.468999999999</v>
      </c>
      <c r="I376" s="232">
        <f>IF("generated"=1, "Path=MMRBEM_7_DOWN, Scaled Offset=12596.468999999999141437001526355743", 12916.7677261287)</f>
        <v>12916.767726128701</v>
      </c>
      <c r="K376" s="69" t="s">
        <v>64</v>
      </c>
      <c r="M376" s="71">
        <f>2*M374</f>
        <v>-5</v>
      </c>
      <c r="N376" s="71">
        <v>0</v>
      </c>
      <c r="O376" s="71"/>
      <c r="P376" s="71">
        <v>0</v>
      </c>
      <c r="Q376" s="71">
        <v>0</v>
      </c>
      <c r="S376" s="69" t="s">
        <v>63</v>
      </c>
      <c r="T376" s="72">
        <f>ABS(H375-H373)</f>
        <v>185</v>
      </c>
      <c r="U376" s="69" t="s">
        <v>62</v>
      </c>
      <c r="V376" s="73" t="str">
        <f>C376</f>
        <v>Devipada_2</v>
      </c>
      <c r="W376" s="68" t="s">
        <v>61</v>
      </c>
      <c r="X376" s="74" t="s">
        <v>358</v>
      </c>
      <c r="Y376" s="74" t="s">
        <v>60</v>
      </c>
      <c r="Z376" s="70" t="str">
        <f>LEFT(V376, LEN(V376)-2)</f>
        <v>Devipada</v>
      </c>
    </row>
    <row r="377" spans="1:29" s="70" customFormat="1" x14ac:dyDescent="0.2">
      <c r="A377" s="224" t="s">
        <v>129</v>
      </c>
      <c r="B377" s="154">
        <v>72132</v>
      </c>
      <c r="C377" s="70" t="str">
        <f>CONCATENATE("Platform Passenger - ",C376)</f>
        <v>Platform Passenger - Devipada_2</v>
      </c>
      <c r="D377" s="75" t="s">
        <v>59</v>
      </c>
      <c r="E377" s="70" t="str">
        <f t="shared" ref="E377:E382" si="158">E376</f>
        <v>MMRBEM_7_DOWN</v>
      </c>
      <c r="F377" s="70">
        <v>0</v>
      </c>
      <c r="G377" s="152">
        <f t="shared" ref="G377:G382" si="159">G376</f>
        <v>12596.468999999999</v>
      </c>
      <c r="H377" s="159">
        <f t="shared" si="157"/>
        <v>12596.468999999999</v>
      </c>
      <c r="I377" s="232">
        <f>IF("generated"=1, "Path=MMRBEM_7_DOWN, Scaled Offset=12596.468999999999141437001526355743", 12916.7677261287)</f>
        <v>12916.767726128701</v>
      </c>
      <c r="K377" s="76" t="str">
        <f t="shared" ref="K377:K382" si="160">K376</f>
        <v>BOTH</v>
      </c>
      <c r="M377" s="77">
        <f>M376/2</f>
        <v>-2.5</v>
      </c>
      <c r="N377" s="77">
        <f>N376</f>
        <v>0</v>
      </c>
      <c r="O377" s="77"/>
      <c r="P377" s="77">
        <v>270</v>
      </c>
      <c r="Q377" s="77">
        <f>Q376</f>
        <v>0</v>
      </c>
      <c r="R377" s="75" t="s">
        <v>1091</v>
      </c>
      <c r="S377" s="70" t="s">
        <v>58</v>
      </c>
      <c r="T377" s="78" t="str">
        <f>CONCATENATE(X376,"_PAS"&amp;AC375)</f>
        <v>DEV_PAS2</v>
      </c>
      <c r="V377" s="79"/>
    </row>
    <row r="378" spans="1:29" s="70" customFormat="1" x14ac:dyDescent="0.2">
      <c r="A378" s="224" t="s">
        <v>129</v>
      </c>
      <c r="B378" s="154">
        <v>72133</v>
      </c>
      <c r="C378" s="70" t="str">
        <f>CONCATENATE("Passenger Alighting - ",C376)</f>
        <v>Passenger Alighting - Devipada_2</v>
      </c>
      <c r="D378" s="75" t="s">
        <v>57</v>
      </c>
      <c r="E378" s="70" t="str">
        <f t="shared" si="158"/>
        <v>MMRBEM_7_DOWN</v>
      </c>
      <c r="F378" s="70">
        <v>0</v>
      </c>
      <c r="G378" s="152">
        <f t="shared" si="159"/>
        <v>12596.468999999999</v>
      </c>
      <c r="H378" s="159">
        <f t="shared" si="157"/>
        <v>12596.468999999999</v>
      </c>
      <c r="I378" s="232">
        <f>IF("generated"=1, "Path=MMRBEM_7_DOWN, Scaled Offset=12596.468999999999141437001526355743", 12916.7677261287)</f>
        <v>12916.767726128701</v>
      </c>
      <c r="K378" s="76" t="str">
        <f t="shared" si="160"/>
        <v>BOTH</v>
      </c>
      <c r="M378" s="77">
        <f>M377</f>
        <v>-2.5</v>
      </c>
      <c r="N378" s="77">
        <f>N377</f>
        <v>0</v>
      </c>
      <c r="O378" s="77"/>
      <c r="P378" s="77">
        <v>270</v>
      </c>
      <c r="Q378" s="77">
        <f>Q377</f>
        <v>0</v>
      </c>
      <c r="R378" s="75" t="s">
        <v>1091</v>
      </c>
      <c r="S378" s="70" t="s">
        <v>56</v>
      </c>
      <c r="T378" s="78">
        <f>B377</f>
        <v>72132</v>
      </c>
      <c r="V378" s="79"/>
    </row>
    <row r="379" spans="1:29" s="70" customFormat="1" x14ac:dyDescent="0.2">
      <c r="A379" s="224" t="s">
        <v>129</v>
      </c>
      <c r="B379" s="154">
        <v>72134</v>
      </c>
      <c r="C379" s="70" t="str">
        <f>CONCATENATE("Passenger Arriving - ",C374)</f>
        <v>Passenger Arriving - Devipada_2</v>
      </c>
      <c r="D379" s="75" t="s">
        <v>55</v>
      </c>
      <c r="E379" s="70" t="str">
        <f t="shared" si="158"/>
        <v>MMRBEM_7_DOWN</v>
      </c>
      <c r="F379" s="70">
        <v>0</v>
      </c>
      <c r="G379" s="152">
        <f t="shared" si="159"/>
        <v>12596.468999999999</v>
      </c>
      <c r="H379" s="159">
        <f t="shared" si="157"/>
        <v>12596.468999999999</v>
      </c>
      <c r="I379" s="232">
        <f>IF("generated"=1, "Path=MMRBEM_7_DOWN, Scaled Offset=12596.468999999999141437001526355743", 12916.7677261287)</f>
        <v>12916.767726128701</v>
      </c>
      <c r="K379" s="76" t="str">
        <f t="shared" si="160"/>
        <v>BOTH</v>
      </c>
      <c r="M379" s="77">
        <f>M378</f>
        <v>-2.5</v>
      </c>
      <c r="N379" s="77">
        <f>N378</f>
        <v>0</v>
      </c>
      <c r="O379" s="77"/>
      <c r="P379" s="77">
        <v>270</v>
      </c>
      <c r="Q379" s="77">
        <f>Q378</f>
        <v>0</v>
      </c>
      <c r="R379" s="75" t="s">
        <v>52</v>
      </c>
      <c r="S379" s="70" t="str">
        <f t="shared" ref="S379:T379" si="161">S378</f>
        <v>Parent ID</v>
      </c>
      <c r="T379" s="78">
        <f t="shared" si="161"/>
        <v>72132</v>
      </c>
      <c r="V379" s="79"/>
    </row>
    <row r="380" spans="1:29" s="70" customFormat="1" x14ac:dyDescent="0.2">
      <c r="A380" s="224" t="s">
        <v>129</v>
      </c>
      <c r="B380" s="154">
        <v>72135</v>
      </c>
      <c r="C380" s="70" t="str">
        <f>CONCATENATE("Passenger Intoxicated - ",C376)</f>
        <v>Passenger Intoxicated - Devipada_2</v>
      </c>
      <c r="D380" s="75" t="s">
        <v>54</v>
      </c>
      <c r="E380" s="70" t="str">
        <f t="shared" si="158"/>
        <v>MMRBEM_7_DOWN</v>
      </c>
      <c r="F380" s="70">
        <v>0</v>
      </c>
      <c r="G380" s="152">
        <f t="shared" si="159"/>
        <v>12596.468999999999</v>
      </c>
      <c r="H380" s="159">
        <f t="shared" si="157"/>
        <v>12596.468999999999</v>
      </c>
      <c r="I380" s="232">
        <f>IF("generated"=1, "Path=MMRBEM_7_DOWN, Scaled Offset=12596.468999999999141437001526355743", 12916.7677261287)</f>
        <v>12916.767726128701</v>
      </c>
      <c r="K380" s="76" t="str">
        <f t="shared" si="160"/>
        <v>BOTH</v>
      </c>
      <c r="M380" s="77">
        <f>M379</f>
        <v>-2.5</v>
      </c>
      <c r="N380" s="77">
        <f>N379</f>
        <v>0</v>
      </c>
      <c r="O380" s="77"/>
      <c r="P380" s="77">
        <v>270</v>
      </c>
      <c r="Q380" s="77">
        <f>Q379</f>
        <v>0</v>
      </c>
      <c r="R380" s="75" t="s">
        <v>52</v>
      </c>
      <c r="S380" s="70" t="str">
        <f t="shared" ref="S380:T380" si="162">S379</f>
        <v>Parent ID</v>
      </c>
      <c r="T380" s="78">
        <f t="shared" si="162"/>
        <v>72132</v>
      </c>
      <c r="V380" s="79"/>
    </row>
    <row r="381" spans="1:29" s="70" customFormat="1" x14ac:dyDescent="0.2">
      <c r="A381" s="224" t="s">
        <v>129</v>
      </c>
      <c r="B381" s="154">
        <v>72136</v>
      </c>
      <c r="C381" s="70" t="str">
        <f>CONCATENATE("Passenger Pram - ",C376)</f>
        <v>Passenger Pram - Devipada_2</v>
      </c>
      <c r="D381" s="75" t="s">
        <v>53</v>
      </c>
      <c r="E381" s="70" t="str">
        <f t="shared" si="158"/>
        <v>MMRBEM_7_DOWN</v>
      </c>
      <c r="F381" s="70">
        <v>0</v>
      </c>
      <c r="G381" s="152">
        <f t="shared" si="159"/>
        <v>12596.468999999999</v>
      </c>
      <c r="H381" s="159">
        <f t="shared" si="157"/>
        <v>12596.468999999999</v>
      </c>
      <c r="I381" s="232">
        <f>IF("generated"=1, "Path=MMRBEM_7_DOWN, Scaled Offset=12596.468999999999141437001526355743", 12916.7677261287)</f>
        <v>12916.767726128701</v>
      </c>
      <c r="K381" s="76" t="str">
        <f t="shared" si="160"/>
        <v>BOTH</v>
      </c>
      <c r="M381" s="77">
        <f>M380</f>
        <v>-2.5</v>
      </c>
      <c r="N381" s="77">
        <f>N380</f>
        <v>0</v>
      </c>
      <c r="O381" s="77"/>
      <c r="P381" s="77">
        <v>270</v>
      </c>
      <c r="Q381" s="77">
        <f>Q380</f>
        <v>0</v>
      </c>
      <c r="R381" s="75" t="s">
        <v>52</v>
      </c>
      <c r="S381" s="70" t="str">
        <f t="shared" ref="S381:T381" si="163">S380</f>
        <v>Parent ID</v>
      </c>
      <c r="T381" s="78">
        <f t="shared" si="163"/>
        <v>72132</v>
      </c>
      <c r="V381" s="79"/>
    </row>
    <row r="382" spans="1:29" s="164" customFormat="1" x14ac:dyDescent="0.2">
      <c r="A382" s="224" t="s">
        <v>129</v>
      </c>
      <c r="B382" s="81">
        <v>72289</v>
      </c>
      <c r="C382" s="70" t="str">
        <f>CONCATENATE("PSD - ",C376)</f>
        <v>PSD - Devipada_2</v>
      </c>
      <c r="D382" s="165" t="s">
        <v>1042</v>
      </c>
      <c r="E382" s="70" t="str">
        <f t="shared" si="158"/>
        <v>MMRBEM_7_DOWN</v>
      </c>
      <c r="F382" s="70">
        <v>0</v>
      </c>
      <c r="G382" s="152">
        <f t="shared" si="159"/>
        <v>12596.468999999999</v>
      </c>
      <c r="H382" s="159">
        <f t="shared" si="157"/>
        <v>12596.468999999999</v>
      </c>
      <c r="I382" s="232">
        <f>IF("generated"=1, "Path=MMRBEM_7_DOWN, Scaled Offset=12596.468999999999141437001526355743", 12916.7677261287)</f>
        <v>12916.767726128701</v>
      </c>
      <c r="K382" s="76" t="str">
        <f t="shared" si="160"/>
        <v>BOTH</v>
      </c>
      <c r="M382" s="168">
        <f>M381+0.5</f>
        <v>-2</v>
      </c>
      <c r="N382" s="168"/>
      <c r="O382" s="168"/>
      <c r="P382" s="168"/>
      <c r="Q382" s="168"/>
      <c r="R382" s="165"/>
      <c r="S382" s="165" t="s">
        <v>1043</v>
      </c>
      <c r="T382" s="165" t="str">
        <f>_xlfn.CONCAT("PSD_",T377)</f>
        <v>PSD_DEV_PAS2</v>
      </c>
      <c r="U382" s="165" t="s">
        <v>926</v>
      </c>
      <c r="V382" s="165">
        <f>B376</f>
        <v>72131</v>
      </c>
      <c r="W382" s="165"/>
      <c r="X382" s="165"/>
    </row>
    <row r="383" spans="1:29" s="164" customFormat="1" x14ac:dyDescent="0.2">
      <c r="A383" s="224" t="s">
        <v>129</v>
      </c>
      <c r="B383" s="81">
        <v>72253</v>
      </c>
      <c r="C383" s="164" t="s">
        <v>1019</v>
      </c>
      <c r="D383" s="140" t="s">
        <v>928</v>
      </c>
      <c r="E383" s="70" t="s">
        <v>126</v>
      </c>
      <c r="G383" s="166">
        <f>G384-22.2</f>
        <v>4806.3600000000006</v>
      </c>
      <c r="H383" s="159">
        <f t="shared" si="157"/>
        <v>4806.3600000000006</v>
      </c>
      <c r="I383" s="232">
        <f>IF("generated"=1, "Path=Track_10_Track_2, Scaled Offset=4806.3600000000005820766091346740723", 4806.36)</f>
        <v>4806.3599999999997</v>
      </c>
      <c r="K383" s="167"/>
      <c r="L383" s="164">
        <v>1</v>
      </c>
      <c r="M383" s="168"/>
      <c r="N383" s="168"/>
      <c r="O383" s="168"/>
      <c r="P383" s="168"/>
      <c r="Q383" s="168"/>
      <c r="R383" s="165" t="s">
        <v>1041</v>
      </c>
      <c r="S383" s="140" t="s">
        <v>926</v>
      </c>
      <c r="T383" s="143">
        <f>B376</f>
        <v>72131</v>
      </c>
      <c r="U383" s="140" t="s">
        <v>61</v>
      </c>
      <c r="V383" s="143" t="str">
        <f>X376</f>
        <v>DEV</v>
      </c>
      <c r="W383" s="140" t="s">
        <v>927</v>
      </c>
      <c r="X383" s="164">
        <v>2</v>
      </c>
    </row>
    <row r="384" spans="1:29" s="164" customFormat="1" x14ac:dyDescent="0.2">
      <c r="A384" s="224" t="s">
        <v>129</v>
      </c>
      <c r="B384" s="81">
        <v>72254</v>
      </c>
      <c r="C384" s="164" t="s">
        <v>1020</v>
      </c>
      <c r="D384" s="140" t="s">
        <v>928</v>
      </c>
      <c r="E384" s="70" t="str">
        <f t="shared" ref="E384:E386" si="164">E383</f>
        <v>Track_10_Track_2</v>
      </c>
      <c r="G384" s="166">
        <v>4828.5600000000004</v>
      </c>
      <c r="H384" s="159">
        <f t="shared" si="157"/>
        <v>4828.5600000000004</v>
      </c>
      <c r="I384" s="232">
        <f>IF("generated"=1, "Path=Track_10_Track_2, Scaled Offset=4828.5600000000004001776687800884247", 4828.56)</f>
        <v>4828.5600000000004</v>
      </c>
      <c r="K384" s="167"/>
      <c r="L384" s="164">
        <v>1</v>
      </c>
      <c r="M384" s="168"/>
      <c r="N384" s="168"/>
      <c r="O384" s="168"/>
      <c r="P384" s="168"/>
      <c r="Q384" s="168"/>
      <c r="R384" s="165" t="s">
        <v>1041</v>
      </c>
      <c r="S384" s="140" t="s">
        <v>926</v>
      </c>
      <c r="T384" s="143">
        <f>T383</f>
        <v>72131</v>
      </c>
      <c r="U384" s="140" t="s">
        <v>61</v>
      </c>
      <c r="V384" s="143" t="str">
        <f>V383</f>
        <v>DEV</v>
      </c>
      <c r="W384" s="140" t="s">
        <v>927</v>
      </c>
      <c r="X384" s="164">
        <v>2</v>
      </c>
    </row>
    <row r="385" spans="1:29" s="164" customFormat="1" x14ac:dyDescent="0.2">
      <c r="A385" s="224" t="s">
        <v>129</v>
      </c>
      <c r="B385" s="81">
        <v>72255</v>
      </c>
      <c r="C385" s="164" t="s">
        <v>1021</v>
      </c>
      <c r="D385" s="140" t="s">
        <v>928</v>
      </c>
      <c r="E385" s="70" t="str">
        <f t="shared" si="164"/>
        <v>Track_10_Track_2</v>
      </c>
      <c r="G385" s="166">
        <v>4964.7700000000004</v>
      </c>
      <c r="H385" s="159">
        <f t="shared" si="157"/>
        <v>4964.7700000000004</v>
      </c>
      <c r="I385" s="232">
        <f>IF("generated"=1, "Path=Track_10_Track_2, Scaled Offset=4964.7700000000004365574568510055542", 4964.77)</f>
        <v>4964.7700000000004</v>
      </c>
      <c r="K385" s="167"/>
      <c r="M385" s="168"/>
      <c r="N385" s="168"/>
      <c r="O385" s="168"/>
      <c r="P385" s="168"/>
      <c r="Q385" s="168"/>
      <c r="R385" s="165" t="s">
        <v>1041</v>
      </c>
      <c r="S385" s="140" t="s">
        <v>926</v>
      </c>
      <c r="T385" s="143">
        <f>T384</f>
        <v>72131</v>
      </c>
      <c r="U385" s="140" t="s">
        <v>61</v>
      </c>
      <c r="V385" s="143" t="str">
        <f>V384</f>
        <v>DEV</v>
      </c>
      <c r="W385" s="140" t="s">
        <v>927</v>
      </c>
      <c r="X385" s="164">
        <v>1</v>
      </c>
    </row>
    <row r="386" spans="1:29" s="164" customFormat="1" x14ac:dyDescent="0.2">
      <c r="A386" s="224" t="s">
        <v>129</v>
      </c>
      <c r="B386" s="81">
        <v>72256</v>
      </c>
      <c r="C386" s="164" t="s">
        <v>1022</v>
      </c>
      <c r="D386" s="140" t="s">
        <v>928</v>
      </c>
      <c r="E386" s="70" t="str">
        <f t="shared" si="164"/>
        <v>Track_10_Track_2</v>
      </c>
      <c r="G386" s="166">
        <f>G385+22.2</f>
        <v>4986.97</v>
      </c>
      <c r="H386" s="159">
        <f t="shared" si="157"/>
        <v>4986.97</v>
      </c>
      <c r="I386" s="232">
        <f>IF("generated"=1, "Path=Track_10_Track_2, Scaled Offset=4986.9700000000002546585164964199066", 4986.97)</f>
        <v>4986.97</v>
      </c>
      <c r="K386" s="167"/>
      <c r="M386" s="168"/>
      <c r="N386" s="168"/>
      <c r="O386" s="168"/>
      <c r="P386" s="168"/>
      <c r="Q386" s="168"/>
      <c r="R386" s="165" t="s">
        <v>1041</v>
      </c>
      <c r="S386" s="140" t="s">
        <v>926</v>
      </c>
      <c r="T386" s="143">
        <f>T385</f>
        <v>72131</v>
      </c>
      <c r="U386" s="140" t="s">
        <v>61</v>
      </c>
      <c r="V386" s="143" t="str">
        <f>V385</f>
        <v>DEV</v>
      </c>
      <c r="W386" s="140" t="s">
        <v>927</v>
      </c>
      <c r="X386" s="164">
        <v>1</v>
      </c>
    </row>
    <row r="387" spans="1:29" s="61" customFormat="1" x14ac:dyDescent="0.2">
      <c r="A387" s="224" t="s">
        <v>930</v>
      </c>
      <c r="B387" s="81">
        <v>72130</v>
      </c>
      <c r="C387" s="61" t="str">
        <f>LEFT(C376,LEN(C376)-2)</f>
        <v>Devipada</v>
      </c>
      <c r="E387" s="61" t="s">
        <v>126</v>
      </c>
      <c r="G387" s="153"/>
      <c r="H387" s="160">
        <v>4990</v>
      </c>
      <c r="I387" s="232">
        <f>IF("generated"=1, "Path=Track_10_Track_2, Scaled Offset=4990", 4990)</f>
        <v>4990</v>
      </c>
      <c r="J387" s="89"/>
      <c r="M387" s="88"/>
      <c r="N387" s="88"/>
      <c r="O387" s="88"/>
      <c r="P387" s="88"/>
      <c r="Q387" s="88"/>
      <c r="S387" s="61" t="s">
        <v>41</v>
      </c>
      <c r="T387" s="87">
        <v>40</v>
      </c>
      <c r="V387" s="87"/>
    </row>
    <row r="388" spans="1:29" s="61" customFormat="1" x14ac:dyDescent="0.2">
      <c r="A388" s="224" t="s">
        <v>930</v>
      </c>
      <c r="B388" s="81">
        <v>72130</v>
      </c>
      <c r="C388" s="61" t="str">
        <f>C387</f>
        <v>Devipada</v>
      </c>
      <c r="E388" s="61" t="s">
        <v>126</v>
      </c>
      <c r="G388" s="153"/>
      <c r="H388" s="160">
        <v>4802</v>
      </c>
      <c r="I388" s="232">
        <f>IF("generated"=1, "Path=Track_10_Track_2, Scaled Offset=4802", 4802)</f>
        <v>4802</v>
      </c>
      <c r="J388" s="89"/>
      <c r="M388" s="88"/>
      <c r="N388" s="88"/>
      <c r="O388" s="88"/>
      <c r="P388" s="88"/>
      <c r="Q388" s="88"/>
      <c r="S388" s="61" t="s">
        <v>41</v>
      </c>
      <c r="T388" s="87">
        <v>40</v>
      </c>
      <c r="V388" s="87"/>
    </row>
    <row r="390" spans="1:29" s="62" customFormat="1" x14ac:dyDescent="0.2">
      <c r="A390" s="224" t="s">
        <v>129</v>
      </c>
      <c r="B390" s="154">
        <v>72130</v>
      </c>
      <c r="C390" s="61" t="s">
        <v>353</v>
      </c>
      <c r="D390" s="62" t="s">
        <v>69</v>
      </c>
      <c r="E390" s="94"/>
      <c r="G390" s="149"/>
      <c r="H390" s="158"/>
      <c r="I390" s="162"/>
      <c r="M390" s="63"/>
      <c r="N390" s="63"/>
      <c r="O390" s="63"/>
      <c r="P390" s="63"/>
      <c r="Q390" s="63"/>
      <c r="T390" s="64"/>
      <c r="V390" s="64"/>
    </row>
    <row r="391" spans="1:29" s="60" customFormat="1" x14ac:dyDescent="0.2">
      <c r="A391" s="224"/>
      <c r="B391" s="81"/>
      <c r="C391" s="60" t="s">
        <v>356</v>
      </c>
      <c r="D391" s="60" t="s">
        <v>51</v>
      </c>
      <c r="E391" s="94" t="s">
        <v>187</v>
      </c>
      <c r="G391" s="150">
        <v>12506.555</v>
      </c>
      <c r="H391" s="159">
        <f>G391+F391</f>
        <v>12506.555</v>
      </c>
      <c r="I391" s="90"/>
      <c r="J391" s="65"/>
      <c r="K391" s="60" t="s">
        <v>64</v>
      </c>
      <c r="M391" s="66">
        <v>2.5</v>
      </c>
      <c r="N391" s="66">
        <v>0</v>
      </c>
      <c r="O391" s="66"/>
      <c r="P391" s="66"/>
      <c r="Q391" s="66"/>
      <c r="R391" s="60" t="str">
        <f>$E$3</f>
        <v>Red</v>
      </c>
      <c r="S391" s="60" t="s">
        <v>68</v>
      </c>
      <c r="T391" s="67" t="str">
        <f>C391</f>
        <v>Devipada_S2</v>
      </c>
      <c r="U391" s="60" t="s">
        <v>50</v>
      </c>
      <c r="V391" s="67">
        <v>0</v>
      </c>
      <c r="W391" s="60" t="s">
        <v>67</v>
      </c>
      <c r="X391" s="60">
        <v>1</v>
      </c>
      <c r="Y391" s="60" t="s">
        <v>66</v>
      </c>
      <c r="Z391" s="60">
        <v>1</v>
      </c>
      <c r="AA391" s="60" t="s">
        <v>353</v>
      </c>
      <c r="AB391" s="74" t="s">
        <v>358</v>
      </c>
      <c r="AC391" s="60">
        <v>1</v>
      </c>
    </row>
    <row r="392" spans="1:29" s="60" customFormat="1" x14ac:dyDescent="0.2">
      <c r="A392" s="224"/>
      <c r="B392" s="81"/>
      <c r="C392" s="60" t="str">
        <f>AA392&amp;"_"&amp;AC392</f>
        <v>Devipada_1</v>
      </c>
      <c r="D392" s="60" t="s">
        <v>51</v>
      </c>
      <c r="E392" s="60" t="str">
        <f>E391</f>
        <v>MMRBEM_7_UP</v>
      </c>
      <c r="G392" s="151">
        <f>AVERAGE(H391,H393)</f>
        <v>12599.055</v>
      </c>
      <c r="H392" s="159">
        <f>F392+G392</f>
        <v>12599.055</v>
      </c>
      <c r="I392" s="90"/>
      <c r="J392" s="65"/>
      <c r="K392" s="60" t="s">
        <v>64</v>
      </c>
      <c r="M392" s="66">
        <v>2.5</v>
      </c>
      <c r="N392" s="66">
        <v>0</v>
      </c>
      <c r="O392" s="66"/>
      <c r="P392" s="66"/>
      <c r="Q392" s="66"/>
      <c r="R392" s="60" t="str">
        <f>$E$4</f>
        <v>Green</v>
      </c>
      <c r="S392" s="60" t="s">
        <v>68</v>
      </c>
      <c r="T392" s="67" t="str">
        <f>C392</f>
        <v>Devipada_1</v>
      </c>
      <c r="U392" s="60" t="s">
        <v>50</v>
      </c>
      <c r="V392" s="67">
        <v>0</v>
      </c>
      <c r="W392" s="60" t="s">
        <v>67</v>
      </c>
      <c r="X392" s="60">
        <v>1</v>
      </c>
      <c r="Y392" s="60" t="s">
        <v>66</v>
      </c>
      <c r="Z392" s="60">
        <v>1</v>
      </c>
      <c r="AA392" s="60" t="str">
        <f>AA391</f>
        <v>Devipada</v>
      </c>
      <c r="AB392" s="60" t="str">
        <f>AB391</f>
        <v>DEV</v>
      </c>
      <c r="AC392" s="60">
        <f>AC391</f>
        <v>1</v>
      </c>
    </row>
    <row r="393" spans="1:29" s="60" customFormat="1" x14ac:dyDescent="0.2">
      <c r="A393" s="224"/>
      <c r="B393" s="81"/>
      <c r="C393" s="60" t="s">
        <v>357</v>
      </c>
      <c r="D393" s="60" t="s">
        <v>51</v>
      </c>
      <c r="E393" s="94" t="s">
        <v>187</v>
      </c>
      <c r="G393" s="150">
        <v>12691.555</v>
      </c>
      <c r="H393" s="159">
        <f>G393+F393</f>
        <v>12691.555</v>
      </c>
      <c r="I393" s="90"/>
      <c r="J393" s="65"/>
      <c r="K393" s="60" t="s">
        <v>64</v>
      </c>
      <c r="M393" s="66">
        <v>2.5</v>
      </c>
      <c r="N393" s="66">
        <v>0</v>
      </c>
      <c r="O393" s="66"/>
      <c r="P393" s="66"/>
      <c r="Q393" s="66"/>
      <c r="R393" s="60" t="str">
        <f>$E$3</f>
        <v>Red</v>
      </c>
      <c r="S393" s="60" t="s">
        <v>68</v>
      </c>
      <c r="T393" s="67" t="str">
        <f>C393</f>
        <v>Devipada_E2</v>
      </c>
      <c r="U393" s="60" t="s">
        <v>50</v>
      </c>
      <c r="V393" s="67">
        <v>0</v>
      </c>
      <c r="W393" s="60" t="s">
        <v>67</v>
      </c>
      <c r="X393" s="60">
        <v>1</v>
      </c>
      <c r="Y393" s="60" t="s">
        <v>66</v>
      </c>
      <c r="Z393" s="60">
        <v>1</v>
      </c>
      <c r="AA393" s="60" t="s">
        <v>353</v>
      </c>
      <c r="AB393" s="74" t="s">
        <v>358</v>
      </c>
      <c r="AC393" s="60">
        <v>1</v>
      </c>
    </row>
    <row r="394" spans="1:29" s="70" customFormat="1" x14ac:dyDescent="0.2">
      <c r="A394" s="224" t="s">
        <v>129</v>
      </c>
      <c r="B394" s="154">
        <v>72137</v>
      </c>
      <c r="C394" s="68" t="str">
        <f>C392</f>
        <v>Devipada_1</v>
      </c>
      <c r="D394" s="69" t="s">
        <v>65</v>
      </c>
      <c r="E394" s="70" t="str">
        <f>E392</f>
        <v>MMRBEM_7_UP</v>
      </c>
      <c r="F394" s="70">
        <f>F392</f>
        <v>0</v>
      </c>
      <c r="G394" s="152">
        <f>H392</f>
        <v>12599.055</v>
      </c>
      <c r="H394" s="159">
        <f t="shared" ref="H394:H404" si="165">F394+G394</f>
        <v>12599.055</v>
      </c>
      <c r="I394" s="232">
        <f>IF("generated"=1, "Path=MMRBEM_7_UP, Scaled Offset=12599.055000000000291038304567337036", 12918.3852945668)</f>
        <v>12918.3852945668</v>
      </c>
      <c r="K394" s="69" t="s">
        <v>64</v>
      </c>
      <c r="M394" s="71">
        <f>2*M392</f>
        <v>5</v>
      </c>
      <c r="N394" s="71">
        <v>0</v>
      </c>
      <c r="O394" s="71"/>
      <c r="P394" s="71">
        <v>0</v>
      </c>
      <c r="Q394" s="71">
        <v>0</v>
      </c>
      <c r="S394" s="69" t="s">
        <v>63</v>
      </c>
      <c r="T394" s="72">
        <f>ABS(H393-H391)</f>
        <v>185</v>
      </c>
      <c r="U394" s="69" t="s">
        <v>62</v>
      </c>
      <c r="V394" s="73" t="str">
        <f>C394</f>
        <v>Devipada_1</v>
      </c>
      <c r="W394" s="68" t="s">
        <v>61</v>
      </c>
      <c r="X394" s="74" t="s">
        <v>358</v>
      </c>
      <c r="Y394" s="74" t="s">
        <v>60</v>
      </c>
      <c r="Z394" s="70" t="str">
        <f>LEFT(V394, LEN(V394)-2)</f>
        <v>Devipada</v>
      </c>
    </row>
    <row r="395" spans="1:29" s="70" customFormat="1" x14ac:dyDescent="0.2">
      <c r="A395" s="224" t="s">
        <v>129</v>
      </c>
      <c r="B395" s="154">
        <v>72138</v>
      </c>
      <c r="C395" s="70" t="str">
        <f>CONCATENATE("Platform Passenger - ",C394)</f>
        <v>Platform Passenger - Devipada_1</v>
      </c>
      <c r="D395" s="75" t="s">
        <v>59</v>
      </c>
      <c r="E395" s="70" t="str">
        <f t="shared" ref="E395:E400" si="166">E394</f>
        <v>MMRBEM_7_UP</v>
      </c>
      <c r="F395" s="70">
        <v>0</v>
      </c>
      <c r="G395" s="152">
        <f t="shared" ref="G395:G400" si="167">G394</f>
        <v>12599.055</v>
      </c>
      <c r="H395" s="159">
        <f t="shared" si="165"/>
        <v>12599.055</v>
      </c>
      <c r="I395" s="232">
        <f>IF("generated"=1, "Path=MMRBEM_7_UP, Scaled Offset=12599.055000000000291038304567337036", 12918.3852945668)</f>
        <v>12918.3852945668</v>
      </c>
      <c r="K395" s="76" t="str">
        <f t="shared" ref="K395:K400" si="168">K394</f>
        <v>BOTH</v>
      </c>
      <c r="M395" s="77">
        <f>M394/2</f>
        <v>2.5</v>
      </c>
      <c r="N395" s="77">
        <f>N394</f>
        <v>0</v>
      </c>
      <c r="O395" s="77"/>
      <c r="P395" s="77">
        <v>90</v>
      </c>
      <c r="Q395" s="77">
        <f>Q394</f>
        <v>0</v>
      </c>
      <c r="R395" s="75" t="s">
        <v>1091</v>
      </c>
      <c r="S395" s="70" t="s">
        <v>58</v>
      </c>
      <c r="T395" s="78" t="str">
        <f>CONCATENATE(X394,"_PAS"&amp;AC393)</f>
        <v>DEV_PAS1</v>
      </c>
      <c r="V395" s="79"/>
    </row>
    <row r="396" spans="1:29" s="70" customFormat="1" x14ac:dyDescent="0.2">
      <c r="A396" s="224" t="s">
        <v>129</v>
      </c>
      <c r="B396" s="154">
        <v>72139</v>
      </c>
      <c r="C396" s="70" t="str">
        <f>CONCATENATE("Passenger Alighting - ",C394)</f>
        <v>Passenger Alighting - Devipada_1</v>
      </c>
      <c r="D396" s="75" t="s">
        <v>57</v>
      </c>
      <c r="E396" s="70" t="str">
        <f t="shared" si="166"/>
        <v>MMRBEM_7_UP</v>
      </c>
      <c r="F396" s="70">
        <v>0</v>
      </c>
      <c r="G396" s="152">
        <f t="shared" si="167"/>
        <v>12599.055</v>
      </c>
      <c r="H396" s="159">
        <f t="shared" si="165"/>
        <v>12599.055</v>
      </c>
      <c r="I396" s="232">
        <f>IF("generated"=1, "Path=MMRBEM_7_UP, Scaled Offset=12599.055000000000291038304567337036", 12918.3852945668)</f>
        <v>12918.3852945668</v>
      </c>
      <c r="K396" s="76" t="str">
        <f t="shared" si="168"/>
        <v>BOTH</v>
      </c>
      <c r="M396" s="77">
        <f>M395</f>
        <v>2.5</v>
      </c>
      <c r="N396" s="77">
        <f>N395</f>
        <v>0</v>
      </c>
      <c r="O396" s="77"/>
      <c r="P396" s="77">
        <v>90</v>
      </c>
      <c r="Q396" s="77">
        <f>Q395</f>
        <v>0</v>
      </c>
      <c r="R396" s="75" t="s">
        <v>1091</v>
      </c>
      <c r="S396" s="70" t="s">
        <v>56</v>
      </c>
      <c r="T396" s="78">
        <f>B395</f>
        <v>72138</v>
      </c>
      <c r="V396" s="79"/>
    </row>
    <row r="397" spans="1:29" s="70" customFormat="1" x14ac:dyDescent="0.2">
      <c r="A397" s="224" t="s">
        <v>129</v>
      </c>
      <c r="B397" s="154">
        <v>72140</v>
      </c>
      <c r="C397" s="70" t="str">
        <f>CONCATENATE("Passenger Arriving - ",C392)</f>
        <v>Passenger Arriving - Devipada_1</v>
      </c>
      <c r="D397" s="75" t="s">
        <v>55</v>
      </c>
      <c r="E397" s="70" t="str">
        <f t="shared" si="166"/>
        <v>MMRBEM_7_UP</v>
      </c>
      <c r="F397" s="70">
        <v>0</v>
      </c>
      <c r="G397" s="152">
        <f t="shared" si="167"/>
        <v>12599.055</v>
      </c>
      <c r="H397" s="159">
        <f t="shared" si="165"/>
        <v>12599.055</v>
      </c>
      <c r="I397" s="232">
        <f>IF("generated"=1, "Path=MMRBEM_7_UP, Scaled Offset=12599.055000000000291038304567337036", 12918.3852945668)</f>
        <v>12918.3852945668</v>
      </c>
      <c r="K397" s="76" t="str">
        <f t="shared" si="168"/>
        <v>BOTH</v>
      </c>
      <c r="M397" s="77">
        <f>M396</f>
        <v>2.5</v>
      </c>
      <c r="N397" s="77">
        <f>N396</f>
        <v>0</v>
      </c>
      <c r="O397" s="77"/>
      <c r="P397" s="77">
        <v>90</v>
      </c>
      <c r="Q397" s="77">
        <f>Q396</f>
        <v>0</v>
      </c>
      <c r="R397" s="75" t="s">
        <v>52</v>
      </c>
      <c r="S397" s="70" t="str">
        <f t="shared" ref="S397:T397" si="169">S396</f>
        <v>Parent ID</v>
      </c>
      <c r="T397" s="78">
        <f t="shared" si="169"/>
        <v>72138</v>
      </c>
      <c r="V397" s="79"/>
    </row>
    <row r="398" spans="1:29" s="70" customFormat="1" x14ac:dyDescent="0.2">
      <c r="A398" s="224" t="s">
        <v>129</v>
      </c>
      <c r="B398" s="154">
        <v>72141</v>
      </c>
      <c r="C398" s="70" t="str">
        <f>CONCATENATE("Passenger Intoxicated - ",C394)</f>
        <v>Passenger Intoxicated - Devipada_1</v>
      </c>
      <c r="D398" s="75" t="s">
        <v>54</v>
      </c>
      <c r="E398" s="70" t="str">
        <f t="shared" si="166"/>
        <v>MMRBEM_7_UP</v>
      </c>
      <c r="F398" s="70">
        <v>0</v>
      </c>
      <c r="G398" s="152">
        <f t="shared" si="167"/>
        <v>12599.055</v>
      </c>
      <c r="H398" s="159">
        <f t="shared" si="165"/>
        <v>12599.055</v>
      </c>
      <c r="I398" s="232">
        <f>IF("generated"=1, "Path=MMRBEM_7_UP, Scaled Offset=12599.055000000000291038304567337036", 12918.3852945668)</f>
        <v>12918.3852945668</v>
      </c>
      <c r="K398" s="76" t="str">
        <f t="shared" si="168"/>
        <v>BOTH</v>
      </c>
      <c r="M398" s="77">
        <f>M397</f>
        <v>2.5</v>
      </c>
      <c r="N398" s="77">
        <f>N397</f>
        <v>0</v>
      </c>
      <c r="O398" s="77"/>
      <c r="P398" s="77">
        <v>90</v>
      </c>
      <c r="Q398" s="77">
        <f>Q397</f>
        <v>0</v>
      </c>
      <c r="R398" s="75" t="s">
        <v>52</v>
      </c>
      <c r="S398" s="70" t="str">
        <f t="shared" ref="S398:T398" si="170">S397</f>
        <v>Parent ID</v>
      </c>
      <c r="T398" s="78">
        <f t="shared" si="170"/>
        <v>72138</v>
      </c>
      <c r="V398" s="79"/>
    </row>
    <row r="399" spans="1:29" s="70" customFormat="1" x14ac:dyDescent="0.2">
      <c r="A399" s="224" t="s">
        <v>129</v>
      </c>
      <c r="B399" s="154">
        <v>72142</v>
      </c>
      <c r="C399" s="70" t="str">
        <f>CONCATENATE("Passenger Pram - ",C394)</f>
        <v>Passenger Pram - Devipada_1</v>
      </c>
      <c r="D399" s="75" t="s">
        <v>53</v>
      </c>
      <c r="E399" s="70" t="str">
        <f t="shared" si="166"/>
        <v>MMRBEM_7_UP</v>
      </c>
      <c r="F399" s="70">
        <v>0</v>
      </c>
      <c r="G399" s="152">
        <f t="shared" si="167"/>
        <v>12599.055</v>
      </c>
      <c r="H399" s="159">
        <f t="shared" si="165"/>
        <v>12599.055</v>
      </c>
      <c r="I399" s="232">
        <f>IF("generated"=1, "Path=MMRBEM_7_UP, Scaled Offset=12599.055000000000291038304567337036", 12918.3852945668)</f>
        <v>12918.3852945668</v>
      </c>
      <c r="K399" s="76" t="str">
        <f t="shared" si="168"/>
        <v>BOTH</v>
      </c>
      <c r="M399" s="77">
        <f>M398</f>
        <v>2.5</v>
      </c>
      <c r="N399" s="77">
        <f>N398</f>
        <v>0</v>
      </c>
      <c r="O399" s="77"/>
      <c r="P399" s="77">
        <v>90</v>
      </c>
      <c r="Q399" s="77">
        <f>Q398</f>
        <v>0</v>
      </c>
      <c r="R399" s="75" t="s">
        <v>52</v>
      </c>
      <c r="S399" s="70" t="str">
        <f t="shared" ref="S399:T399" si="171">S398</f>
        <v>Parent ID</v>
      </c>
      <c r="T399" s="78">
        <f t="shared" si="171"/>
        <v>72138</v>
      </c>
      <c r="V399" s="79"/>
    </row>
    <row r="400" spans="1:29" s="164" customFormat="1" x14ac:dyDescent="0.2">
      <c r="A400" s="224" t="s">
        <v>129</v>
      </c>
      <c r="B400" s="81">
        <v>72290</v>
      </c>
      <c r="C400" s="70" t="str">
        <f>CONCATENATE("PSD - ",C394)</f>
        <v>PSD - Devipada_1</v>
      </c>
      <c r="D400" s="165" t="s">
        <v>1042</v>
      </c>
      <c r="E400" s="70" t="str">
        <f t="shared" si="166"/>
        <v>MMRBEM_7_UP</v>
      </c>
      <c r="F400" s="70">
        <v>0</v>
      </c>
      <c r="G400" s="152">
        <f t="shared" si="167"/>
        <v>12599.055</v>
      </c>
      <c r="H400" s="159">
        <f t="shared" si="165"/>
        <v>12599.055</v>
      </c>
      <c r="I400" s="232">
        <f>IF("generated"=1, "Path=MMRBEM_7_UP, Scaled Offset=12599.055000000000291038304567337036", 12918.3852945668)</f>
        <v>12918.3852945668</v>
      </c>
      <c r="K400" s="76" t="str">
        <f t="shared" si="168"/>
        <v>BOTH</v>
      </c>
      <c r="M400" s="168">
        <f>M399-0.5</f>
        <v>2</v>
      </c>
      <c r="N400" s="168"/>
      <c r="O400" s="168"/>
      <c r="P400" s="168"/>
      <c r="Q400" s="168"/>
      <c r="R400" s="165"/>
      <c r="S400" s="165" t="s">
        <v>1043</v>
      </c>
      <c r="T400" s="165" t="str">
        <f>_xlfn.CONCAT("PSD_",T395)</f>
        <v>PSD_DEV_PAS1</v>
      </c>
      <c r="U400" s="165" t="s">
        <v>926</v>
      </c>
      <c r="V400" s="165">
        <f>B394</f>
        <v>72137</v>
      </c>
      <c r="W400" s="165"/>
      <c r="X400" s="165"/>
    </row>
    <row r="401" spans="1:29" s="164" customFormat="1" x14ac:dyDescent="0.2">
      <c r="A401" s="224" t="s">
        <v>129</v>
      </c>
      <c r="B401" s="154">
        <v>72257</v>
      </c>
      <c r="C401" s="164" t="s">
        <v>1023</v>
      </c>
      <c r="D401" s="140" t="s">
        <v>928</v>
      </c>
      <c r="E401" s="70" t="s">
        <v>92</v>
      </c>
      <c r="G401" s="166">
        <f>G402+22.2</f>
        <v>4988.5199999999995</v>
      </c>
      <c r="H401" s="159">
        <f t="shared" si="165"/>
        <v>4988.5199999999995</v>
      </c>
      <c r="I401" s="232">
        <f>IF("generated"=1, "Path=Track_20_Track_2, Scaled Offset=4988.5199999999995270627550780773163", 4988.51999999999)</f>
        <v>4988.5199999999904</v>
      </c>
      <c r="K401" s="167"/>
      <c r="M401" s="168"/>
      <c r="N401" s="168"/>
      <c r="O401" s="168"/>
      <c r="P401" s="168"/>
      <c r="Q401" s="168"/>
      <c r="R401" s="165" t="s">
        <v>1041</v>
      </c>
      <c r="S401" s="140" t="s">
        <v>926</v>
      </c>
      <c r="T401" s="143">
        <f>B394</f>
        <v>72137</v>
      </c>
      <c r="U401" s="140" t="s">
        <v>61</v>
      </c>
      <c r="V401" s="143" t="str">
        <f>X394</f>
        <v>DEV</v>
      </c>
      <c r="W401" s="140" t="s">
        <v>927</v>
      </c>
      <c r="X401" s="164">
        <v>2</v>
      </c>
    </row>
    <row r="402" spans="1:29" s="164" customFormat="1" x14ac:dyDescent="0.2">
      <c r="A402" s="224" t="s">
        <v>129</v>
      </c>
      <c r="B402" s="154">
        <v>72258</v>
      </c>
      <c r="C402" s="164" t="s">
        <v>1024</v>
      </c>
      <c r="D402" s="140" t="s">
        <v>928</v>
      </c>
      <c r="E402" s="70" t="str">
        <f t="shared" ref="E402:E404" si="172">E401</f>
        <v>Track_20_Track_2</v>
      </c>
      <c r="G402" s="166">
        <v>4966.32</v>
      </c>
      <c r="H402" s="159">
        <f t="shared" si="165"/>
        <v>4966.32</v>
      </c>
      <c r="I402" s="232">
        <f>IF("generated"=1, "Path=Track_20_Track_2, Scaled Offset=4966.3199999999997089616954326629639", 4966.31999999999)</f>
        <v>4966.3199999999897</v>
      </c>
      <c r="K402" s="167"/>
      <c r="M402" s="168"/>
      <c r="N402" s="168"/>
      <c r="O402" s="168"/>
      <c r="P402" s="168"/>
      <c r="Q402" s="168"/>
      <c r="R402" s="165" t="s">
        <v>1041</v>
      </c>
      <c r="S402" s="140" t="s">
        <v>926</v>
      </c>
      <c r="T402" s="143">
        <f>T401</f>
        <v>72137</v>
      </c>
      <c r="U402" s="140" t="s">
        <v>61</v>
      </c>
      <c r="V402" s="143" t="str">
        <f>V401</f>
        <v>DEV</v>
      </c>
      <c r="W402" s="140" t="s">
        <v>927</v>
      </c>
      <c r="X402" s="164">
        <v>2</v>
      </c>
    </row>
    <row r="403" spans="1:29" s="164" customFormat="1" x14ac:dyDescent="0.2">
      <c r="A403" s="224" t="s">
        <v>129</v>
      </c>
      <c r="B403" s="154">
        <v>72259</v>
      </c>
      <c r="C403" s="164" t="s">
        <v>1025</v>
      </c>
      <c r="D403" s="140" t="s">
        <v>928</v>
      </c>
      <c r="E403" s="70" t="str">
        <f t="shared" si="172"/>
        <v>Track_20_Track_2</v>
      </c>
      <c r="G403" s="166">
        <v>4830.22</v>
      </c>
      <c r="H403" s="159">
        <f t="shared" si="165"/>
        <v>4830.22</v>
      </c>
      <c r="I403" s="232">
        <f>IF("generated"=1, "Path=Track_20_Track_2, Scaled Offset=4830.2200000000002546585164964199066", 4830.22)</f>
        <v>4830.22</v>
      </c>
      <c r="K403" s="167"/>
      <c r="L403" s="164">
        <v>1</v>
      </c>
      <c r="M403" s="168"/>
      <c r="N403" s="168"/>
      <c r="O403" s="168"/>
      <c r="P403" s="168"/>
      <c r="Q403" s="168"/>
      <c r="R403" s="165" t="s">
        <v>1041</v>
      </c>
      <c r="S403" s="140" t="s">
        <v>926</v>
      </c>
      <c r="T403" s="143">
        <f>T402</f>
        <v>72137</v>
      </c>
      <c r="U403" s="140" t="s">
        <v>61</v>
      </c>
      <c r="V403" s="143" t="str">
        <f>V402</f>
        <v>DEV</v>
      </c>
      <c r="W403" s="140" t="s">
        <v>927</v>
      </c>
      <c r="X403" s="164">
        <v>1</v>
      </c>
    </row>
    <row r="404" spans="1:29" s="164" customFormat="1" x14ac:dyDescent="0.2">
      <c r="A404" s="224" t="s">
        <v>129</v>
      </c>
      <c r="B404" s="154">
        <v>72260</v>
      </c>
      <c r="C404" s="164" t="s">
        <v>1026</v>
      </c>
      <c r="D404" s="140" t="s">
        <v>928</v>
      </c>
      <c r="E404" s="70" t="str">
        <f t="shared" si="172"/>
        <v>Track_20_Track_2</v>
      </c>
      <c r="G404" s="166">
        <f>G403-22.2</f>
        <v>4808.0200000000004</v>
      </c>
      <c r="H404" s="159">
        <f t="shared" si="165"/>
        <v>4808.0200000000004</v>
      </c>
      <c r="I404" s="232">
        <f>IF("generated"=1, "Path=Track_20_Track_2, Scaled Offset=4808.0200000000004365574568510055542", 4808.02)</f>
        <v>4808.0200000000004</v>
      </c>
      <c r="K404" s="167"/>
      <c r="L404" s="164">
        <v>1</v>
      </c>
      <c r="M404" s="168"/>
      <c r="N404" s="168"/>
      <c r="O404" s="168"/>
      <c r="P404" s="168"/>
      <c r="Q404" s="168"/>
      <c r="R404" s="165" t="s">
        <v>1041</v>
      </c>
      <c r="S404" s="140" t="s">
        <v>926</v>
      </c>
      <c r="T404" s="143">
        <f>T403</f>
        <v>72137</v>
      </c>
      <c r="U404" s="140" t="s">
        <v>61</v>
      </c>
      <c r="V404" s="143" t="str">
        <f>V403</f>
        <v>DEV</v>
      </c>
      <c r="W404" s="140" t="s">
        <v>927</v>
      </c>
      <c r="X404" s="164">
        <v>1</v>
      </c>
    </row>
    <row r="405" spans="1:29" s="61" customFormat="1" x14ac:dyDescent="0.2">
      <c r="A405" s="224" t="s">
        <v>930</v>
      </c>
      <c r="B405" s="154">
        <v>72130</v>
      </c>
      <c r="C405" s="61" t="str">
        <f>LEFT(C394,LEN(C394)-2)</f>
        <v>Devipada</v>
      </c>
      <c r="E405" s="61" t="s">
        <v>92</v>
      </c>
      <c r="G405" s="153"/>
      <c r="H405" s="160">
        <v>4803</v>
      </c>
      <c r="I405" s="232">
        <f>IF("generated"=1, "Path=Track_20_Track_2, Scaled Offset=4803", 4803)</f>
        <v>4803</v>
      </c>
      <c r="J405" s="89"/>
      <c r="M405" s="88"/>
      <c r="N405" s="88"/>
      <c r="O405" s="88"/>
      <c r="P405" s="88"/>
      <c r="Q405" s="88"/>
      <c r="S405" s="61" t="s">
        <v>41</v>
      </c>
      <c r="T405" s="87">
        <v>40</v>
      </c>
      <c r="V405" s="87"/>
    </row>
    <row r="406" spans="1:29" s="61" customFormat="1" x14ac:dyDescent="0.2">
      <c r="A406" s="224" t="s">
        <v>930</v>
      </c>
      <c r="B406" s="154">
        <v>72130</v>
      </c>
      <c r="C406" s="61" t="str">
        <f>C405</f>
        <v>Devipada</v>
      </c>
      <c r="E406" s="61" t="s">
        <v>92</v>
      </c>
      <c r="G406" s="153"/>
      <c r="H406" s="160">
        <v>4993</v>
      </c>
      <c r="I406" s="232">
        <f>IF("generated"=1, "Path=Track_20_Track_2, Scaled Offset=4993", 4993)</f>
        <v>4993</v>
      </c>
      <c r="J406" s="89"/>
      <c r="M406" s="88"/>
      <c r="N406" s="88"/>
      <c r="O406" s="88"/>
      <c r="P406" s="88"/>
      <c r="Q406" s="88"/>
      <c r="S406" s="61" t="s">
        <v>41</v>
      </c>
      <c r="T406" s="87">
        <v>40</v>
      </c>
      <c r="V406" s="87"/>
    </row>
    <row r="408" spans="1:29" s="62" customFormat="1" x14ac:dyDescent="0.2">
      <c r="A408" s="224" t="s">
        <v>129</v>
      </c>
      <c r="B408" s="154">
        <v>72143</v>
      </c>
      <c r="C408" s="61" t="s">
        <v>359</v>
      </c>
      <c r="D408" s="62" t="s">
        <v>69</v>
      </c>
      <c r="G408" s="149"/>
      <c r="H408" s="158"/>
      <c r="I408" s="162"/>
      <c r="M408" s="63"/>
      <c r="N408" s="63"/>
      <c r="O408" s="63"/>
      <c r="P408" s="63"/>
      <c r="Q408" s="63"/>
      <c r="T408" s="64"/>
      <c r="V408" s="64"/>
    </row>
    <row r="409" spans="1:29" s="60" customFormat="1" x14ac:dyDescent="0.2">
      <c r="A409" s="224"/>
      <c r="B409" s="81"/>
      <c r="C409" s="60" t="s">
        <v>360</v>
      </c>
      <c r="D409" s="60" t="s">
        <v>51</v>
      </c>
      <c r="E409" t="s">
        <v>188</v>
      </c>
      <c r="G409" s="150">
        <v>13667.755999999999</v>
      </c>
      <c r="H409" s="159">
        <f>G409+F409</f>
        <v>13667.755999999999</v>
      </c>
      <c r="I409" s="90">
        <f>IF("generated"=1, "Path=Intermodal_Coronel_Platform_2_2, Scaled Offset=160.40000000000000568434188608080149", 160.4)</f>
        <v>160.4</v>
      </c>
      <c r="J409" s="65"/>
      <c r="K409" s="60" t="s">
        <v>64</v>
      </c>
      <c r="M409" s="66">
        <v>-2.5</v>
      </c>
      <c r="N409" s="66">
        <v>0</v>
      </c>
      <c r="O409" s="66"/>
      <c r="P409" s="66"/>
      <c r="Q409" s="66"/>
      <c r="R409" s="60" t="str">
        <f>$E$3</f>
        <v>Red</v>
      </c>
      <c r="S409" s="60" t="s">
        <v>68</v>
      </c>
      <c r="T409" s="67" t="str">
        <f>C409</f>
        <v>Rashtriya udyan_S1</v>
      </c>
      <c r="U409" s="60" t="s">
        <v>50</v>
      </c>
      <c r="V409" s="67">
        <v>0</v>
      </c>
      <c r="W409" s="60" t="s">
        <v>67</v>
      </c>
      <c r="X409" s="60">
        <v>1</v>
      </c>
      <c r="Y409" s="60" t="s">
        <v>66</v>
      </c>
      <c r="Z409" s="60">
        <v>1</v>
      </c>
      <c r="AA409" s="61" t="s">
        <v>359</v>
      </c>
      <c r="AB409" s="74" t="s">
        <v>364</v>
      </c>
      <c r="AC409" s="60">
        <v>2</v>
      </c>
    </row>
    <row r="410" spans="1:29" s="60" customFormat="1" x14ac:dyDescent="0.2">
      <c r="A410" s="224"/>
      <c r="B410" s="81"/>
      <c r="C410" s="60" t="str">
        <f>AA410&amp;"_"&amp;AC410</f>
        <v>Rashtriya udyan_2</v>
      </c>
      <c r="D410" s="60" t="s">
        <v>51</v>
      </c>
      <c r="E410" t="s">
        <v>188</v>
      </c>
      <c r="G410" s="151">
        <f>AVERAGE(H409,H411)</f>
        <v>13760.255999999999</v>
      </c>
      <c r="H410" s="159">
        <f>F410+G410</f>
        <v>13760.255999999999</v>
      </c>
      <c r="I410" s="90">
        <f>IF("generated"=1, "Path=East_Central_Line1_5, Scaled Offset=69.5", 69.5)</f>
        <v>69.5</v>
      </c>
      <c r="J410" s="65"/>
      <c r="K410" s="60" t="s">
        <v>64</v>
      </c>
      <c r="M410" s="66">
        <f>M409</f>
        <v>-2.5</v>
      </c>
      <c r="N410" s="66">
        <v>0</v>
      </c>
      <c r="O410" s="66"/>
      <c r="P410" s="66"/>
      <c r="Q410" s="66"/>
      <c r="R410" s="60" t="str">
        <f>$E$4</f>
        <v>Green</v>
      </c>
      <c r="S410" s="60" t="s">
        <v>68</v>
      </c>
      <c r="T410" s="67" t="str">
        <f>C410</f>
        <v>Rashtriya udyan_2</v>
      </c>
      <c r="U410" s="60" t="s">
        <v>50</v>
      </c>
      <c r="V410" s="67">
        <v>0</v>
      </c>
      <c r="W410" s="60" t="s">
        <v>67</v>
      </c>
      <c r="X410" s="60">
        <v>1</v>
      </c>
      <c r="Y410" s="60" t="s">
        <v>66</v>
      </c>
      <c r="Z410" s="60">
        <v>1</v>
      </c>
      <c r="AA410" s="60" t="str">
        <f>AA409</f>
        <v>Rashtriya udyan</v>
      </c>
      <c r="AB410" s="60" t="str">
        <f>AB409</f>
        <v>RAU</v>
      </c>
      <c r="AC410" s="60">
        <f>AC409</f>
        <v>2</v>
      </c>
    </row>
    <row r="411" spans="1:29" s="60" customFormat="1" x14ac:dyDescent="0.2">
      <c r="A411" s="224"/>
      <c r="B411" s="81"/>
      <c r="C411" s="60" t="s">
        <v>361</v>
      </c>
      <c r="D411" s="60" t="s">
        <v>51</v>
      </c>
      <c r="E411" t="s">
        <v>188</v>
      </c>
      <c r="G411" s="150">
        <v>13852.755999999999</v>
      </c>
      <c r="H411" s="159">
        <f>G411+F411</f>
        <v>13852.755999999999</v>
      </c>
      <c r="I411" s="90">
        <f>IF("generated"=1, "Path=Intermodal_Coronel_Platform_2_2, Scaled Offset=231", 231)</f>
        <v>231</v>
      </c>
      <c r="J411" s="65"/>
      <c r="K411" s="60" t="s">
        <v>64</v>
      </c>
      <c r="M411" s="66">
        <v>-2.5</v>
      </c>
      <c r="N411" s="66">
        <v>0</v>
      </c>
      <c r="O411" s="66"/>
      <c r="P411" s="66"/>
      <c r="Q411" s="66"/>
      <c r="R411" s="60" t="str">
        <f>$E$3</f>
        <v>Red</v>
      </c>
      <c r="S411" s="60" t="s">
        <v>68</v>
      </c>
      <c r="T411" s="67" t="str">
        <f>C411</f>
        <v>Rashtriya udyan_E1</v>
      </c>
      <c r="U411" s="60" t="s">
        <v>50</v>
      </c>
      <c r="V411" s="67">
        <v>0</v>
      </c>
      <c r="W411" s="60" t="s">
        <v>67</v>
      </c>
      <c r="X411" s="60">
        <v>1</v>
      </c>
      <c r="Y411" s="60" t="s">
        <v>66</v>
      </c>
      <c r="Z411" s="60">
        <v>1</v>
      </c>
      <c r="AA411" s="61" t="s">
        <v>359</v>
      </c>
      <c r="AB411" s="74" t="s">
        <v>364</v>
      </c>
      <c r="AC411" s="60">
        <v>2</v>
      </c>
    </row>
    <row r="412" spans="1:29" s="70" customFormat="1" x14ac:dyDescent="0.2">
      <c r="A412" s="224" t="s">
        <v>129</v>
      </c>
      <c r="B412" s="154">
        <v>72144</v>
      </c>
      <c r="C412" s="68" t="str">
        <f>C410</f>
        <v>Rashtriya udyan_2</v>
      </c>
      <c r="D412" s="69" t="s">
        <v>65</v>
      </c>
      <c r="E412" s="70" t="str">
        <f>E410</f>
        <v>MMRBEM_7_DOWN</v>
      </c>
      <c r="F412" s="70">
        <f>F410</f>
        <v>0</v>
      </c>
      <c r="G412" s="152">
        <f>H410</f>
        <v>13760.255999999999</v>
      </c>
      <c r="H412" s="159">
        <f t="shared" ref="H412:H422" si="173">F412+G412</f>
        <v>13760.255999999999</v>
      </c>
      <c r="I412" s="232">
        <f>IF("generated"=1, "Path=MMRBEM_7_DOWN, Scaled Offset=13760.255999999999403371475636959076", 14058.438447399)</f>
        <v>14058.438447398999</v>
      </c>
      <c r="K412" s="69" t="s">
        <v>64</v>
      </c>
      <c r="M412" s="71">
        <f>2*M410</f>
        <v>-5</v>
      </c>
      <c r="N412" s="71">
        <v>0</v>
      </c>
      <c r="O412" s="71"/>
      <c r="P412" s="71">
        <v>0</v>
      </c>
      <c r="Q412" s="71">
        <v>0</v>
      </c>
      <c r="S412" s="69" t="s">
        <v>63</v>
      </c>
      <c r="T412" s="72">
        <f>ABS(H411-H409)</f>
        <v>185</v>
      </c>
      <c r="U412" s="69" t="s">
        <v>62</v>
      </c>
      <c r="V412" s="73" t="str">
        <f>C412</f>
        <v>Rashtriya udyan_2</v>
      </c>
      <c r="W412" s="68" t="s">
        <v>61</v>
      </c>
      <c r="X412" s="74" t="s">
        <v>364</v>
      </c>
      <c r="Y412" s="74" t="s">
        <v>60</v>
      </c>
      <c r="Z412" s="70" t="str">
        <f>LEFT(V412, LEN(V412)-2)</f>
        <v>Rashtriya udyan</v>
      </c>
    </row>
    <row r="413" spans="1:29" s="70" customFormat="1" x14ac:dyDescent="0.2">
      <c r="A413" s="224" t="s">
        <v>129</v>
      </c>
      <c r="B413" s="154">
        <v>72145</v>
      </c>
      <c r="C413" s="70" t="str">
        <f>CONCATENATE("Platform Passenger - ",C412)</f>
        <v>Platform Passenger - Rashtriya udyan_2</v>
      </c>
      <c r="D413" s="75" t="s">
        <v>59</v>
      </c>
      <c r="E413" s="70" t="str">
        <f t="shared" ref="E413:E418" si="174">E412</f>
        <v>MMRBEM_7_DOWN</v>
      </c>
      <c r="F413" s="70">
        <v>0</v>
      </c>
      <c r="G413" s="152">
        <f t="shared" ref="G413:G418" si="175">G412</f>
        <v>13760.255999999999</v>
      </c>
      <c r="H413" s="159">
        <f t="shared" si="173"/>
        <v>13760.255999999999</v>
      </c>
      <c r="I413" s="232">
        <f>IF("generated"=1, "Path=MMRBEM_7_DOWN, Scaled Offset=13760.255999999999403371475636959076", 14058.438447399)</f>
        <v>14058.438447398999</v>
      </c>
      <c r="K413" s="76" t="str">
        <f t="shared" ref="K413:K418" si="176">K412</f>
        <v>BOTH</v>
      </c>
      <c r="M413" s="77">
        <f>M412/2</f>
        <v>-2.5</v>
      </c>
      <c r="N413" s="77">
        <f>N412</f>
        <v>0</v>
      </c>
      <c r="O413" s="77"/>
      <c r="P413" s="77">
        <v>270</v>
      </c>
      <c r="Q413" s="77">
        <f>Q412</f>
        <v>0</v>
      </c>
      <c r="R413" s="75" t="s">
        <v>1091</v>
      </c>
      <c r="S413" s="70" t="s">
        <v>58</v>
      </c>
      <c r="T413" s="78" t="str">
        <f>CONCATENATE(X412,"_PAS"&amp;AC411)</f>
        <v>RAU_PAS2</v>
      </c>
      <c r="V413" s="79"/>
    </row>
    <row r="414" spans="1:29" s="70" customFormat="1" x14ac:dyDescent="0.2">
      <c r="A414" s="224" t="s">
        <v>129</v>
      </c>
      <c r="B414" s="154">
        <v>72146</v>
      </c>
      <c r="C414" s="70" t="str">
        <f>CONCATENATE("Passenger Alighting - ",C412)</f>
        <v>Passenger Alighting - Rashtriya udyan_2</v>
      </c>
      <c r="D414" s="75" t="s">
        <v>57</v>
      </c>
      <c r="E414" s="70" t="str">
        <f t="shared" si="174"/>
        <v>MMRBEM_7_DOWN</v>
      </c>
      <c r="F414" s="70">
        <v>0</v>
      </c>
      <c r="G414" s="152">
        <f t="shared" si="175"/>
        <v>13760.255999999999</v>
      </c>
      <c r="H414" s="159">
        <f t="shared" si="173"/>
        <v>13760.255999999999</v>
      </c>
      <c r="I414" s="232">
        <f>IF("generated"=1, "Path=MMRBEM_7_DOWN, Scaled Offset=13760.255999999999403371475636959076", 14058.438447399)</f>
        <v>14058.438447398999</v>
      </c>
      <c r="K414" s="76" t="str">
        <f t="shared" si="176"/>
        <v>BOTH</v>
      </c>
      <c r="M414" s="77">
        <f>M413</f>
        <v>-2.5</v>
      </c>
      <c r="N414" s="77">
        <f>N413</f>
        <v>0</v>
      </c>
      <c r="O414" s="77"/>
      <c r="P414" s="77">
        <v>270</v>
      </c>
      <c r="Q414" s="77">
        <f>Q413</f>
        <v>0</v>
      </c>
      <c r="R414" s="75" t="s">
        <v>1091</v>
      </c>
      <c r="S414" s="70" t="s">
        <v>56</v>
      </c>
      <c r="T414" s="78">
        <f>B413</f>
        <v>72145</v>
      </c>
      <c r="V414" s="79"/>
    </row>
    <row r="415" spans="1:29" s="70" customFormat="1" x14ac:dyDescent="0.2">
      <c r="A415" s="224" t="s">
        <v>129</v>
      </c>
      <c r="B415" s="154">
        <v>72147</v>
      </c>
      <c r="C415" s="70" t="str">
        <f>CONCATENATE("Passenger Arriving - ",C410)</f>
        <v>Passenger Arriving - Rashtriya udyan_2</v>
      </c>
      <c r="D415" s="75" t="s">
        <v>55</v>
      </c>
      <c r="E415" s="70" t="str">
        <f t="shared" si="174"/>
        <v>MMRBEM_7_DOWN</v>
      </c>
      <c r="F415" s="70">
        <v>0</v>
      </c>
      <c r="G415" s="152">
        <f t="shared" si="175"/>
        <v>13760.255999999999</v>
      </c>
      <c r="H415" s="159">
        <f t="shared" si="173"/>
        <v>13760.255999999999</v>
      </c>
      <c r="I415" s="232">
        <f>IF("generated"=1, "Path=MMRBEM_7_DOWN, Scaled Offset=13760.255999999999403371475636959076", 14058.438447399)</f>
        <v>14058.438447398999</v>
      </c>
      <c r="K415" s="76" t="str">
        <f t="shared" si="176"/>
        <v>BOTH</v>
      </c>
      <c r="M415" s="77">
        <f>M414</f>
        <v>-2.5</v>
      </c>
      <c r="N415" s="77">
        <f>N414</f>
        <v>0</v>
      </c>
      <c r="O415" s="77"/>
      <c r="P415" s="77">
        <v>270</v>
      </c>
      <c r="Q415" s="77">
        <f>Q414</f>
        <v>0</v>
      </c>
      <c r="R415" s="75" t="s">
        <v>52</v>
      </c>
      <c r="S415" s="70" t="str">
        <f t="shared" ref="S415:T415" si="177">S414</f>
        <v>Parent ID</v>
      </c>
      <c r="T415" s="78">
        <f t="shared" si="177"/>
        <v>72145</v>
      </c>
      <c r="V415" s="79"/>
    </row>
    <row r="416" spans="1:29" s="70" customFormat="1" x14ac:dyDescent="0.2">
      <c r="A416" s="224" t="s">
        <v>129</v>
      </c>
      <c r="B416" s="154">
        <v>72148</v>
      </c>
      <c r="C416" s="70" t="str">
        <f>CONCATENATE("Passenger Intoxicated - ",C412)</f>
        <v>Passenger Intoxicated - Rashtriya udyan_2</v>
      </c>
      <c r="D416" s="75" t="s">
        <v>54</v>
      </c>
      <c r="E416" s="70" t="str">
        <f t="shared" si="174"/>
        <v>MMRBEM_7_DOWN</v>
      </c>
      <c r="F416" s="70">
        <v>0</v>
      </c>
      <c r="G416" s="152">
        <f t="shared" si="175"/>
        <v>13760.255999999999</v>
      </c>
      <c r="H416" s="159">
        <f t="shared" si="173"/>
        <v>13760.255999999999</v>
      </c>
      <c r="I416" s="232">
        <f>IF("generated"=1, "Path=MMRBEM_7_DOWN, Scaled Offset=13760.255999999999403371475636959076", 14058.438447399)</f>
        <v>14058.438447398999</v>
      </c>
      <c r="K416" s="76" t="str">
        <f t="shared" si="176"/>
        <v>BOTH</v>
      </c>
      <c r="M416" s="77">
        <f>M415</f>
        <v>-2.5</v>
      </c>
      <c r="N416" s="77">
        <f>N415</f>
        <v>0</v>
      </c>
      <c r="O416" s="77"/>
      <c r="P416" s="77">
        <v>270</v>
      </c>
      <c r="Q416" s="77">
        <f>Q415</f>
        <v>0</v>
      </c>
      <c r="R416" s="75" t="s">
        <v>52</v>
      </c>
      <c r="S416" s="70" t="str">
        <f t="shared" ref="S416:T416" si="178">S415</f>
        <v>Parent ID</v>
      </c>
      <c r="T416" s="78">
        <f t="shared" si="178"/>
        <v>72145</v>
      </c>
      <c r="V416" s="79"/>
    </row>
    <row r="417" spans="1:29" s="70" customFormat="1" x14ac:dyDescent="0.2">
      <c r="A417" s="224" t="s">
        <v>129</v>
      </c>
      <c r="B417" s="154">
        <v>72149</v>
      </c>
      <c r="C417" s="70" t="str">
        <f>CONCATENATE("Passenger Pram - ",C412)</f>
        <v>Passenger Pram - Rashtriya udyan_2</v>
      </c>
      <c r="D417" s="75" t="s">
        <v>53</v>
      </c>
      <c r="E417" s="70" t="str">
        <f t="shared" si="174"/>
        <v>MMRBEM_7_DOWN</v>
      </c>
      <c r="F417" s="70">
        <v>0</v>
      </c>
      <c r="G417" s="152">
        <f t="shared" si="175"/>
        <v>13760.255999999999</v>
      </c>
      <c r="H417" s="159">
        <f t="shared" si="173"/>
        <v>13760.255999999999</v>
      </c>
      <c r="I417" s="232">
        <f>IF("generated"=1, "Path=MMRBEM_7_DOWN, Scaled Offset=13760.255999999999403371475636959076", 14058.438447399)</f>
        <v>14058.438447398999</v>
      </c>
      <c r="K417" s="76" t="str">
        <f t="shared" si="176"/>
        <v>BOTH</v>
      </c>
      <c r="M417" s="77">
        <f>M416</f>
        <v>-2.5</v>
      </c>
      <c r="N417" s="77">
        <f>N416</f>
        <v>0</v>
      </c>
      <c r="O417" s="77"/>
      <c r="P417" s="77">
        <v>270</v>
      </c>
      <c r="Q417" s="77">
        <f>Q416</f>
        <v>0</v>
      </c>
      <c r="R417" s="75" t="s">
        <v>52</v>
      </c>
      <c r="S417" s="70" t="str">
        <f t="shared" ref="S417:T417" si="179">S416</f>
        <v>Parent ID</v>
      </c>
      <c r="T417" s="78">
        <f t="shared" si="179"/>
        <v>72145</v>
      </c>
      <c r="V417" s="79"/>
    </row>
    <row r="418" spans="1:29" s="164" customFormat="1" x14ac:dyDescent="0.2">
      <c r="A418" s="224" t="s">
        <v>129</v>
      </c>
      <c r="B418" s="81">
        <v>72291</v>
      </c>
      <c r="C418" s="70" t="str">
        <f>CONCATENATE("PSD - ",C412)</f>
        <v>PSD - Rashtriya udyan_2</v>
      </c>
      <c r="D418" s="165" t="s">
        <v>1042</v>
      </c>
      <c r="E418" s="70" t="str">
        <f t="shared" si="174"/>
        <v>MMRBEM_7_DOWN</v>
      </c>
      <c r="F418" s="70">
        <v>0</v>
      </c>
      <c r="G418" s="152">
        <f t="shared" si="175"/>
        <v>13760.255999999999</v>
      </c>
      <c r="H418" s="159">
        <f t="shared" si="173"/>
        <v>13760.255999999999</v>
      </c>
      <c r="I418" s="232">
        <f>IF("generated"=1, "Path=MMRBEM_7_DOWN, Scaled Offset=13760.255999999999403371475636959076", 14058.438447399)</f>
        <v>14058.438447398999</v>
      </c>
      <c r="K418" s="76" t="str">
        <f t="shared" si="176"/>
        <v>BOTH</v>
      </c>
      <c r="M418" s="168">
        <f>M417+0.5</f>
        <v>-2</v>
      </c>
      <c r="N418" s="168"/>
      <c r="O418" s="168"/>
      <c r="P418" s="168"/>
      <c r="Q418" s="168"/>
      <c r="R418" s="165"/>
      <c r="S418" s="165" t="s">
        <v>1043</v>
      </c>
      <c r="T418" s="165" t="str">
        <f>_xlfn.CONCAT("PSD_",T413)</f>
        <v>PSD_RAU_PAS2</v>
      </c>
      <c r="U418" s="165" t="s">
        <v>926</v>
      </c>
      <c r="V418" s="165">
        <f>B412</f>
        <v>72144</v>
      </c>
      <c r="W418" s="165"/>
      <c r="X418" s="165"/>
    </row>
    <row r="419" spans="1:29" s="164" customFormat="1" x14ac:dyDescent="0.2">
      <c r="A419" s="224" t="s">
        <v>129</v>
      </c>
      <c r="B419" s="81">
        <v>72261</v>
      </c>
      <c r="C419" s="164" t="s">
        <v>1027</v>
      </c>
      <c r="D419" s="140" t="s">
        <v>928</v>
      </c>
      <c r="E419" s="70" t="s">
        <v>126</v>
      </c>
      <c r="G419" s="166">
        <f>G420+22.2</f>
        <v>6158.54</v>
      </c>
      <c r="H419" s="159">
        <f t="shared" si="173"/>
        <v>6158.54</v>
      </c>
      <c r="I419" s="232">
        <f>IF("generated"=1, "Path=Track_10_Track_2, Scaled Offset=6158.5399999999999636202119290828705", 6158.53999999999)</f>
        <v>6158.53999999999</v>
      </c>
      <c r="K419" s="167"/>
      <c r="M419" s="168"/>
      <c r="N419" s="168"/>
      <c r="O419" s="168"/>
      <c r="P419" s="168"/>
      <c r="Q419" s="168"/>
      <c r="R419" s="165" t="s">
        <v>1041</v>
      </c>
      <c r="S419" s="140" t="s">
        <v>926</v>
      </c>
      <c r="T419" s="143">
        <f>B412</f>
        <v>72144</v>
      </c>
      <c r="U419" s="140" t="s">
        <v>61</v>
      </c>
      <c r="V419" s="143" t="str">
        <f>X412</f>
        <v>RAU</v>
      </c>
      <c r="W419" s="140" t="s">
        <v>927</v>
      </c>
      <c r="X419" s="164">
        <v>1</v>
      </c>
    </row>
    <row r="420" spans="1:29" s="164" customFormat="1" x14ac:dyDescent="0.2">
      <c r="A420" s="224" t="s">
        <v>129</v>
      </c>
      <c r="B420" s="81">
        <v>72262</v>
      </c>
      <c r="C420" s="164" t="s">
        <v>1028</v>
      </c>
      <c r="D420" s="140" t="s">
        <v>928</v>
      </c>
      <c r="E420" s="70" t="str">
        <f t="shared" ref="E420:E422" si="180">E419</f>
        <v>Track_10_Track_2</v>
      </c>
      <c r="G420" s="166">
        <v>6136.34</v>
      </c>
      <c r="H420" s="159">
        <f t="shared" si="173"/>
        <v>6136.34</v>
      </c>
      <c r="I420" s="232">
        <f>IF("generated"=1, "Path=Track_10_Track_2, Scaled Offset=6136.3400000000001455191522836685181", 6136.34)</f>
        <v>6136.34</v>
      </c>
      <c r="K420" s="167"/>
      <c r="M420" s="168"/>
      <c r="N420" s="168"/>
      <c r="O420" s="168"/>
      <c r="P420" s="168"/>
      <c r="Q420" s="168"/>
      <c r="R420" s="165" t="s">
        <v>1041</v>
      </c>
      <c r="S420" s="140" t="s">
        <v>926</v>
      </c>
      <c r="T420" s="143">
        <f>T419</f>
        <v>72144</v>
      </c>
      <c r="U420" s="140" t="s">
        <v>61</v>
      </c>
      <c r="V420" s="143" t="str">
        <f>V419</f>
        <v>RAU</v>
      </c>
      <c r="W420" s="140" t="s">
        <v>927</v>
      </c>
      <c r="X420" s="164">
        <v>1</v>
      </c>
    </row>
    <row r="421" spans="1:29" s="164" customFormat="1" x14ac:dyDescent="0.2">
      <c r="A421" s="224" t="s">
        <v>129</v>
      </c>
      <c r="B421" s="81">
        <v>72263</v>
      </c>
      <c r="C421" s="164" t="s">
        <v>1029</v>
      </c>
      <c r="D421" s="140" t="s">
        <v>928</v>
      </c>
      <c r="E421" s="70" t="str">
        <f t="shared" si="180"/>
        <v>Track_10_Track_2</v>
      </c>
      <c r="G421" s="166">
        <v>6000.2</v>
      </c>
      <c r="H421" s="159">
        <f t="shared" si="173"/>
        <v>6000.2</v>
      </c>
      <c r="I421" s="232">
        <f>IF("generated"=1, "Path=Track_10_Track_2, Scaled Offset=6000.1999999999998181010596454143524", 6000.19999999999)</f>
        <v>6000.1999999999898</v>
      </c>
      <c r="K421" s="167"/>
      <c r="L421" s="164">
        <v>1</v>
      </c>
      <c r="M421" s="168"/>
      <c r="N421" s="168"/>
      <c r="O421" s="168"/>
      <c r="P421" s="168"/>
      <c r="Q421" s="168"/>
      <c r="R421" s="165" t="s">
        <v>1041</v>
      </c>
      <c r="S421" s="140" t="s">
        <v>926</v>
      </c>
      <c r="T421" s="143">
        <f>T420</f>
        <v>72144</v>
      </c>
      <c r="U421" s="140" t="s">
        <v>61</v>
      </c>
      <c r="V421" s="143" t="str">
        <f>V420</f>
        <v>RAU</v>
      </c>
      <c r="W421" s="140" t="s">
        <v>927</v>
      </c>
      <c r="X421" s="164">
        <v>2</v>
      </c>
    </row>
    <row r="422" spans="1:29" s="164" customFormat="1" x14ac:dyDescent="0.2">
      <c r="A422" s="224" t="s">
        <v>129</v>
      </c>
      <c r="B422" s="81">
        <v>72264</v>
      </c>
      <c r="C422" s="164" t="s">
        <v>1030</v>
      </c>
      <c r="D422" s="140" t="s">
        <v>928</v>
      </c>
      <c r="E422" s="70" t="str">
        <f t="shared" si="180"/>
        <v>Track_10_Track_2</v>
      </c>
      <c r="G422" s="166">
        <f>G421-22.2</f>
        <v>5978</v>
      </c>
      <c r="H422" s="159">
        <f t="shared" si="173"/>
        <v>5978</v>
      </c>
      <c r="I422" s="232">
        <f>IF("generated"=1, "Path=Track_10_Track_2, Scaled Offset=5978", 5978)</f>
        <v>5978</v>
      </c>
      <c r="K422" s="167"/>
      <c r="L422" s="164">
        <v>1</v>
      </c>
      <c r="M422" s="168"/>
      <c r="N422" s="168"/>
      <c r="O422" s="168"/>
      <c r="P422" s="168"/>
      <c r="Q422" s="168"/>
      <c r="R422" s="165" t="s">
        <v>1041</v>
      </c>
      <c r="S422" s="140" t="s">
        <v>926</v>
      </c>
      <c r="T422" s="143">
        <f>T421</f>
        <v>72144</v>
      </c>
      <c r="U422" s="140" t="s">
        <v>61</v>
      </c>
      <c r="V422" s="143" t="str">
        <f>V421</f>
        <v>RAU</v>
      </c>
      <c r="W422" s="140" t="s">
        <v>927</v>
      </c>
      <c r="X422" s="164">
        <v>2</v>
      </c>
    </row>
    <row r="423" spans="1:29" s="61" customFormat="1" x14ac:dyDescent="0.2">
      <c r="A423" s="224" t="s">
        <v>930</v>
      </c>
      <c r="B423" s="81">
        <v>72143</v>
      </c>
      <c r="C423" s="61" t="str">
        <f>LEFT(C412,LEN(C412)-2)</f>
        <v>Rashtriya udyan</v>
      </c>
      <c r="E423" s="61" t="s">
        <v>126</v>
      </c>
      <c r="G423" s="153"/>
      <c r="H423" s="160">
        <v>5973</v>
      </c>
      <c r="I423" s="232">
        <f>IF("generated"=1, "Path=Track_10_Track_2, Scaled Offset=5973", 5973)</f>
        <v>5973</v>
      </c>
      <c r="J423" s="89"/>
      <c r="M423" s="88"/>
      <c r="N423" s="88"/>
      <c r="O423" s="88"/>
      <c r="P423" s="88"/>
      <c r="Q423" s="88"/>
      <c r="S423" s="61" t="s">
        <v>41</v>
      </c>
      <c r="T423" s="87">
        <v>40</v>
      </c>
      <c r="V423" s="87"/>
    </row>
    <row r="424" spans="1:29" s="61" customFormat="1" x14ac:dyDescent="0.2">
      <c r="A424" s="224" t="s">
        <v>930</v>
      </c>
      <c r="B424" s="81">
        <v>72143</v>
      </c>
      <c r="C424" s="61" t="str">
        <f>C423</f>
        <v>Rashtriya udyan</v>
      </c>
      <c r="E424" s="61" t="s">
        <v>126</v>
      </c>
      <c r="G424" s="153"/>
      <c r="H424" s="160">
        <v>6162</v>
      </c>
      <c r="I424" s="232">
        <f>IF("generated"=1, "Path=Track_10_Track_2, Scaled Offset=6162", 6162)</f>
        <v>6162</v>
      </c>
      <c r="J424" s="89"/>
      <c r="M424" s="88"/>
      <c r="N424" s="88"/>
      <c r="O424" s="88"/>
      <c r="P424" s="88"/>
      <c r="Q424" s="88"/>
      <c r="S424" s="61" t="s">
        <v>41</v>
      </c>
      <c r="T424" s="87">
        <v>40</v>
      </c>
      <c r="V424" s="87"/>
    </row>
    <row r="426" spans="1:29" s="62" customFormat="1" x14ac:dyDescent="0.2">
      <c r="A426" s="224" t="s">
        <v>129</v>
      </c>
      <c r="B426" s="154">
        <v>72143</v>
      </c>
      <c r="C426" s="61" t="s">
        <v>359</v>
      </c>
      <c r="D426" s="62" t="s">
        <v>69</v>
      </c>
      <c r="E426" s="94"/>
      <c r="G426" s="149"/>
      <c r="H426" s="158"/>
      <c r="I426" s="162"/>
      <c r="M426" s="63"/>
      <c r="N426" s="63"/>
      <c r="O426" s="63"/>
      <c r="P426" s="63"/>
      <c r="Q426" s="63"/>
      <c r="T426" s="64"/>
      <c r="V426" s="64"/>
    </row>
    <row r="427" spans="1:29" s="60" customFormat="1" x14ac:dyDescent="0.2">
      <c r="A427" s="224"/>
      <c r="B427" s="81"/>
      <c r="C427" s="60" t="s">
        <v>362</v>
      </c>
      <c r="D427" s="60" t="s">
        <v>51</v>
      </c>
      <c r="E427" s="94" t="s">
        <v>187</v>
      </c>
      <c r="G427" s="150">
        <v>13668.847</v>
      </c>
      <c r="H427" s="159">
        <f>G427+F427</f>
        <v>13668.847</v>
      </c>
      <c r="I427" s="90"/>
      <c r="J427" s="65"/>
      <c r="K427" s="60" t="s">
        <v>64</v>
      </c>
      <c r="M427" s="66">
        <v>2.5</v>
      </c>
      <c r="N427" s="66">
        <v>0</v>
      </c>
      <c r="O427" s="66"/>
      <c r="P427" s="66"/>
      <c r="Q427" s="66"/>
      <c r="R427" s="60" t="str">
        <f>$E$3</f>
        <v>Red</v>
      </c>
      <c r="S427" s="60" t="s">
        <v>68</v>
      </c>
      <c r="T427" s="67" t="str">
        <f>C427</f>
        <v>Rashtriya udyan_S2</v>
      </c>
      <c r="U427" s="60" t="s">
        <v>50</v>
      </c>
      <c r="V427" s="67">
        <v>0</v>
      </c>
      <c r="W427" s="60" t="s">
        <v>67</v>
      </c>
      <c r="X427" s="60">
        <v>1</v>
      </c>
      <c r="Y427" s="60" t="s">
        <v>66</v>
      </c>
      <c r="Z427" s="60">
        <v>1</v>
      </c>
      <c r="AA427" s="60" t="s">
        <v>359</v>
      </c>
      <c r="AB427" s="74" t="s">
        <v>364</v>
      </c>
      <c r="AC427" s="60">
        <v>1</v>
      </c>
    </row>
    <row r="428" spans="1:29" s="60" customFormat="1" x14ac:dyDescent="0.2">
      <c r="A428" s="224"/>
      <c r="B428" s="81"/>
      <c r="C428" s="60" t="str">
        <f>AA428&amp;"_"&amp;AC428</f>
        <v>Rashtriya udyan_1</v>
      </c>
      <c r="D428" s="60" t="s">
        <v>51</v>
      </c>
      <c r="E428" s="60" t="str">
        <f>E427</f>
        <v>MMRBEM_7_UP</v>
      </c>
      <c r="G428" s="151">
        <f>AVERAGE(H427,H429)</f>
        <v>13761.347</v>
      </c>
      <c r="H428" s="159">
        <f>F428+G428</f>
        <v>13761.347</v>
      </c>
      <c r="I428" s="90"/>
      <c r="J428" s="65"/>
      <c r="K428" s="60" t="s">
        <v>64</v>
      </c>
      <c r="M428" s="66">
        <v>2.5</v>
      </c>
      <c r="N428" s="66">
        <v>0</v>
      </c>
      <c r="O428" s="66"/>
      <c r="P428" s="66"/>
      <c r="Q428" s="66"/>
      <c r="R428" s="60" t="str">
        <f>$E$4</f>
        <v>Green</v>
      </c>
      <c r="S428" s="60" t="s">
        <v>68</v>
      </c>
      <c r="T428" s="67" t="str">
        <f>C428</f>
        <v>Rashtriya udyan_1</v>
      </c>
      <c r="U428" s="60" t="s">
        <v>50</v>
      </c>
      <c r="V428" s="67">
        <v>0</v>
      </c>
      <c r="W428" s="60" t="s">
        <v>67</v>
      </c>
      <c r="X428" s="60">
        <v>1</v>
      </c>
      <c r="Y428" s="60" t="s">
        <v>66</v>
      </c>
      <c r="Z428" s="60">
        <v>1</v>
      </c>
      <c r="AA428" s="60" t="str">
        <f>AA427</f>
        <v>Rashtriya udyan</v>
      </c>
      <c r="AB428" s="60" t="str">
        <f>AB427</f>
        <v>RAU</v>
      </c>
      <c r="AC428" s="60">
        <f>AC427</f>
        <v>1</v>
      </c>
    </row>
    <row r="429" spans="1:29" s="60" customFormat="1" x14ac:dyDescent="0.2">
      <c r="A429" s="224"/>
      <c r="B429" s="81"/>
      <c r="C429" s="60" t="s">
        <v>363</v>
      </c>
      <c r="D429" s="60" t="s">
        <v>51</v>
      </c>
      <c r="E429" s="94" t="s">
        <v>187</v>
      </c>
      <c r="G429" s="150">
        <v>13853.847</v>
      </c>
      <c r="H429" s="159">
        <f>G429+F429</f>
        <v>13853.847</v>
      </c>
      <c r="I429" s="90"/>
      <c r="J429" s="65"/>
      <c r="K429" s="60" t="s">
        <v>64</v>
      </c>
      <c r="M429" s="66">
        <v>2.5</v>
      </c>
      <c r="N429" s="66">
        <v>0</v>
      </c>
      <c r="O429" s="66"/>
      <c r="P429" s="66"/>
      <c r="Q429" s="66"/>
      <c r="R429" s="60" t="str">
        <f>$E$3</f>
        <v>Red</v>
      </c>
      <c r="S429" s="60" t="s">
        <v>68</v>
      </c>
      <c r="T429" s="67" t="str">
        <f>C429</f>
        <v>Rashtriya udyan_E2</v>
      </c>
      <c r="U429" s="60" t="s">
        <v>50</v>
      </c>
      <c r="V429" s="67">
        <v>0</v>
      </c>
      <c r="W429" s="60" t="s">
        <v>67</v>
      </c>
      <c r="X429" s="60">
        <v>1</v>
      </c>
      <c r="Y429" s="60" t="s">
        <v>66</v>
      </c>
      <c r="Z429" s="60">
        <v>1</v>
      </c>
      <c r="AA429" s="60" t="s">
        <v>359</v>
      </c>
      <c r="AB429" s="74" t="s">
        <v>364</v>
      </c>
      <c r="AC429" s="60">
        <v>1</v>
      </c>
    </row>
    <row r="430" spans="1:29" s="70" customFormat="1" x14ac:dyDescent="0.2">
      <c r="A430" s="224" t="s">
        <v>129</v>
      </c>
      <c r="B430" s="154">
        <v>72150</v>
      </c>
      <c r="C430" s="68" t="str">
        <f>C428</f>
        <v>Rashtriya udyan_1</v>
      </c>
      <c r="D430" s="69" t="s">
        <v>65</v>
      </c>
      <c r="E430" s="70" t="str">
        <f>E428</f>
        <v>MMRBEM_7_UP</v>
      </c>
      <c r="F430" s="70">
        <f>F428</f>
        <v>0</v>
      </c>
      <c r="G430" s="152">
        <f>H428</f>
        <v>13761.347</v>
      </c>
      <c r="H430" s="159">
        <f t="shared" ref="H430:H440" si="181">F430+G430</f>
        <v>13761.347</v>
      </c>
      <c r="I430" s="232">
        <f>IF("generated"=1, "Path=MMRBEM_7_UP, Scaled Offset=13761.346999999999752617441117763519", 14059.2434332262)</f>
        <v>14059.2434332262</v>
      </c>
      <c r="K430" s="69" t="s">
        <v>64</v>
      </c>
      <c r="M430" s="71">
        <f>2*M428</f>
        <v>5</v>
      </c>
      <c r="N430" s="71">
        <v>0</v>
      </c>
      <c r="O430" s="71"/>
      <c r="P430" s="71">
        <v>0</v>
      </c>
      <c r="Q430" s="71">
        <v>0</v>
      </c>
      <c r="S430" s="69" t="s">
        <v>63</v>
      </c>
      <c r="T430" s="72">
        <f>ABS(H429-H427)</f>
        <v>185</v>
      </c>
      <c r="U430" s="69" t="s">
        <v>62</v>
      </c>
      <c r="V430" s="73" t="str">
        <f>C430</f>
        <v>Rashtriya udyan_1</v>
      </c>
      <c r="W430" s="68" t="s">
        <v>61</v>
      </c>
      <c r="X430" s="74" t="s">
        <v>364</v>
      </c>
      <c r="Y430" s="74" t="s">
        <v>60</v>
      </c>
      <c r="Z430" s="70" t="str">
        <f>LEFT(V430, LEN(V430)-2)</f>
        <v>Rashtriya udyan</v>
      </c>
    </row>
    <row r="431" spans="1:29" s="70" customFormat="1" x14ac:dyDescent="0.2">
      <c r="A431" s="224" t="s">
        <v>129</v>
      </c>
      <c r="B431" s="154">
        <v>72151</v>
      </c>
      <c r="C431" s="70" t="str">
        <f>CONCATENATE("Platform Passenger - ",C430)</f>
        <v>Platform Passenger - Rashtriya udyan_1</v>
      </c>
      <c r="D431" s="75" t="s">
        <v>59</v>
      </c>
      <c r="E431" s="70" t="str">
        <f t="shared" ref="E431:E436" si="182">E430</f>
        <v>MMRBEM_7_UP</v>
      </c>
      <c r="F431" s="70">
        <v>0</v>
      </c>
      <c r="G431" s="152">
        <f t="shared" ref="G431:G436" si="183">G430</f>
        <v>13761.347</v>
      </c>
      <c r="H431" s="159">
        <f t="shared" si="181"/>
        <v>13761.347</v>
      </c>
      <c r="I431" s="232">
        <f>IF("generated"=1, "Path=MMRBEM_7_UP, Scaled Offset=13761.346999999999752617441117763519", 14059.2434332262)</f>
        <v>14059.2434332262</v>
      </c>
      <c r="K431" s="76" t="str">
        <f t="shared" ref="K431:K436" si="184">K430</f>
        <v>BOTH</v>
      </c>
      <c r="M431" s="77">
        <f>M430/2</f>
        <v>2.5</v>
      </c>
      <c r="N431" s="77">
        <f>N430</f>
        <v>0</v>
      </c>
      <c r="O431" s="77"/>
      <c r="P431" s="77">
        <v>90</v>
      </c>
      <c r="Q431" s="77">
        <f>Q430</f>
        <v>0</v>
      </c>
      <c r="R431" s="75" t="s">
        <v>1091</v>
      </c>
      <c r="S431" s="70" t="s">
        <v>58</v>
      </c>
      <c r="T431" s="78" t="str">
        <f>CONCATENATE(X430,"_PAS"&amp;AC429)</f>
        <v>RAU_PAS1</v>
      </c>
      <c r="V431" s="79"/>
    </row>
    <row r="432" spans="1:29" s="70" customFormat="1" x14ac:dyDescent="0.2">
      <c r="A432" s="224" t="s">
        <v>129</v>
      </c>
      <c r="B432" s="154">
        <v>72152</v>
      </c>
      <c r="C432" s="70" t="str">
        <f>CONCATENATE("Passenger Alighting - ",C430)</f>
        <v>Passenger Alighting - Rashtriya udyan_1</v>
      </c>
      <c r="D432" s="75" t="s">
        <v>57</v>
      </c>
      <c r="E432" s="70" t="str">
        <f t="shared" si="182"/>
        <v>MMRBEM_7_UP</v>
      </c>
      <c r="F432" s="70">
        <v>0</v>
      </c>
      <c r="G432" s="152">
        <f t="shared" si="183"/>
        <v>13761.347</v>
      </c>
      <c r="H432" s="159">
        <f t="shared" si="181"/>
        <v>13761.347</v>
      </c>
      <c r="I432" s="232">
        <f>IF("generated"=1, "Path=MMRBEM_7_UP, Scaled Offset=13761.346999999999752617441117763519", 14059.2434332262)</f>
        <v>14059.2434332262</v>
      </c>
      <c r="K432" s="76" t="str">
        <f t="shared" si="184"/>
        <v>BOTH</v>
      </c>
      <c r="M432" s="77">
        <f>M431</f>
        <v>2.5</v>
      </c>
      <c r="N432" s="77">
        <f>N431</f>
        <v>0</v>
      </c>
      <c r="O432" s="77"/>
      <c r="P432" s="77">
        <v>90</v>
      </c>
      <c r="Q432" s="77">
        <f>Q431</f>
        <v>0</v>
      </c>
      <c r="R432" s="75" t="s">
        <v>1091</v>
      </c>
      <c r="S432" s="70" t="s">
        <v>56</v>
      </c>
      <c r="T432" s="78">
        <f>B431</f>
        <v>72151</v>
      </c>
      <c r="V432" s="79"/>
    </row>
    <row r="433" spans="1:29" s="70" customFormat="1" x14ac:dyDescent="0.2">
      <c r="A433" s="224" t="s">
        <v>129</v>
      </c>
      <c r="B433" s="154">
        <v>72153</v>
      </c>
      <c r="C433" s="70" t="str">
        <f>CONCATENATE("Passenger Arriving - ",C428)</f>
        <v>Passenger Arriving - Rashtriya udyan_1</v>
      </c>
      <c r="D433" s="75" t="s">
        <v>55</v>
      </c>
      <c r="E433" s="70" t="str">
        <f t="shared" si="182"/>
        <v>MMRBEM_7_UP</v>
      </c>
      <c r="F433" s="70">
        <v>0</v>
      </c>
      <c r="G433" s="152">
        <f t="shared" si="183"/>
        <v>13761.347</v>
      </c>
      <c r="H433" s="159">
        <f t="shared" si="181"/>
        <v>13761.347</v>
      </c>
      <c r="I433" s="232">
        <f>IF("generated"=1, "Path=MMRBEM_7_UP, Scaled Offset=13761.346999999999752617441117763519", 14059.2434332262)</f>
        <v>14059.2434332262</v>
      </c>
      <c r="K433" s="76" t="str">
        <f t="shared" si="184"/>
        <v>BOTH</v>
      </c>
      <c r="M433" s="77">
        <f>M432</f>
        <v>2.5</v>
      </c>
      <c r="N433" s="77">
        <f>N432</f>
        <v>0</v>
      </c>
      <c r="O433" s="77"/>
      <c r="P433" s="77">
        <v>90</v>
      </c>
      <c r="Q433" s="77">
        <f>Q432</f>
        <v>0</v>
      </c>
      <c r="R433" s="75" t="s">
        <v>52</v>
      </c>
      <c r="S433" s="70" t="str">
        <f t="shared" ref="S433:T433" si="185">S432</f>
        <v>Parent ID</v>
      </c>
      <c r="T433" s="78">
        <f t="shared" si="185"/>
        <v>72151</v>
      </c>
      <c r="V433" s="79"/>
    </row>
    <row r="434" spans="1:29" s="70" customFormat="1" x14ac:dyDescent="0.2">
      <c r="A434" s="224" t="s">
        <v>129</v>
      </c>
      <c r="B434" s="154">
        <v>72154</v>
      </c>
      <c r="C434" s="70" t="str">
        <f>CONCATENATE("Passenger Intoxicated - ",C430)</f>
        <v>Passenger Intoxicated - Rashtriya udyan_1</v>
      </c>
      <c r="D434" s="75" t="s">
        <v>54</v>
      </c>
      <c r="E434" s="70" t="str">
        <f t="shared" si="182"/>
        <v>MMRBEM_7_UP</v>
      </c>
      <c r="F434" s="70">
        <v>0</v>
      </c>
      <c r="G434" s="152">
        <f t="shared" si="183"/>
        <v>13761.347</v>
      </c>
      <c r="H434" s="159">
        <f t="shared" si="181"/>
        <v>13761.347</v>
      </c>
      <c r="I434" s="232">
        <f>IF("generated"=1, "Path=MMRBEM_7_UP, Scaled Offset=13761.346999999999752617441117763519", 14059.2434332262)</f>
        <v>14059.2434332262</v>
      </c>
      <c r="K434" s="76" t="str">
        <f t="shared" si="184"/>
        <v>BOTH</v>
      </c>
      <c r="M434" s="77">
        <f>M433</f>
        <v>2.5</v>
      </c>
      <c r="N434" s="77">
        <f>N433</f>
        <v>0</v>
      </c>
      <c r="O434" s="77"/>
      <c r="P434" s="77">
        <v>90</v>
      </c>
      <c r="Q434" s="77">
        <f>Q433</f>
        <v>0</v>
      </c>
      <c r="R434" s="75" t="s">
        <v>52</v>
      </c>
      <c r="S434" s="70" t="str">
        <f t="shared" ref="S434:T434" si="186">S433</f>
        <v>Parent ID</v>
      </c>
      <c r="T434" s="78">
        <f t="shared" si="186"/>
        <v>72151</v>
      </c>
      <c r="V434" s="79"/>
    </row>
    <row r="435" spans="1:29" s="70" customFormat="1" x14ac:dyDescent="0.2">
      <c r="A435" s="224" t="s">
        <v>129</v>
      </c>
      <c r="B435" s="154">
        <v>72155</v>
      </c>
      <c r="C435" s="70" t="str">
        <f>CONCATENATE("Passenger Pram - ",C430)</f>
        <v>Passenger Pram - Rashtriya udyan_1</v>
      </c>
      <c r="D435" s="75" t="s">
        <v>53</v>
      </c>
      <c r="E435" s="70" t="str">
        <f t="shared" si="182"/>
        <v>MMRBEM_7_UP</v>
      </c>
      <c r="F435" s="70">
        <v>0</v>
      </c>
      <c r="G435" s="152">
        <f t="shared" si="183"/>
        <v>13761.347</v>
      </c>
      <c r="H435" s="159">
        <f t="shared" si="181"/>
        <v>13761.347</v>
      </c>
      <c r="I435" s="232">
        <f>IF("generated"=1, "Path=MMRBEM_7_UP, Scaled Offset=13761.346999999999752617441117763519", 14059.2434332262)</f>
        <v>14059.2434332262</v>
      </c>
      <c r="K435" s="76" t="str">
        <f t="shared" si="184"/>
        <v>BOTH</v>
      </c>
      <c r="M435" s="77">
        <f>M434</f>
        <v>2.5</v>
      </c>
      <c r="N435" s="77">
        <f>N434</f>
        <v>0</v>
      </c>
      <c r="O435" s="77"/>
      <c r="P435" s="77">
        <v>90</v>
      </c>
      <c r="Q435" s="77">
        <f>Q434</f>
        <v>0</v>
      </c>
      <c r="R435" s="75" t="s">
        <v>52</v>
      </c>
      <c r="S435" s="70" t="str">
        <f t="shared" ref="S435:T435" si="187">S434</f>
        <v>Parent ID</v>
      </c>
      <c r="T435" s="78">
        <f t="shared" si="187"/>
        <v>72151</v>
      </c>
      <c r="V435" s="79"/>
    </row>
    <row r="436" spans="1:29" s="164" customFormat="1" x14ac:dyDescent="0.2">
      <c r="A436" s="224" t="s">
        <v>129</v>
      </c>
      <c r="B436" s="81">
        <v>72292</v>
      </c>
      <c r="C436" s="70" t="str">
        <f>CONCATENATE("PSD - ",C430)</f>
        <v>PSD - Rashtriya udyan_1</v>
      </c>
      <c r="D436" s="165" t="s">
        <v>1042</v>
      </c>
      <c r="E436" s="70" t="str">
        <f t="shared" si="182"/>
        <v>MMRBEM_7_UP</v>
      </c>
      <c r="F436" s="70">
        <v>0</v>
      </c>
      <c r="G436" s="152">
        <f t="shared" si="183"/>
        <v>13761.347</v>
      </c>
      <c r="H436" s="159">
        <f t="shared" si="181"/>
        <v>13761.347</v>
      </c>
      <c r="I436" s="232">
        <f>IF("generated"=1, "Path=MMRBEM_7_UP, Scaled Offset=13761.346999999999752617441117763519", 14059.2434332262)</f>
        <v>14059.2434332262</v>
      </c>
      <c r="K436" s="76" t="str">
        <f t="shared" si="184"/>
        <v>BOTH</v>
      </c>
      <c r="M436" s="168">
        <f>M435-0.5</f>
        <v>2</v>
      </c>
      <c r="N436" s="168"/>
      <c r="O436" s="168"/>
      <c r="P436" s="168"/>
      <c r="Q436" s="168"/>
      <c r="R436" s="165"/>
      <c r="S436" s="165" t="s">
        <v>1043</v>
      </c>
      <c r="T436" s="165" t="str">
        <f>_xlfn.CONCAT("PSD_",T431)</f>
        <v>PSD_RAU_PAS1</v>
      </c>
      <c r="U436" s="165" t="s">
        <v>926</v>
      </c>
      <c r="V436" s="165">
        <f>B430</f>
        <v>72150</v>
      </c>
      <c r="W436" s="165"/>
      <c r="X436" s="165"/>
    </row>
    <row r="437" spans="1:29" s="164" customFormat="1" x14ac:dyDescent="0.2">
      <c r="A437" s="224" t="s">
        <v>129</v>
      </c>
      <c r="B437" s="154">
        <v>72265</v>
      </c>
      <c r="C437" s="164" t="s">
        <v>1031</v>
      </c>
      <c r="D437" s="140" t="s">
        <v>928</v>
      </c>
      <c r="E437" s="70" t="s">
        <v>92</v>
      </c>
      <c r="G437" s="166">
        <f>G438+22.2</f>
        <v>6158.67</v>
      </c>
      <c r="H437" s="159">
        <f t="shared" si="181"/>
        <v>6158.67</v>
      </c>
      <c r="I437" s="232">
        <f>IF("generated"=1, "Path=Track_20_Track_2, Scaled Offset=6158.670000000000072759576141834259", 6158.67)</f>
        <v>6158.67</v>
      </c>
      <c r="K437" s="167"/>
      <c r="M437" s="168"/>
      <c r="N437" s="168"/>
      <c r="O437" s="168"/>
      <c r="P437" s="168"/>
      <c r="Q437" s="168"/>
      <c r="R437" s="165" t="s">
        <v>1041</v>
      </c>
      <c r="S437" s="140" t="s">
        <v>926</v>
      </c>
      <c r="T437" s="143">
        <f>B430</f>
        <v>72150</v>
      </c>
      <c r="U437" s="140" t="s">
        <v>61</v>
      </c>
      <c r="V437" s="143" t="str">
        <f>X430</f>
        <v>RAU</v>
      </c>
      <c r="W437" s="140" t="s">
        <v>927</v>
      </c>
      <c r="X437" s="164">
        <v>2</v>
      </c>
    </row>
    <row r="438" spans="1:29" s="164" customFormat="1" x14ac:dyDescent="0.2">
      <c r="A438" s="224" t="s">
        <v>129</v>
      </c>
      <c r="B438" s="154">
        <v>72266</v>
      </c>
      <c r="C438" s="164" t="s">
        <v>1032</v>
      </c>
      <c r="D438" s="140" t="s">
        <v>928</v>
      </c>
      <c r="E438" s="70" t="str">
        <f t="shared" ref="E438:E440" si="188">E437</f>
        <v>Track_20_Track_2</v>
      </c>
      <c r="G438" s="166">
        <v>6136.47</v>
      </c>
      <c r="H438" s="159">
        <f t="shared" si="181"/>
        <v>6136.47</v>
      </c>
      <c r="I438" s="232">
        <f>IF("generated"=1, "Path=Track_20_Track_2, Scaled Offset=6136.4700000000002546585164964199066", 6136.47)</f>
        <v>6136.47</v>
      </c>
      <c r="K438" s="167"/>
      <c r="M438" s="168"/>
      <c r="N438" s="168"/>
      <c r="O438" s="168"/>
      <c r="P438" s="168"/>
      <c r="Q438" s="168"/>
      <c r="R438" s="165" t="s">
        <v>1041</v>
      </c>
      <c r="S438" s="140" t="s">
        <v>926</v>
      </c>
      <c r="T438" s="143">
        <f>T437</f>
        <v>72150</v>
      </c>
      <c r="U438" s="140" t="s">
        <v>61</v>
      </c>
      <c r="V438" s="143" t="str">
        <f>V437</f>
        <v>RAU</v>
      </c>
      <c r="W438" s="140" t="s">
        <v>927</v>
      </c>
      <c r="X438" s="164">
        <v>2</v>
      </c>
    </row>
    <row r="439" spans="1:29" s="164" customFormat="1" x14ac:dyDescent="0.2">
      <c r="A439" s="224" t="s">
        <v>129</v>
      </c>
      <c r="B439" s="154">
        <v>72267</v>
      </c>
      <c r="C439" s="164" t="s">
        <v>1033</v>
      </c>
      <c r="D439" s="140" t="s">
        <v>928</v>
      </c>
      <c r="E439" s="70" t="str">
        <f t="shared" si="188"/>
        <v>Track_20_Track_2</v>
      </c>
      <c r="G439" s="166">
        <v>6000.38</v>
      </c>
      <c r="H439" s="159">
        <f t="shared" si="181"/>
        <v>6000.38</v>
      </c>
      <c r="I439" s="232">
        <f>IF("generated"=1, "Path=Track_20_Track_2, Scaled Offset=6000.3800000000001091393642127513885", 6000.38)</f>
        <v>6000.38</v>
      </c>
      <c r="K439" s="167"/>
      <c r="L439" s="164">
        <v>1</v>
      </c>
      <c r="M439" s="168"/>
      <c r="N439" s="168"/>
      <c r="O439" s="168"/>
      <c r="P439" s="168"/>
      <c r="Q439" s="168"/>
      <c r="R439" s="165" t="s">
        <v>1041</v>
      </c>
      <c r="S439" s="140" t="s">
        <v>926</v>
      </c>
      <c r="T439" s="143">
        <f>T438</f>
        <v>72150</v>
      </c>
      <c r="U439" s="140" t="s">
        <v>61</v>
      </c>
      <c r="V439" s="143" t="str">
        <f>V438</f>
        <v>RAU</v>
      </c>
      <c r="W439" s="140" t="s">
        <v>927</v>
      </c>
      <c r="X439" s="164">
        <v>1</v>
      </c>
    </row>
    <row r="440" spans="1:29" s="164" customFormat="1" x14ac:dyDescent="0.2">
      <c r="A440" s="224" t="s">
        <v>129</v>
      </c>
      <c r="B440" s="154">
        <v>72268</v>
      </c>
      <c r="C440" s="164" t="s">
        <v>1034</v>
      </c>
      <c r="D440" s="140" t="s">
        <v>928</v>
      </c>
      <c r="E440" s="70" t="str">
        <f t="shared" si="188"/>
        <v>Track_20_Track_2</v>
      </c>
      <c r="G440" s="166">
        <f>G439-22.2</f>
        <v>5978.18</v>
      </c>
      <c r="H440" s="159">
        <f t="shared" si="181"/>
        <v>5978.18</v>
      </c>
      <c r="I440" s="232">
        <f>IF("generated"=1, "Path=Track_20_Track_2, Scaled Offset=5978.1800000000002910383045673370361", 5978.18)</f>
        <v>5978.18</v>
      </c>
      <c r="K440" s="167"/>
      <c r="L440" s="164">
        <v>1</v>
      </c>
      <c r="M440" s="168"/>
      <c r="N440" s="168"/>
      <c r="O440" s="168"/>
      <c r="P440" s="168"/>
      <c r="Q440" s="168"/>
      <c r="R440" s="165" t="s">
        <v>1041</v>
      </c>
      <c r="S440" s="140" t="s">
        <v>926</v>
      </c>
      <c r="T440" s="143">
        <f>T439</f>
        <v>72150</v>
      </c>
      <c r="U440" s="140" t="s">
        <v>61</v>
      </c>
      <c r="V440" s="143" t="str">
        <f>V439</f>
        <v>RAU</v>
      </c>
      <c r="W440" s="140" t="s">
        <v>927</v>
      </c>
      <c r="X440" s="164">
        <v>1</v>
      </c>
    </row>
    <row r="441" spans="1:29" s="61" customFormat="1" x14ac:dyDescent="0.2">
      <c r="A441" s="224" t="s">
        <v>930</v>
      </c>
      <c r="B441" s="154">
        <v>72143</v>
      </c>
      <c r="C441" s="61" t="str">
        <f>LEFT(C430,LEN(C430)-2)</f>
        <v>Rashtriya udyan</v>
      </c>
      <c r="E441" s="61" t="s">
        <v>92</v>
      </c>
      <c r="G441" s="153"/>
      <c r="H441" s="160">
        <v>5974</v>
      </c>
      <c r="I441" s="232">
        <f>IF("generated"=1, "Path=Track_20_Track_2, Scaled Offset=5974", 5974)</f>
        <v>5974</v>
      </c>
      <c r="J441" s="89"/>
      <c r="M441" s="88"/>
      <c r="N441" s="88"/>
      <c r="O441" s="88"/>
      <c r="P441" s="88"/>
      <c r="Q441" s="88"/>
      <c r="S441" s="61" t="s">
        <v>41</v>
      </c>
      <c r="T441" s="87">
        <v>40</v>
      </c>
      <c r="V441" s="87"/>
    </row>
    <row r="442" spans="1:29" s="61" customFormat="1" x14ac:dyDescent="0.2">
      <c r="A442" s="224" t="s">
        <v>930</v>
      </c>
      <c r="B442" s="154">
        <v>72143</v>
      </c>
      <c r="C442" s="61" t="str">
        <f>C441</f>
        <v>Rashtriya udyan</v>
      </c>
      <c r="E442" s="61" t="s">
        <v>92</v>
      </c>
      <c r="G442" s="153"/>
      <c r="H442" s="160">
        <v>6162</v>
      </c>
      <c r="I442" s="232">
        <f>IF("generated"=1, "Path=Track_20_Track_2, Scaled Offset=6162", 6162)</f>
        <v>6162</v>
      </c>
      <c r="J442" s="89"/>
      <c r="M442" s="88"/>
      <c r="N442" s="88"/>
      <c r="O442" s="88"/>
      <c r="P442" s="88"/>
      <c r="Q442" s="88"/>
      <c r="S442" s="61" t="s">
        <v>41</v>
      </c>
      <c r="T442" s="87">
        <v>40</v>
      </c>
      <c r="V442" s="87"/>
    </row>
    <row r="444" spans="1:29" s="62" customFormat="1" x14ac:dyDescent="0.2">
      <c r="A444" s="224" t="s">
        <v>129</v>
      </c>
      <c r="B444" s="154">
        <v>72156</v>
      </c>
      <c r="C444" s="61" t="s">
        <v>365</v>
      </c>
      <c r="D444" s="62" t="s">
        <v>69</v>
      </c>
      <c r="G444" s="149"/>
      <c r="H444" s="158"/>
      <c r="I444" s="162"/>
      <c r="M444" s="63"/>
      <c r="N444" s="63"/>
      <c r="O444" s="63"/>
      <c r="P444" s="63"/>
      <c r="Q444" s="63"/>
      <c r="T444" s="64"/>
      <c r="V444" s="64"/>
    </row>
    <row r="445" spans="1:29" s="60" customFormat="1" x14ac:dyDescent="0.2">
      <c r="A445" s="224"/>
      <c r="B445" s="81"/>
      <c r="C445" s="60" t="s">
        <v>366</v>
      </c>
      <c r="D445" s="60" t="s">
        <v>51</v>
      </c>
      <c r="E445" t="s">
        <v>188</v>
      </c>
      <c r="G445" s="150">
        <v>14628.15</v>
      </c>
      <c r="H445" s="159">
        <f>G445+F445</f>
        <v>14628.15</v>
      </c>
      <c r="I445" s="90">
        <f>IF("generated"=1, "Path=Intermodal_Coronel_Platform_2_2, Scaled Offset=160.40000000000000568434188608080149", 160.4)</f>
        <v>160.4</v>
      </c>
      <c r="J445" s="65"/>
      <c r="K445" s="60" t="s">
        <v>64</v>
      </c>
      <c r="M445" s="66">
        <v>-2.5</v>
      </c>
      <c r="N445" s="66">
        <v>0</v>
      </c>
      <c r="O445" s="66"/>
      <c r="P445" s="66"/>
      <c r="Q445" s="66"/>
      <c r="R445" s="60" t="str">
        <f>$E$3</f>
        <v>Red</v>
      </c>
      <c r="S445" s="60" t="s">
        <v>68</v>
      </c>
      <c r="T445" s="67" t="str">
        <f>C445</f>
        <v>Ovaripada_S1</v>
      </c>
      <c r="U445" s="60" t="s">
        <v>50</v>
      </c>
      <c r="V445" s="67">
        <v>0</v>
      </c>
      <c r="W445" s="60" t="s">
        <v>67</v>
      </c>
      <c r="X445" s="60">
        <v>1</v>
      </c>
      <c r="Y445" s="60" t="s">
        <v>66</v>
      </c>
      <c r="Z445" s="60">
        <v>1</v>
      </c>
      <c r="AA445" s="61" t="s">
        <v>365</v>
      </c>
      <c r="AB445" s="74" t="s">
        <v>370</v>
      </c>
      <c r="AC445" s="60">
        <v>1</v>
      </c>
    </row>
    <row r="446" spans="1:29" s="60" customFormat="1" x14ac:dyDescent="0.2">
      <c r="A446" s="224"/>
      <c r="B446" s="81"/>
      <c r="C446" s="60" t="str">
        <f>AA446&amp;"_"&amp;AC446</f>
        <v>Ovaripada_1</v>
      </c>
      <c r="D446" s="60" t="s">
        <v>51</v>
      </c>
      <c r="E446" t="s">
        <v>188</v>
      </c>
      <c r="G446" s="151">
        <f>AVERAGE(H445,H447)</f>
        <v>14720.65</v>
      </c>
      <c r="H446" s="159">
        <f>F446+G446</f>
        <v>14720.65</v>
      </c>
      <c r="I446" s="90">
        <f>IF("generated"=1, "Path=East_Central_Line1_5, Scaled Offset=69.5", 69.5)</f>
        <v>69.5</v>
      </c>
      <c r="J446" s="65"/>
      <c r="K446" s="60" t="s">
        <v>64</v>
      </c>
      <c r="M446" s="66">
        <f>M445</f>
        <v>-2.5</v>
      </c>
      <c r="N446" s="66">
        <v>0</v>
      </c>
      <c r="O446" s="66"/>
      <c r="P446" s="66"/>
      <c r="Q446" s="66"/>
      <c r="R446" s="60" t="str">
        <f>$E$4</f>
        <v>Green</v>
      </c>
      <c r="S446" s="60" t="s">
        <v>68</v>
      </c>
      <c r="T446" s="67" t="str">
        <f>C446</f>
        <v>Ovaripada_1</v>
      </c>
      <c r="U446" s="60" t="s">
        <v>50</v>
      </c>
      <c r="V446" s="67">
        <v>0</v>
      </c>
      <c r="W446" s="60" t="s">
        <v>67</v>
      </c>
      <c r="X446" s="60">
        <v>1</v>
      </c>
      <c r="Y446" s="60" t="s">
        <v>66</v>
      </c>
      <c r="Z446" s="60">
        <v>1</v>
      </c>
      <c r="AA446" s="60" t="str">
        <f>AA445</f>
        <v>Ovaripada</v>
      </c>
      <c r="AB446" s="60" t="str">
        <f>AB445</f>
        <v>OVA</v>
      </c>
      <c r="AC446" s="60">
        <f>AC445</f>
        <v>1</v>
      </c>
    </row>
    <row r="447" spans="1:29" s="60" customFormat="1" x14ac:dyDescent="0.2">
      <c r="A447" s="224"/>
      <c r="B447" s="81"/>
      <c r="C447" s="60" t="s">
        <v>367</v>
      </c>
      <c r="D447" s="60" t="s">
        <v>51</v>
      </c>
      <c r="E447" t="s">
        <v>188</v>
      </c>
      <c r="G447" s="150">
        <v>14813.15</v>
      </c>
      <c r="H447" s="159">
        <f>G447+F447</f>
        <v>14813.15</v>
      </c>
      <c r="I447" s="90">
        <f>IF("generated"=1, "Path=Intermodal_Coronel_Platform_2_2, Scaled Offset=231", 231)</f>
        <v>231</v>
      </c>
      <c r="J447" s="65"/>
      <c r="K447" s="60" t="s">
        <v>64</v>
      </c>
      <c r="M447" s="66">
        <v>-2.5</v>
      </c>
      <c r="N447" s="66">
        <v>0</v>
      </c>
      <c r="O447" s="66"/>
      <c r="P447" s="66"/>
      <c r="Q447" s="66"/>
      <c r="R447" s="60" t="str">
        <f>$E$3</f>
        <v>Red</v>
      </c>
      <c r="S447" s="60" t="s">
        <v>68</v>
      </c>
      <c r="T447" s="67" t="str">
        <f>C447</f>
        <v>Ovaripada_E1</v>
      </c>
      <c r="U447" s="60" t="s">
        <v>50</v>
      </c>
      <c r="V447" s="67">
        <v>0</v>
      </c>
      <c r="W447" s="60" t="s">
        <v>67</v>
      </c>
      <c r="X447" s="60">
        <v>1</v>
      </c>
      <c r="Y447" s="60" t="s">
        <v>66</v>
      </c>
      <c r="Z447" s="60">
        <v>1</v>
      </c>
      <c r="AA447" s="61" t="s">
        <v>365</v>
      </c>
      <c r="AB447" s="74" t="s">
        <v>370</v>
      </c>
      <c r="AC447" s="60">
        <v>1</v>
      </c>
    </row>
    <row r="448" spans="1:29" s="70" customFormat="1" x14ac:dyDescent="0.2">
      <c r="A448" s="224" t="s">
        <v>129</v>
      </c>
      <c r="B448" s="154">
        <v>72157</v>
      </c>
      <c r="C448" s="68" t="str">
        <f>C446</f>
        <v>Ovaripada_1</v>
      </c>
      <c r="D448" s="69" t="s">
        <v>65</v>
      </c>
      <c r="E448" s="70" t="str">
        <f>E446</f>
        <v>MMRBEM_7_DOWN</v>
      </c>
      <c r="F448" s="70">
        <f>F446</f>
        <v>0</v>
      </c>
      <c r="G448" s="152">
        <f>H446</f>
        <v>14720.65</v>
      </c>
      <c r="H448" s="159">
        <f t="shared" ref="H448:H454" si="189">F448+G448</f>
        <v>14720.65</v>
      </c>
      <c r="I448" s="232">
        <f>IF("generated"=1, "Path=MMRBEM_7_DOWN, Scaled Offset=14720.649999999999636202119290828705", 15000.5813916694)</f>
        <v>15000.581391669401</v>
      </c>
      <c r="K448" s="69" t="s">
        <v>64</v>
      </c>
      <c r="M448" s="71">
        <f>2*M446</f>
        <v>-5</v>
      </c>
      <c r="N448" s="71">
        <v>0</v>
      </c>
      <c r="O448" s="71"/>
      <c r="P448" s="71">
        <v>0</v>
      </c>
      <c r="Q448" s="71">
        <v>0</v>
      </c>
      <c r="S448" s="69" t="s">
        <v>63</v>
      </c>
      <c r="T448" s="72">
        <f>ABS(H447-H445)</f>
        <v>185</v>
      </c>
      <c r="U448" s="69" t="s">
        <v>62</v>
      </c>
      <c r="V448" s="73" t="str">
        <f>C448</f>
        <v>Ovaripada_1</v>
      </c>
      <c r="W448" s="68" t="s">
        <v>61</v>
      </c>
      <c r="X448" s="74" t="s">
        <v>370</v>
      </c>
      <c r="Y448" s="74" t="s">
        <v>60</v>
      </c>
      <c r="Z448" s="70" t="str">
        <f>LEFT(V448, LEN(V448)-2)</f>
        <v>Ovaripada</v>
      </c>
    </row>
    <row r="449" spans="1:29" s="70" customFormat="1" x14ac:dyDescent="0.2">
      <c r="A449" s="224" t="s">
        <v>129</v>
      </c>
      <c r="B449" s="154">
        <v>72158</v>
      </c>
      <c r="C449" s="70" t="str">
        <f>CONCATENATE("Platform Passenger - ",C448)</f>
        <v>Platform Passenger - Ovaripada_1</v>
      </c>
      <c r="D449" s="75" t="s">
        <v>59</v>
      </c>
      <c r="E449" s="70" t="str">
        <f t="shared" ref="E449:E454" si="190">E448</f>
        <v>MMRBEM_7_DOWN</v>
      </c>
      <c r="F449" s="70">
        <v>0</v>
      </c>
      <c r="G449" s="152">
        <f t="shared" ref="G449:G454" si="191">G448</f>
        <v>14720.65</v>
      </c>
      <c r="H449" s="159">
        <f t="shared" si="189"/>
        <v>14720.65</v>
      </c>
      <c r="I449" s="232">
        <f>IF("generated"=1, "Path=MMRBEM_7_DOWN, Scaled Offset=14720.649999999999636202119290828705", 15000.5813916694)</f>
        <v>15000.581391669401</v>
      </c>
      <c r="K449" s="76" t="str">
        <f t="shared" ref="K449:K454" si="192">K448</f>
        <v>BOTH</v>
      </c>
      <c r="M449" s="77">
        <f>M448/2</f>
        <v>-2.5</v>
      </c>
      <c r="N449" s="77">
        <f>N448</f>
        <v>0</v>
      </c>
      <c r="O449" s="77"/>
      <c r="P449" s="77">
        <v>270</v>
      </c>
      <c r="Q449" s="77">
        <f>Q448</f>
        <v>0</v>
      </c>
      <c r="R449" s="75" t="s">
        <v>1091</v>
      </c>
      <c r="S449" s="70" t="s">
        <v>58</v>
      </c>
      <c r="T449" s="78" t="str">
        <f>CONCATENATE(X448,"_PAS"&amp;AC447)</f>
        <v>OVA_PAS1</v>
      </c>
      <c r="V449" s="79"/>
    </row>
    <row r="450" spans="1:29" s="70" customFormat="1" x14ac:dyDescent="0.2">
      <c r="A450" s="224" t="s">
        <v>129</v>
      </c>
      <c r="B450" s="154">
        <v>72159</v>
      </c>
      <c r="C450" s="70" t="str">
        <f>CONCATENATE("Passenger Alighting - ",C448)</f>
        <v>Passenger Alighting - Ovaripada_1</v>
      </c>
      <c r="D450" s="75" t="s">
        <v>57</v>
      </c>
      <c r="E450" s="70" t="str">
        <f t="shared" si="190"/>
        <v>MMRBEM_7_DOWN</v>
      </c>
      <c r="F450" s="70">
        <v>0</v>
      </c>
      <c r="G450" s="152">
        <f t="shared" si="191"/>
        <v>14720.65</v>
      </c>
      <c r="H450" s="159">
        <f t="shared" si="189"/>
        <v>14720.65</v>
      </c>
      <c r="I450" s="232">
        <f>IF("generated"=1, "Path=MMRBEM_7_DOWN, Scaled Offset=14720.649999999999636202119290828705", 15000.5813916694)</f>
        <v>15000.581391669401</v>
      </c>
      <c r="K450" s="76" t="str">
        <f t="shared" si="192"/>
        <v>BOTH</v>
      </c>
      <c r="M450" s="77">
        <f>M449</f>
        <v>-2.5</v>
      </c>
      <c r="N450" s="77">
        <f>N449</f>
        <v>0</v>
      </c>
      <c r="O450" s="77"/>
      <c r="P450" s="77">
        <v>270</v>
      </c>
      <c r="Q450" s="77">
        <f>Q449</f>
        <v>0</v>
      </c>
      <c r="R450" s="75" t="s">
        <v>1091</v>
      </c>
      <c r="S450" s="70" t="s">
        <v>56</v>
      </c>
      <c r="T450" s="78">
        <f>B449</f>
        <v>72158</v>
      </c>
      <c r="V450" s="79"/>
    </row>
    <row r="451" spans="1:29" s="70" customFormat="1" x14ac:dyDescent="0.2">
      <c r="A451" s="224" t="s">
        <v>129</v>
      </c>
      <c r="B451" s="154">
        <v>72160</v>
      </c>
      <c r="C451" s="70" t="str">
        <f>CONCATENATE("Passenger Arriving - ",C446)</f>
        <v>Passenger Arriving - Ovaripada_1</v>
      </c>
      <c r="D451" s="75" t="s">
        <v>55</v>
      </c>
      <c r="E451" s="70" t="str">
        <f t="shared" si="190"/>
        <v>MMRBEM_7_DOWN</v>
      </c>
      <c r="F451" s="70">
        <v>0</v>
      </c>
      <c r="G451" s="152">
        <f t="shared" si="191"/>
        <v>14720.65</v>
      </c>
      <c r="H451" s="159">
        <f t="shared" si="189"/>
        <v>14720.65</v>
      </c>
      <c r="I451" s="232">
        <f>IF("generated"=1, "Path=MMRBEM_7_DOWN, Scaled Offset=14720.649999999999636202119290828705", 15000.5813916694)</f>
        <v>15000.581391669401</v>
      </c>
      <c r="K451" s="76" t="str">
        <f t="shared" si="192"/>
        <v>BOTH</v>
      </c>
      <c r="M451" s="77">
        <f>M450</f>
        <v>-2.5</v>
      </c>
      <c r="N451" s="77">
        <f>N450</f>
        <v>0</v>
      </c>
      <c r="O451" s="77"/>
      <c r="P451" s="77">
        <v>270</v>
      </c>
      <c r="Q451" s="77">
        <f>Q450</f>
        <v>0</v>
      </c>
      <c r="R451" s="75" t="s">
        <v>52</v>
      </c>
      <c r="S451" s="70" t="str">
        <f t="shared" ref="S451:T451" si="193">S450</f>
        <v>Parent ID</v>
      </c>
      <c r="T451" s="78">
        <f t="shared" si="193"/>
        <v>72158</v>
      </c>
      <c r="V451" s="79"/>
    </row>
    <row r="452" spans="1:29" s="70" customFormat="1" x14ac:dyDescent="0.2">
      <c r="A452" s="224" t="s">
        <v>129</v>
      </c>
      <c r="B452" s="154">
        <v>72161</v>
      </c>
      <c r="C452" s="70" t="str">
        <f>CONCATENATE("Passenger Intoxicated - ",C448)</f>
        <v>Passenger Intoxicated - Ovaripada_1</v>
      </c>
      <c r="D452" s="75" t="s">
        <v>54</v>
      </c>
      <c r="E452" s="70" t="str">
        <f>E451</f>
        <v>MMRBEM_7_DOWN</v>
      </c>
      <c r="F452" s="70">
        <v>0</v>
      </c>
      <c r="G452" s="152">
        <f t="shared" si="191"/>
        <v>14720.65</v>
      </c>
      <c r="H452" s="159">
        <f t="shared" si="189"/>
        <v>14720.65</v>
      </c>
      <c r="I452" s="232">
        <f>IF("generated"=1, "Path=MMRBEM_7_DOWN, Scaled Offset=14720.649999999999636202119290828705", 15000.5813916694)</f>
        <v>15000.581391669401</v>
      </c>
      <c r="K452" s="76" t="str">
        <f t="shared" si="192"/>
        <v>BOTH</v>
      </c>
      <c r="M452" s="77">
        <f>M451</f>
        <v>-2.5</v>
      </c>
      <c r="N452" s="77">
        <f>N451</f>
        <v>0</v>
      </c>
      <c r="O452" s="77"/>
      <c r="P452" s="77">
        <v>270</v>
      </c>
      <c r="Q452" s="77">
        <f>Q451</f>
        <v>0</v>
      </c>
      <c r="R452" s="75" t="s">
        <v>52</v>
      </c>
      <c r="S452" s="70" t="str">
        <f t="shared" ref="S452:T452" si="194">S451</f>
        <v>Parent ID</v>
      </c>
      <c r="T452" s="78">
        <f t="shared" si="194"/>
        <v>72158</v>
      </c>
      <c r="V452" s="79"/>
    </row>
    <row r="453" spans="1:29" s="70" customFormat="1" x14ac:dyDescent="0.2">
      <c r="A453" s="224" t="s">
        <v>129</v>
      </c>
      <c r="B453" s="154">
        <v>72162</v>
      </c>
      <c r="C453" s="70" t="str">
        <f>CONCATENATE("Passenger Pram - ",C448)</f>
        <v>Passenger Pram - Ovaripada_1</v>
      </c>
      <c r="D453" s="75" t="s">
        <v>53</v>
      </c>
      <c r="E453" s="70" t="str">
        <f t="shared" si="190"/>
        <v>MMRBEM_7_DOWN</v>
      </c>
      <c r="F453" s="70">
        <v>0</v>
      </c>
      <c r="G453" s="152">
        <f t="shared" si="191"/>
        <v>14720.65</v>
      </c>
      <c r="H453" s="159">
        <f t="shared" si="189"/>
        <v>14720.65</v>
      </c>
      <c r="I453" s="232">
        <f>IF("generated"=1, "Path=MMRBEM_7_DOWN, Scaled Offset=14720.649999999999636202119290828705", 15000.5813916694)</f>
        <v>15000.581391669401</v>
      </c>
      <c r="K453" s="76" t="str">
        <f t="shared" si="192"/>
        <v>BOTH</v>
      </c>
      <c r="M453" s="77">
        <f>M452</f>
        <v>-2.5</v>
      </c>
      <c r="N453" s="77">
        <f>N452</f>
        <v>0</v>
      </c>
      <c r="O453" s="77"/>
      <c r="P453" s="77">
        <v>270</v>
      </c>
      <c r="Q453" s="77">
        <f>Q452</f>
        <v>0</v>
      </c>
      <c r="R453" s="75" t="s">
        <v>52</v>
      </c>
      <c r="S453" s="70" t="str">
        <f t="shared" ref="S453:T453" si="195">S452</f>
        <v>Parent ID</v>
      </c>
      <c r="T453" s="78">
        <f t="shared" si="195"/>
        <v>72158</v>
      </c>
      <c r="V453" s="79"/>
    </row>
    <row r="454" spans="1:29" s="164" customFormat="1" x14ac:dyDescent="0.2">
      <c r="A454" s="224" t="s">
        <v>129</v>
      </c>
      <c r="B454" s="81">
        <v>72293</v>
      </c>
      <c r="C454" s="70" t="str">
        <f>CONCATENATE("PSD - ",C448)</f>
        <v>PSD - Ovaripada_1</v>
      </c>
      <c r="D454" s="165" t="s">
        <v>1042</v>
      </c>
      <c r="E454" s="70" t="str">
        <f t="shared" si="190"/>
        <v>MMRBEM_7_DOWN</v>
      </c>
      <c r="F454" s="70">
        <v>0</v>
      </c>
      <c r="G454" s="152">
        <f t="shared" si="191"/>
        <v>14720.65</v>
      </c>
      <c r="H454" s="159">
        <f t="shared" si="189"/>
        <v>14720.65</v>
      </c>
      <c r="I454" s="232">
        <f>IF("generated"=1, "Path=MMRBEM_7_DOWN, Scaled Offset=14720.649999999999636202119290828705", 15000.5813916694)</f>
        <v>15000.581391669401</v>
      </c>
      <c r="K454" s="76" t="str">
        <f t="shared" si="192"/>
        <v>BOTH</v>
      </c>
      <c r="M454" s="168">
        <f>M453+0.5</f>
        <v>-2</v>
      </c>
      <c r="N454" s="168"/>
      <c r="O454" s="168"/>
      <c r="P454" s="168"/>
      <c r="Q454" s="168"/>
      <c r="R454" s="165"/>
      <c r="S454" s="165" t="s">
        <v>1043</v>
      </c>
      <c r="T454" s="165" t="str">
        <f>_xlfn.CONCAT("PSD_",T449)</f>
        <v>PSD_OVA_PAS1</v>
      </c>
      <c r="U454" s="165" t="s">
        <v>926</v>
      </c>
      <c r="V454" s="165">
        <f>B448</f>
        <v>72157</v>
      </c>
      <c r="W454" s="165"/>
      <c r="X454" s="165"/>
    </row>
    <row r="455" spans="1:29" s="61" customFormat="1" x14ac:dyDescent="0.2">
      <c r="A455" s="224" t="s">
        <v>930</v>
      </c>
      <c r="B455" s="81">
        <v>72156</v>
      </c>
      <c r="C455" s="61" t="str">
        <f>LEFT(C448,LEN(C448)-2)</f>
        <v>Ovaripada</v>
      </c>
      <c r="E455" s="61" t="s">
        <v>126</v>
      </c>
      <c r="G455" s="153"/>
      <c r="H455" s="160">
        <v>7086</v>
      </c>
      <c r="I455" s="232">
        <f>IF("generated"=1, "Path=Track_10_Track_2, Scaled Offset=7086", 7086)</f>
        <v>7086</v>
      </c>
      <c r="J455" s="89"/>
      <c r="M455" s="88"/>
      <c r="N455" s="88"/>
      <c r="O455" s="88"/>
      <c r="P455" s="88"/>
      <c r="Q455" s="88"/>
      <c r="S455" s="61" t="s">
        <v>41</v>
      </c>
      <c r="T455" s="87">
        <v>40</v>
      </c>
      <c r="V455" s="87"/>
    </row>
    <row r="456" spans="1:29" s="61" customFormat="1" x14ac:dyDescent="0.2">
      <c r="A456" s="224" t="s">
        <v>930</v>
      </c>
      <c r="B456" s="81">
        <v>72156</v>
      </c>
      <c r="C456" s="61" t="str">
        <f>C455</f>
        <v>Ovaripada</v>
      </c>
      <c r="E456" s="61" t="s">
        <v>126</v>
      </c>
      <c r="G456" s="153"/>
      <c r="H456" s="160">
        <v>6897</v>
      </c>
      <c r="I456" s="232">
        <f>IF("generated"=1, "Path=Track_10_Track_2, Scaled Offset=6897", 6897)</f>
        <v>6897</v>
      </c>
      <c r="J456" s="89"/>
      <c r="M456" s="88"/>
      <c r="N456" s="88"/>
      <c r="O456" s="88"/>
      <c r="P456" s="88"/>
      <c r="Q456" s="88"/>
      <c r="S456" s="61" t="s">
        <v>41</v>
      </c>
      <c r="T456" s="87">
        <v>40</v>
      </c>
      <c r="V456" s="87"/>
    </row>
    <row r="457" spans="1:29" s="140" customFormat="1" x14ac:dyDescent="0.2">
      <c r="A457" s="224" t="s">
        <v>129</v>
      </c>
      <c r="B457" s="81">
        <v>72163</v>
      </c>
      <c r="C457" s="140" t="s">
        <v>922</v>
      </c>
      <c r="D457" s="140" t="s">
        <v>928</v>
      </c>
      <c r="E457" s="140" t="str">
        <f>E456</f>
        <v>Track_10_Track_2</v>
      </c>
      <c r="G457" s="144">
        <f>G458-22.2</f>
        <v>6901.96</v>
      </c>
      <c r="H457" s="161">
        <f>G457+F457</f>
        <v>6901.96</v>
      </c>
      <c r="I457" s="232">
        <f>IF("generated"=1, "Path=Track_10_Track_2, Scaled Offset=6901.9600000000000363797880709171295", 6901.96)</f>
        <v>6901.96</v>
      </c>
      <c r="J457" s="141"/>
      <c r="L457" s="140">
        <v>1</v>
      </c>
      <c r="M457" s="142"/>
      <c r="N457" s="142"/>
      <c r="O457" s="142"/>
      <c r="P457" s="142"/>
      <c r="Q457" s="142"/>
      <c r="R457" s="165" t="s">
        <v>1041</v>
      </c>
      <c r="S457" s="140" t="s">
        <v>926</v>
      </c>
      <c r="T457" s="143">
        <f>B448</f>
        <v>72157</v>
      </c>
      <c r="U457" s="140" t="s">
        <v>61</v>
      </c>
      <c r="V457" s="143" t="str">
        <f>X448</f>
        <v>OVA</v>
      </c>
      <c r="W457" s="140" t="s">
        <v>927</v>
      </c>
      <c r="X457" s="140">
        <v>2</v>
      </c>
    </row>
    <row r="458" spans="1:29" s="140" customFormat="1" x14ac:dyDescent="0.2">
      <c r="A458" s="224" t="s">
        <v>129</v>
      </c>
      <c r="B458" s="81">
        <v>72164</v>
      </c>
      <c r="C458" s="140" t="s">
        <v>923</v>
      </c>
      <c r="D458" s="140" t="s">
        <v>928</v>
      </c>
      <c r="E458" s="140" t="str">
        <f>E457</f>
        <v>Track_10_Track_2</v>
      </c>
      <c r="G458" s="144">
        <v>6924.16</v>
      </c>
      <c r="H458" s="161">
        <f t="shared" ref="H458:H459" si="196">G458+F458</f>
        <v>6924.16</v>
      </c>
      <c r="I458" s="232">
        <f>IF("generated"=1, "Path=Track_10_Track_2, Scaled Offset=6924.1599999999998544808477163314819", 6924.15999999999)</f>
        <v>6924.1599999999899</v>
      </c>
      <c r="J458" s="141"/>
      <c r="L458" s="140">
        <v>1</v>
      </c>
      <c r="M458" s="142"/>
      <c r="N458" s="142"/>
      <c r="O458" s="142"/>
      <c r="P458" s="142"/>
      <c r="Q458" s="142"/>
      <c r="R458" s="165" t="s">
        <v>1041</v>
      </c>
      <c r="S458" s="140" t="s">
        <v>926</v>
      </c>
      <c r="T458" s="143">
        <f>T457</f>
        <v>72157</v>
      </c>
      <c r="U458" s="140" t="s">
        <v>61</v>
      </c>
      <c r="V458" s="143" t="str">
        <f>V457</f>
        <v>OVA</v>
      </c>
      <c r="W458" s="140" t="s">
        <v>927</v>
      </c>
      <c r="X458" s="140">
        <v>2</v>
      </c>
    </row>
    <row r="459" spans="1:29" s="140" customFormat="1" x14ac:dyDescent="0.2">
      <c r="A459" s="224" t="s">
        <v>129</v>
      </c>
      <c r="B459" s="81">
        <v>72165</v>
      </c>
      <c r="C459" s="140" t="s">
        <v>924</v>
      </c>
      <c r="D459" s="140" t="s">
        <v>928</v>
      </c>
      <c r="E459" s="140" t="str">
        <f>E458</f>
        <v>Track_10_Track_2</v>
      </c>
      <c r="G459" s="144">
        <v>7060.13</v>
      </c>
      <c r="H459" s="161">
        <f t="shared" si="196"/>
        <v>7060.13</v>
      </c>
      <c r="I459" s="232">
        <f>IF("generated"=1, "Path=Track_10_Track_2, Scaled Offset=7060.1300000000001091393642127513885", 7060.13)</f>
        <v>7060.13</v>
      </c>
      <c r="J459" s="141"/>
      <c r="M459" s="142"/>
      <c r="N459" s="142"/>
      <c r="O459" s="142"/>
      <c r="P459" s="142"/>
      <c r="Q459" s="142"/>
      <c r="R459" s="165" t="s">
        <v>1041</v>
      </c>
      <c r="S459" s="140" t="s">
        <v>926</v>
      </c>
      <c r="T459" s="143">
        <f>T458</f>
        <v>72157</v>
      </c>
      <c r="U459" s="140" t="s">
        <v>61</v>
      </c>
      <c r="V459" s="143" t="str">
        <f>V458</f>
        <v>OVA</v>
      </c>
      <c r="W459" s="140" t="s">
        <v>927</v>
      </c>
      <c r="X459" s="140">
        <v>1</v>
      </c>
    </row>
    <row r="460" spans="1:29" s="140" customFormat="1" x14ac:dyDescent="0.2">
      <c r="A460" s="224" t="s">
        <v>129</v>
      </c>
      <c r="B460" s="81">
        <v>72166</v>
      </c>
      <c r="C460" s="140" t="s">
        <v>925</v>
      </c>
      <c r="D460" s="140" t="s">
        <v>928</v>
      </c>
      <c r="E460" s="140" t="str">
        <f>E459</f>
        <v>Track_10_Track_2</v>
      </c>
      <c r="G460" s="144">
        <f>G459+22.2</f>
        <v>7082.33</v>
      </c>
      <c r="H460" s="161">
        <f>G460+F460</f>
        <v>7082.33</v>
      </c>
      <c r="I460" s="232">
        <f>IF("generated"=1, "Path=Track_10_Track_2, Scaled Offset=7082.329999999999927240423858165741", 7082.32999999999)</f>
        <v>7082.3299999999899</v>
      </c>
      <c r="J460" s="141"/>
      <c r="M460" s="142"/>
      <c r="N460" s="142"/>
      <c r="O460" s="142"/>
      <c r="P460" s="142"/>
      <c r="Q460" s="142"/>
      <c r="R460" s="165" t="s">
        <v>1041</v>
      </c>
      <c r="S460" s="140" t="s">
        <v>926</v>
      </c>
      <c r="T460" s="143">
        <f>T459</f>
        <v>72157</v>
      </c>
      <c r="U460" s="140" t="s">
        <v>61</v>
      </c>
      <c r="V460" s="143" t="str">
        <f>V459</f>
        <v>OVA</v>
      </c>
      <c r="W460" s="140" t="s">
        <v>927</v>
      </c>
      <c r="X460" s="140">
        <v>1</v>
      </c>
    </row>
    <row r="462" spans="1:29" s="62" customFormat="1" x14ac:dyDescent="0.2">
      <c r="A462" s="224" t="s">
        <v>129</v>
      </c>
      <c r="B462" s="154">
        <v>72156</v>
      </c>
      <c r="C462" s="61" t="s">
        <v>365</v>
      </c>
      <c r="D462" s="62" t="s">
        <v>69</v>
      </c>
      <c r="E462" s="94"/>
      <c r="G462" s="149"/>
      <c r="H462" s="158"/>
      <c r="I462" s="162"/>
      <c r="M462" s="63"/>
      <c r="N462" s="63"/>
      <c r="O462" s="63"/>
      <c r="P462" s="63"/>
      <c r="Q462" s="63"/>
      <c r="T462" s="64"/>
      <c r="V462" s="64"/>
    </row>
    <row r="463" spans="1:29" s="60" customFormat="1" x14ac:dyDescent="0.2">
      <c r="A463" s="224"/>
      <c r="B463" s="81"/>
      <c r="C463" s="60" t="s">
        <v>368</v>
      </c>
      <c r="D463" s="60" t="s">
        <v>51</v>
      </c>
      <c r="E463" s="94" t="s">
        <v>187</v>
      </c>
      <c r="G463" s="150">
        <v>14628.447</v>
      </c>
      <c r="H463" s="159">
        <f>G463+F463</f>
        <v>14628.447</v>
      </c>
      <c r="I463" s="90"/>
      <c r="J463" s="65"/>
      <c r="K463" s="60" t="s">
        <v>64</v>
      </c>
      <c r="M463" s="66">
        <v>2.5</v>
      </c>
      <c r="N463" s="66">
        <v>0</v>
      </c>
      <c r="O463" s="66"/>
      <c r="P463" s="66"/>
      <c r="Q463" s="66"/>
      <c r="R463" s="60" t="str">
        <f>$E$3</f>
        <v>Red</v>
      </c>
      <c r="S463" s="60" t="s">
        <v>68</v>
      </c>
      <c r="T463" s="67" t="str">
        <f>C463</f>
        <v>Ovaripada_S2</v>
      </c>
      <c r="U463" s="60" t="s">
        <v>50</v>
      </c>
      <c r="V463" s="67">
        <v>0</v>
      </c>
      <c r="W463" s="60" t="s">
        <v>67</v>
      </c>
      <c r="X463" s="60">
        <v>1</v>
      </c>
      <c r="Y463" s="60" t="s">
        <v>66</v>
      </c>
      <c r="Z463" s="60">
        <v>1</v>
      </c>
      <c r="AA463" s="60" t="s">
        <v>365</v>
      </c>
      <c r="AB463" s="74" t="s">
        <v>370</v>
      </c>
      <c r="AC463" s="60">
        <v>2</v>
      </c>
    </row>
    <row r="464" spans="1:29" s="60" customFormat="1" x14ac:dyDescent="0.2">
      <c r="A464" s="224"/>
      <c r="B464" s="81"/>
      <c r="C464" s="60" t="str">
        <f>AA464&amp;"_"&amp;AC464</f>
        <v>Ovaripada_2</v>
      </c>
      <c r="D464" s="60" t="s">
        <v>51</v>
      </c>
      <c r="E464" s="60" t="str">
        <f>E463</f>
        <v>MMRBEM_7_UP</v>
      </c>
      <c r="G464" s="151">
        <f>AVERAGE(H463,H465)</f>
        <v>14720.947</v>
      </c>
      <c r="H464" s="159">
        <f>F464+G464</f>
        <v>14720.947</v>
      </c>
      <c r="I464" s="90"/>
      <c r="J464" s="65"/>
      <c r="K464" s="60" t="s">
        <v>64</v>
      </c>
      <c r="M464" s="66">
        <v>2.5</v>
      </c>
      <c r="N464" s="66">
        <v>0</v>
      </c>
      <c r="O464" s="66"/>
      <c r="P464" s="66"/>
      <c r="Q464" s="66"/>
      <c r="R464" s="60" t="str">
        <f>$E$4</f>
        <v>Green</v>
      </c>
      <c r="S464" s="60" t="s">
        <v>68</v>
      </c>
      <c r="T464" s="67" t="str">
        <f>C464</f>
        <v>Ovaripada_2</v>
      </c>
      <c r="U464" s="60" t="s">
        <v>50</v>
      </c>
      <c r="V464" s="67">
        <v>0</v>
      </c>
      <c r="W464" s="60" t="s">
        <v>67</v>
      </c>
      <c r="X464" s="60">
        <v>1</v>
      </c>
      <c r="Y464" s="60" t="s">
        <v>66</v>
      </c>
      <c r="Z464" s="60">
        <v>1</v>
      </c>
      <c r="AA464" s="60" t="str">
        <f>AA463</f>
        <v>Ovaripada</v>
      </c>
      <c r="AB464" s="60" t="str">
        <f>AB463</f>
        <v>OVA</v>
      </c>
      <c r="AC464" s="60">
        <f>AC463</f>
        <v>2</v>
      </c>
    </row>
    <row r="465" spans="1:29" s="60" customFormat="1" x14ac:dyDescent="0.2">
      <c r="A465" s="224"/>
      <c r="B465" s="81"/>
      <c r="C465" s="60" t="s">
        <v>369</v>
      </c>
      <c r="D465" s="60" t="s">
        <v>51</v>
      </c>
      <c r="E465" s="94" t="s">
        <v>187</v>
      </c>
      <c r="G465" s="150">
        <v>14813.447</v>
      </c>
      <c r="H465" s="159">
        <f>G465+F465</f>
        <v>14813.447</v>
      </c>
      <c r="I465" s="90"/>
      <c r="J465" s="65"/>
      <c r="K465" s="60" t="s">
        <v>64</v>
      </c>
      <c r="M465" s="66">
        <v>2.5</v>
      </c>
      <c r="N465" s="66">
        <v>0</v>
      </c>
      <c r="O465" s="66"/>
      <c r="P465" s="66"/>
      <c r="Q465" s="66"/>
      <c r="R465" s="60" t="str">
        <f>$E$3</f>
        <v>Red</v>
      </c>
      <c r="S465" s="60" t="s">
        <v>68</v>
      </c>
      <c r="T465" s="67" t="str">
        <f>C465</f>
        <v>Ovaripada_E2</v>
      </c>
      <c r="U465" s="60" t="s">
        <v>50</v>
      </c>
      <c r="V465" s="67">
        <v>0</v>
      </c>
      <c r="W465" s="60" t="s">
        <v>67</v>
      </c>
      <c r="X465" s="60">
        <v>1</v>
      </c>
      <c r="Y465" s="60" t="s">
        <v>66</v>
      </c>
      <c r="Z465" s="60">
        <v>1</v>
      </c>
      <c r="AA465" s="60" t="s">
        <v>365</v>
      </c>
      <c r="AB465" s="74" t="s">
        <v>370</v>
      </c>
      <c r="AC465" s="60">
        <v>2</v>
      </c>
    </row>
    <row r="466" spans="1:29" s="70" customFormat="1" x14ac:dyDescent="0.2">
      <c r="A466" s="224" t="s">
        <v>129</v>
      </c>
      <c r="B466" s="154">
        <v>72167</v>
      </c>
      <c r="C466" s="68" t="str">
        <f>C464</f>
        <v>Ovaripada_2</v>
      </c>
      <c r="D466" s="69" t="s">
        <v>65</v>
      </c>
      <c r="E466" s="70" t="str">
        <f>E464</f>
        <v>MMRBEM_7_UP</v>
      </c>
      <c r="F466" s="70">
        <f>F464</f>
        <v>0</v>
      </c>
      <c r="G466" s="152">
        <f>H464</f>
        <v>14720.947</v>
      </c>
      <c r="H466" s="159">
        <f t="shared" ref="H466:H472" si="197">F466+G466</f>
        <v>14720.947</v>
      </c>
      <c r="I466" s="232">
        <f>IF("generated"=1, "Path=MMRBEM_7_UP, Scaled Offset=14720.947000000000116415321826934814", 15001.147421086)</f>
        <v>15001.147421086</v>
      </c>
      <c r="K466" s="69" t="s">
        <v>64</v>
      </c>
      <c r="M466" s="71">
        <f>2*M464</f>
        <v>5</v>
      </c>
      <c r="N466" s="71">
        <v>0</v>
      </c>
      <c r="O466" s="71"/>
      <c r="P466" s="71">
        <v>0</v>
      </c>
      <c r="Q466" s="71">
        <v>0</v>
      </c>
      <c r="S466" s="69" t="s">
        <v>63</v>
      </c>
      <c r="T466" s="72">
        <f>ABS(H465-H463)</f>
        <v>185</v>
      </c>
      <c r="U466" s="69" t="s">
        <v>62</v>
      </c>
      <c r="V466" s="73" t="str">
        <f>C466</f>
        <v>Ovaripada_2</v>
      </c>
      <c r="W466" s="68" t="s">
        <v>61</v>
      </c>
      <c r="X466" s="74" t="s">
        <v>370</v>
      </c>
      <c r="Y466" s="74" t="s">
        <v>60</v>
      </c>
      <c r="Z466" s="70" t="str">
        <f>LEFT(V466, LEN(V466)-2)</f>
        <v>Ovaripada</v>
      </c>
    </row>
    <row r="467" spans="1:29" s="70" customFormat="1" x14ac:dyDescent="0.2">
      <c r="A467" s="224" t="s">
        <v>129</v>
      </c>
      <c r="B467" s="154">
        <v>72168</v>
      </c>
      <c r="C467" s="70" t="str">
        <f>CONCATENATE("Platform Passenger - ",C466)</f>
        <v>Platform Passenger - Ovaripada_2</v>
      </c>
      <c r="D467" s="75" t="s">
        <v>59</v>
      </c>
      <c r="E467" s="70" t="str">
        <f t="shared" ref="E467:E472" si="198">E466</f>
        <v>MMRBEM_7_UP</v>
      </c>
      <c r="F467" s="70">
        <v>0</v>
      </c>
      <c r="G467" s="152">
        <f t="shared" ref="G467:G472" si="199">G466</f>
        <v>14720.947</v>
      </c>
      <c r="H467" s="159">
        <f t="shared" si="197"/>
        <v>14720.947</v>
      </c>
      <c r="I467" s="232">
        <f>IF("generated"=1, "Path=MMRBEM_7_UP, Scaled Offset=14720.947000000000116415321826934814", 15001.147421086)</f>
        <v>15001.147421086</v>
      </c>
      <c r="K467" s="76" t="str">
        <f t="shared" ref="K467:K472" si="200">K466</f>
        <v>BOTH</v>
      </c>
      <c r="M467" s="77">
        <f>M466/2</f>
        <v>2.5</v>
      </c>
      <c r="N467" s="77">
        <f>N466</f>
        <v>0</v>
      </c>
      <c r="O467" s="77"/>
      <c r="P467" s="77">
        <v>90</v>
      </c>
      <c r="Q467" s="77">
        <f>Q466</f>
        <v>0</v>
      </c>
      <c r="R467" s="75" t="s">
        <v>1091</v>
      </c>
      <c r="S467" s="70" t="s">
        <v>58</v>
      </c>
      <c r="T467" s="78" t="str">
        <f>CONCATENATE(X466,"_PAS"&amp;AC465)</f>
        <v>OVA_PAS2</v>
      </c>
      <c r="V467" s="79"/>
    </row>
    <row r="468" spans="1:29" s="70" customFormat="1" x14ac:dyDescent="0.2">
      <c r="A468" s="224" t="s">
        <v>129</v>
      </c>
      <c r="B468" s="154">
        <v>72169</v>
      </c>
      <c r="C468" s="70" t="str">
        <f>CONCATENATE("Passenger Alighting - ",C466)</f>
        <v>Passenger Alighting - Ovaripada_2</v>
      </c>
      <c r="D468" s="75" t="s">
        <v>57</v>
      </c>
      <c r="E468" s="70" t="str">
        <f t="shared" si="198"/>
        <v>MMRBEM_7_UP</v>
      </c>
      <c r="F468" s="70">
        <v>0</v>
      </c>
      <c r="G468" s="152">
        <f t="shared" si="199"/>
        <v>14720.947</v>
      </c>
      <c r="H468" s="159">
        <f t="shared" si="197"/>
        <v>14720.947</v>
      </c>
      <c r="I468" s="232">
        <f>IF("generated"=1, "Path=MMRBEM_7_UP, Scaled Offset=14720.947000000000116415321826934814", 15001.147421086)</f>
        <v>15001.147421086</v>
      </c>
      <c r="K468" s="76" t="str">
        <f t="shared" si="200"/>
        <v>BOTH</v>
      </c>
      <c r="M468" s="77">
        <f>M467</f>
        <v>2.5</v>
      </c>
      <c r="N468" s="77">
        <f>N467</f>
        <v>0</v>
      </c>
      <c r="O468" s="77"/>
      <c r="P468" s="77">
        <v>90</v>
      </c>
      <c r="Q468" s="77">
        <f>Q467</f>
        <v>0</v>
      </c>
      <c r="R468" s="75" t="s">
        <v>1091</v>
      </c>
      <c r="S468" s="70" t="s">
        <v>56</v>
      </c>
      <c r="T468" s="78">
        <f>B467</f>
        <v>72168</v>
      </c>
      <c r="V468" s="79"/>
    </row>
    <row r="469" spans="1:29" s="70" customFormat="1" x14ac:dyDescent="0.2">
      <c r="A469" s="224" t="s">
        <v>129</v>
      </c>
      <c r="B469" s="154">
        <v>72170</v>
      </c>
      <c r="C469" s="70" t="str">
        <f>CONCATENATE("Passenger Arriving - ",C464)</f>
        <v>Passenger Arriving - Ovaripada_2</v>
      </c>
      <c r="D469" s="75" t="s">
        <v>55</v>
      </c>
      <c r="E469" s="70" t="str">
        <f t="shared" si="198"/>
        <v>MMRBEM_7_UP</v>
      </c>
      <c r="F469" s="70">
        <v>0</v>
      </c>
      <c r="G469" s="152">
        <f t="shared" si="199"/>
        <v>14720.947</v>
      </c>
      <c r="H469" s="159">
        <f t="shared" si="197"/>
        <v>14720.947</v>
      </c>
      <c r="I469" s="232">
        <f>IF("generated"=1, "Path=MMRBEM_7_UP, Scaled Offset=14720.947000000000116415321826934814", 15001.147421086)</f>
        <v>15001.147421086</v>
      </c>
      <c r="K469" s="76" t="str">
        <f t="shared" si="200"/>
        <v>BOTH</v>
      </c>
      <c r="M469" s="77">
        <f>M468</f>
        <v>2.5</v>
      </c>
      <c r="N469" s="77">
        <f>N468</f>
        <v>0</v>
      </c>
      <c r="O469" s="77"/>
      <c r="P469" s="77">
        <v>90</v>
      </c>
      <c r="Q469" s="77">
        <f>Q468</f>
        <v>0</v>
      </c>
      <c r="R469" s="75" t="s">
        <v>52</v>
      </c>
      <c r="S469" s="70" t="str">
        <f t="shared" ref="S469:T469" si="201">S468</f>
        <v>Parent ID</v>
      </c>
      <c r="T469" s="78">
        <f t="shared" si="201"/>
        <v>72168</v>
      </c>
      <c r="V469" s="79"/>
    </row>
    <row r="470" spans="1:29" s="70" customFormat="1" x14ac:dyDescent="0.2">
      <c r="A470" s="224" t="s">
        <v>129</v>
      </c>
      <c r="B470" s="154">
        <v>72171</v>
      </c>
      <c r="C470" s="70" t="str">
        <f>CONCATENATE("Passenger Intoxicated - ",C466)</f>
        <v>Passenger Intoxicated - Ovaripada_2</v>
      </c>
      <c r="D470" s="75" t="s">
        <v>54</v>
      </c>
      <c r="E470" s="70" t="str">
        <f t="shared" si="198"/>
        <v>MMRBEM_7_UP</v>
      </c>
      <c r="F470" s="70">
        <v>0</v>
      </c>
      <c r="G470" s="152">
        <f t="shared" si="199"/>
        <v>14720.947</v>
      </c>
      <c r="H470" s="159">
        <f t="shared" si="197"/>
        <v>14720.947</v>
      </c>
      <c r="I470" s="232">
        <f>IF("generated"=1, "Path=MMRBEM_7_UP, Scaled Offset=14720.947000000000116415321826934814", 15001.147421086)</f>
        <v>15001.147421086</v>
      </c>
      <c r="K470" s="76" t="str">
        <f t="shared" si="200"/>
        <v>BOTH</v>
      </c>
      <c r="M470" s="77">
        <f>M469</f>
        <v>2.5</v>
      </c>
      <c r="N470" s="77">
        <f>N469</f>
        <v>0</v>
      </c>
      <c r="O470" s="77"/>
      <c r="P470" s="77">
        <v>90</v>
      </c>
      <c r="Q470" s="77">
        <f>Q469</f>
        <v>0</v>
      </c>
      <c r="R470" s="75" t="s">
        <v>52</v>
      </c>
      <c r="S470" s="70" t="str">
        <f t="shared" ref="S470:T470" si="202">S469</f>
        <v>Parent ID</v>
      </c>
      <c r="T470" s="78">
        <f t="shared" si="202"/>
        <v>72168</v>
      </c>
      <c r="V470" s="79"/>
    </row>
    <row r="471" spans="1:29" s="70" customFormat="1" x14ac:dyDescent="0.2">
      <c r="A471" s="224" t="s">
        <v>129</v>
      </c>
      <c r="B471" s="154">
        <v>72172</v>
      </c>
      <c r="C471" s="70" t="str">
        <f>CONCATENATE("Passenger Pram - ",C466)</f>
        <v>Passenger Pram - Ovaripada_2</v>
      </c>
      <c r="D471" s="75" t="s">
        <v>53</v>
      </c>
      <c r="E471" s="70" t="str">
        <f t="shared" si="198"/>
        <v>MMRBEM_7_UP</v>
      </c>
      <c r="F471" s="70">
        <v>0</v>
      </c>
      <c r="G471" s="152">
        <f t="shared" si="199"/>
        <v>14720.947</v>
      </c>
      <c r="H471" s="159">
        <f t="shared" si="197"/>
        <v>14720.947</v>
      </c>
      <c r="I471" s="232">
        <f>IF("generated"=1, "Path=MMRBEM_7_UP, Scaled Offset=14720.947000000000116415321826934814", 15001.147421086)</f>
        <v>15001.147421086</v>
      </c>
      <c r="K471" s="76" t="str">
        <f t="shared" si="200"/>
        <v>BOTH</v>
      </c>
      <c r="M471" s="77">
        <f>M470</f>
        <v>2.5</v>
      </c>
      <c r="N471" s="77">
        <f>N470</f>
        <v>0</v>
      </c>
      <c r="O471" s="77"/>
      <c r="P471" s="77">
        <v>90</v>
      </c>
      <c r="Q471" s="77">
        <f>Q470</f>
        <v>0</v>
      </c>
      <c r="R471" s="75" t="s">
        <v>52</v>
      </c>
      <c r="S471" s="70" t="str">
        <f t="shared" ref="S471:T471" si="203">S470</f>
        <v>Parent ID</v>
      </c>
      <c r="T471" s="78">
        <f t="shared" si="203"/>
        <v>72168</v>
      </c>
      <c r="V471" s="79"/>
    </row>
    <row r="472" spans="1:29" s="164" customFormat="1" x14ac:dyDescent="0.2">
      <c r="A472" s="224" t="s">
        <v>129</v>
      </c>
      <c r="B472" s="81">
        <v>72294</v>
      </c>
      <c r="C472" s="70" t="str">
        <f>CONCATENATE("PSD - ",C466)</f>
        <v>PSD - Ovaripada_2</v>
      </c>
      <c r="D472" s="165" t="s">
        <v>1042</v>
      </c>
      <c r="E472" s="70" t="str">
        <f t="shared" si="198"/>
        <v>MMRBEM_7_UP</v>
      </c>
      <c r="F472" s="70">
        <v>0</v>
      </c>
      <c r="G472" s="152">
        <f t="shared" si="199"/>
        <v>14720.947</v>
      </c>
      <c r="H472" s="159">
        <f t="shared" si="197"/>
        <v>14720.947</v>
      </c>
      <c r="I472" s="232">
        <f>IF("generated"=1, "Path=MMRBEM_7_UP, Scaled Offset=14720.947000000000116415321826934814", 15001.147421086)</f>
        <v>15001.147421086</v>
      </c>
      <c r="K472" s="76" t="str">
        <f t="shared" si="200"/>
        <v>BOTH</v>
      </c>
      <c r="M472" s="168">
        <f>M471-0.5</f>
        <v>2</v>
      </c>
      <c r="N472" s="168"/>
      <c r="O472" s="168"/>
      <c r="P472" s="168"/>
      <c r="Q472" s="168"/>
      <c r="R472" s="165"/>
      <c r="S472" s="165" t="s">
        <v>1043</v>
      </c>
      <c r="T472" s="165" t="str">
        <f>_xlfn.CONCAT("PSD_",T467)</f>
        <v>PSD_OVA_PAS2</v>
      </c>
      <c r="U472" s="165" t="s">
        <v>926</v>
      </c>
      <c r="V472" s="165">
        <f>B466</f>
        <v>72167</v>
      </c>
      <c r="W472" s="165"/>
      <c r="X472" s="165"/>
    </row>
    <row r="473" spans="1:29" s="61" customFormat="1" x14ac:dyDescent="0.2">
      <c r="A473" s="224" t="s">
        <v>930</v>
      </c>
      <c r="B473" s="154">
        <v>72156</v>
      </c>
      <c r="C473" s="61" t="str">
        <f>LEFT(C466,LEN(C466)-2)</f>
        <v>Ovaripada</v>
      </c>
      <c r="E473" s="61" t="s">
        <v>92</v>
      </c>
      <c r="G473" s="153"/>
      <c r="H473" s="160">
        <v>7086</v>
      </c>
      <c r="I473" s="232">
        <f>IF("generated"=1, "Path=Track_20_Track_2, Scaled Offset=7086", 7086)</f>
        <v>7086</v>
      </c>
      <c r="J473" s="89"/>
      <c r="M473" s="88"/>
      <c r="N473" s="88"/>
      <c r="O473" s="88"/>
      <c r="P473" s="88"/>
      <c r="Q473" s="88"/>
      <c r="S473" s="61" t="s">
        <v>41</v>
      </c>
      <c r="T473" s="87">
        <v>40</v>
      </c>
      <c r="V473" s="87"/>
    </row>
    <row r="474" spans="1:29" s="61" customFormat="1" x14ac:dyDescent="0.2">
      <c r="A474" s="224" t="s">
        <v>930</v>
      </c>
      <c r="B474" s="154">
        <v>72156</v>
      </c>
      <c r="C474" s="61" t="str">
        <f>C473</f>
        <v>Ovaripada</v>
      </c>
      <c r="E474" s="61" t="s">
        <v>92</v>
      </c>
      <c r="G474" s="153"/>
      <c r="H474" s="160">
        <v>6896</v>
      </c>
      <c r="I474" s="232">
        <f>IF("generated"=1, "Path=Track_20_Track_2, Scaled Offset=6896", 6896)</f>
        <v>6896</v>
      </c>
      <c r="J474" s="89"/>
      <c r="M474" s="88"/>
      <c r="N474" s="88"/>
      <c r="O474" s="88"/>
      <c r="P474" s="88"/>
      <c r="Q474" s="88"/>
      <c r="S474" s="61" t="s">
        <v>41</v>
      </c>
      <c r="T474" s="87">
        <v>40</v>
      </c>
      <c r="V474" s="87"/>
    </row>
    <row r="475" spans="1:29" s="140" customFormat="1" x14ac:dyDescent="0.2">
      <c r="A475" s="224" t="s">
        <v>129</v>
      </c>
      <c r="B475" s="81">
        <v>72295</v>
      </c>
      <c r="C475" s="140" t="s">
        <v>1062</v>
      </c>
      <c r="D475" s="140" t="s">
        <v>928</v>
      </c>
      <c r="E475" s="140" t="str">
        <f>E474</f>
        <v>Track_20_Track_2</v>
      </c>
      <c r="G475" s="144">
        <f>G476-22.2</f>
        <v>6901.28</v>
      </c>
      <c r="H475" s="161">
        <f>G475+F475</f>
        <v>6901.28</v>
      </c>
      <c r="I475" s="232">
        <f>IF("generated"=1, "Path=Track_20_Track_2, Scaled Offset=6901.2799999999997453414835035800934", 6901.27999999999)</f>
        <v>6901.2799999999897</v>
      </c>
      <c r="J475" s="141"/>
      <c r="L475" s="140">
        <v>1</v>
      </c>
      <c r="M475" s="142"/>
      <c r="N475" s="142"/>
      <c r="O475" s="142"/>
      <c r="P475" s="142"/>
      <c r="Q475" s="142"/>
      <c r="R475" s="165" t="s">
        <v>1041</v>
      </c>
      <c r="S475" s="140" t="s">
        <v>926</v>
      </c>
      <c r="T475" s="143">
        <f>B466</f>
        <v>72167</v>
      </c>
      <c r="U475" s="140" t="s">
        <v>61</v>
      </c>
      <c r="V475" s="143" t="str">
        <f>X466</f>
        <v>OVA</v>
      </c>
      <c r="W475" s="140" t="s">
        <v>927</v>
      </c>
      <c r="X475" s="140">
        <v>1</v>
      </c>
    </row>
    <row r="476" spans="1:29" s="140" customFormat="1" x14ac:dyDescent="0.2">
      <c r="A476" s="224" t="s">
        <v>129</v>
      </c>
      <c r="B476" s="81">
        <v>72296</v>
      </c>
      <c r="C476" s="140" t="s">
        <v>1063</v>
      </c>
      <c r="D476" s="140" t="s">
        <v>928</v>
      </c>
      <c r="E476" s="140" t="str">
        <f>E475</f>
        <v>Track_20_Track_2</v>
      </c>
      <c r="G476" s="144">
        <v>6923.48</v>
      </c>
      <c r="H476" s="161">
        <f t="shared" ref="H476:H478" si="204">G476+F476</f>
        <v>6923.48</v>
      </c>
      <c r="I476" s="232">
        <f>IF("generated"=1, "Path=Track_20_Track_2, Scaled Offset=6923.4799999999995634425431489944458", 6923.47999999999)</f>
        <v>6923.4799999999896</v>
      </c>
      <c r="J476" s="141"/>
      <c r="L476" s="140">
        <v>1</v>
      </c>
      <c r="M476" s="142"/>
      <c r="N476" s="142"/>
      <c r="O476" s="142"/>
      <c r="P476" s="142"/>
      <c r="Q476" s="142"/>
      <c r="R476" s="165" t="s">
        <v>1041</v>
      </c>
      <c r="S476" s="140" t="s">
        <v>926</v>
      </c>
      <c r="T476" s="143">
        <f>T475</f>
        <v>72167</v>
      </c>
      <c r="U476" s="140" t="s">
        <v>61</v>
      </c>
      <c r="V476" s="143" t="str">
        <f>V475</f>
        <v>OVA</v>
      </c>
      <c r="W476" s="140" t="s">
        <v>927</v>
      </c>
      <c r="X476" s="140">
        <v>1</v>
      </c>
    </row>
    <row r="477" spans="1:29" s="140" customFormat="1" x14ac:dyDescent="0.2">
      <c r="A477" s="224" t="s">
        <v>129</v>
      </c>
      <c r="B477" s="81">
        <v>72297</v>
      </c>
      <c r="C477" s="140" t="s">
        <v>1065</v>
      </c>
      <c r="D477" s="140" t="s">
        <v>928</v>
      </c>
      <c r="E477" s="140" t="str">
        <f>E476</f>
        <v>Track_20_Track_2</v>
      </c>
      <c r="G477" s="144">
        <v>7059.48</v>
      </c>
      <c r="H477" s="161">
        <f t="shared" si="204"/>
        <v>7059.48</v>
      </c>
      <c r="I477" s="232">
        <f>IF("generated"=1, "Path=Track_20_Track_2, Scaled Offset=7059.4799999999995634425431489944458", 7059.47999999999)</f>
        <v>7059.4799999999896</v>
      </c>
      <c r="J477" s="141"/>
      <c r="M477" s="142"/>
      <c r="N477" s="142"/>
      <c r="O477" s="142"/>
      <c r="P477" s="142"/>
      <c r="Q477" s="142"/>
      <c r="R477" s="165" t="s">
        <v>1041</v>
      </c>
      <c r="S477" s="140" t="s">
        <v>926</v>
      </c>
      <c r="T477" s="143">
        <f>T476</f>
        <v>72167</v>
      </c>
      <c r="U477" s="140" t="s">
        <v>61</v>
      </c>
      <c r="V477" s="143" t="str">
        <f>V476</f>
        <v>OVA</v>
      </c>
      <c r="W477" s="140" t="s">
        <v>927</v>
      </c>
      <c r="X477" s="140">
        <v>2</v>
      </c>
    </row>
    <row r="478" spans="1:29" s="140" customFormat="1" x14ac:dyDescent="0.2">
      <c r="A478" s="224" t="s">
        <v>129</v>
      </c>
      <c r="B478" s="81">
        <v>72298</v>
      </c>
      <c r="C478" s="140" t="s">
        <v>1064</v>
      </c>
      <c r="D478" s="140" t="s">
        <v>928</v>
      </c>
      <c r="E478" s="140" t="str">
        <f>E477</f>
        <v>Track_20_Track_2</v>
      </c>
      <c r="G478" s="144">
        <f>G477+22.2</f>
        <v>7081.6799999999994</v>
      </c>
      <c r="H478" s="161">
        <f t="shared" si="204"/>
        <v>7081.6799999999994</v>
      </c>
      <c r="I478" s="232">
        <f>IF("generated"=1, "Path=Track_20_Track_2, Scaled Offset=7081.6799999999993815436027944087982", 7081.67999999999)</f>
        <v>7081.6799999999903</v>
      </c>
      <c r="J478" s="141"/>
      <c r="M478" s="142"/>
      <c r="N478" s="142"/>
      <c r="O478" s="142"/>
      <c r="P478" s="142"/>
      <c r="Q478" s="142"/>
      <c r="R478" s="165" t="s">
        <v>1041</v>
      </c>
      <c r="S478" s="140" t="s">
        <v>926</v>
      </c>
      <c r="T478" s="143">
        <f>T477</f>
        <v>72167</v>
      </c>
      <c r="U478" s="140" t="s">
        <v>61</v>
      </c>
      <c r="V478" s="143" t="str">
        <f>V477</f>
        <v>OVA</v>
      </c>
      <c r="W478" s="140" t="s">
        <v>927</v>
      </c>
      <c r="X478" s="140">
        <v>2</v>
      </c>
    </row>
  </sheetData>
  <mergeCells count="1">
    <mergeCell ref="E2:U2"/>
  </mergeCells>
  <conditionalFormatting sqref="N11:O11">
    <cfRule type="cellIs" dxfId="43" priority="48" stopIfTrue="1" operator="greaterThan">
      <formula>0</formula>
    </cfRule>
  </conditionalFormatting>
  <conditionalFormatting sqref="N13:O13 N15:O15">
    <cfRule type="cellIs" dxfId="42" priority="47" stopIfTrue="1" operator="greaterThan">
      <formula>0</formula>
    </cfRule>
  </conditionalFormatting>
  <conditionalFormatting sqref="N31:O31 N33:O33">
    <cfRule type="cellIs" dxfId="41" priority="45" stopIfTrue="1" operator="greaterThan">
      <formula>0</formula>
    </cfRule>
  </conditionalFormatting>
  <conditionalFormatting sqref="N49:O49 N51:O51">
    <cfRule type="cellIs" dxfId="40" priority="24" stopIfTrue="1" operator="greaterThan">
      <formula>0</formula>
    </cfRule>
  </conditionalFormatting>
  <conditionalFormatting sqref="N67:O67 N69:O69">
    <cfRule type="cellIs" dxfId="39" priority="23" stopIfTrue="1" operator="greaterThan">
      <formula>0</formula>
    </cfRule>
  </conditionalFormatting>
  <conditionalFormatting sqref="N85:O85 N87:O87">
    <cfRule type="cellIs" dxfId="38" priority="22" stopIfTrue="1" operator="greaterThan">
      <formula>0</formula>
    </cfRule>
  </conditionalFormatting>
  <conditionalFormatting sqref="N103:O103 N105:O105">
    <cfRule type="cellIs" dxfId="37" priority="21" stopIfTrue="1" operator="greaterThan">
      <formula>0</formula>
    </cfRule>
  </conditionalFormatting>
  <conditionalFormatting sqref="N121:O121 N123:O123">
    <cfRule type="cellIs" dxfId="36" priority="20" stopIfTrue="1" operator="greaterThan">
      <formula>0</formula>
    </cfRule>
  </conditionalFormatting>
  <conditionalFormatting sqref="N139:O139 N141:O141">
    <cfRule type="cellIs" dxfId="35" priority="19" stopIfTrue="1" operator="greaterThan">
      <formula>0</formula>
    </cfRule>
  </conditionalFormatting>
  <conditionalFormatting sqref="N157:O157 N159:O159">
    <cfRule type="cellIs" dxfId="34" priority="18" stopIfTrue="1" operator="greaterThan">
      <formula>0</formula>
    </cfRule>
  </conditionalFormatting>
  <conditionalFormatting sqref="N175:O175 N177:O177">
    <cfRule type="cellIs" dxfId="33" priority="17" stopIfTrue="1" operator="greaterThan">
      <formula>0</formula>
    </cfRule>
  </conditionalFormatting>
  <conditionalFormatting sqref="N193:O193 N195:O195">
    <cfRule type="cellIs" dxfId="32" priority="16" stopIfTrue="1" operator="greaterThan">
      <formula>0</formula>
    </cfRule>
  </conditionalFormatting>
  <conditionalFormatting sqref="N211:O211 N213:O213">
    <cfRule type="cellIs" dxfId="31" priority="15" stopIfTrue="1" operator="greaterThan">
      <formula>0</formula>
    </cfRule>
  </conditionalFormatting>
  <conditionalFormatting sqref="N229:O229 N231:O231">
    <cfRule type="cellIs" dxfId="30" priority="14" stopIfTrue="1" operator="greaterThan">
      <formula>0</formula>
    </cfRule>
  </conditionalFormatting>
  <conditionalFormatting sqref="N247:O247 N249:O249">
    <cfRule type="cellIs" dxfId="29" priority="13" stopIfTrue="1" operator="greaterThan">
      <formula>0</formula>
    </cfRule>
  </conditionalFormatting>
  <conditionalFormatting sqref="N265:O265 N267:O267">
    <cfRule type="cellIs" dxfId="28" priority="12" stopIfTrue="1" operator="greaterThan">
      <formula>0</formula>
    </cfRule>
  </conditionalFormatting>
  <conditionalFormatting sqref="N283:O283 N285:O285">
    <cfRule type="cellIs" dxfId="27" priority="11" stopIfTrue="1" operator="greaterThan">
      <formula>0</formula>
    </cfRule>
  </conditionalFormatting>
  <conditionalFormatting sqref="N301:O301 N303:O303">
    <cfRule type="cellIs" dxfId="26" priority="10" stopIfTrue="1" operator="greaterThan">
      <formula>0</formula>
    </cfRule>
  </conditionalFormatting>
  <conditionalFormatting sqref="N319:O319 N321:O321">
    <cfRule type="cellIs" dxfId="25" priority="9" stopIfTrue="1" operator="greaterThan">
      <formula>0</formula>
    </cfRule>
  </conditionalFormatting>
  <conditionalFormatting sqref="N337:O337 N339:O339">
    <cfRule type="cellIs" dxfId="24" priority="8" stopIfTrue="1" operator="greaterThan">
      <formula>0</formula>
    </cfRule>
  </conditionalFormatting>
  <conditionalFormatting sqref="N355:O355 N357:O357">
    <cfRule type="cellIs" dxfId="23" priority="7" stopIfTrue="1" operator="greaterThan">
      <formula>0</formula>
    </cfRule>
  </conditionalFormatting>
  <conditionalFormatting sqref="N373:O373 N375:O375">
    <cfRule type="cellIs" dxfId="22" priority="6" stopIfTrue="1" operator="greaterThan">
      <formula>0</formula>
    </cfRule>
  </conditionalFormatting>
  <conditionalFormatting sqref="N391:O391 N393:O393">
    <cfRule type="cellIs" dxfId="21" priority="5" stopIfTrue="1" operator="greaterThan">
      <formula>0</formula>
    </cfRule>
  </conditionalFormatting>
  <conditionalFormatting sqref="N409:O409 N411:O411">
    <cfRule type="cellIs" dxfId="20" priority="4" stopIfTrue="1" operator="greaterThan">
      <formula>0</formula>
    </cfRule>
  </conditionalFormatting>
  <conditionalFormatting sqref="N427:O427 N429:O429">
    <cfRule type="cellIs" dxfId="19" priority="3" stopIfTrue="1" operator="greaterThan">
      <formula>0</formula>
    </cfRule>
  </conditionalFormatting>
  <conditionalFormatting sqref="N445:O445 N447:O447">
    <cfRule type="cellIs" dxfId="18" priority="2" stopIfTrue="1" operator="greaterThan">
      <formula>0</formula>
    </cfRule>
  </conditionalFormatting>
  <conditionalFormatting sqref="N463:O463 N465:O465">
    <cfRule type="cellIs" dxfId="17" priority="1" stopIfTrue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7 p j U J L A A A A D 5 A A A A E g A A A E N v b m Z p Z y 9 Q Y W N r Y W d l L n h t b I S P 0 Q q C M B i F 7 4 P e Q X b v N s 1 Q 5 H c S 3 S Y E U X Q 7 d O h I Z 7 j Z f L c u e q R e I a O s 7 r o 8 H x + c c + 7 X G 6 R D U z s X 0 W n Z q g R 5 m C J H G 6 4 K X r d K J E i 1 K G X z G W x 5 f u K l c E Z b 6 X j Q R Y I q Y 8 4 x I d Z a b B e 4 7 U r i U + q R Y 7 b Z 5 Z V o O P r I 8 r / s S v W s z Q V i c H i t Y T 4 O I 7 w M A 4 q D y A M y Y c i k + i r + O B l T I D 8 Q 1 n 1 t + k 4 w o d z V H s g U g b x f s A c A A A D / / w M A U E s D B B Q A A g A I A A A A I Q A f i 7 z o u Q E A A E U E A A A T A A A A R m 9 y b X V s Y X M v U 2 V j d G l v b j E u b X S S U W v C M B S F 3 w X / Q 8 j D q F D K f N 3 w Y Y h 7 2 s b Q w Q S V E p v r L I t N l 6 S b o / S / 7 z a p r Y 1 O B N P e m 3 P P d 7 w a E p P K j C z c 7 / h + O B g O 9 J 4 p 4 O R L / c Y 7 Y K Z Q E H P Y p V l a t 2 g y I Q L M c E D w o 2 W h E o h 3 U n B Q W J g d E x D R t F A K M v M u 1 e d W y s 9 g V K 5 e 2 A E m d J c K i H N m 9 n R T r a Y y M 9 i 1 K W / r s y g O 2 X g T O t m F l U W 9 R y s c P e I 9 H f S H 3 R A a R e v z 7 7 Z I B V + 7 r n V j X N N R o 6 l B I G N 8 P I i 4 t l F j v L G t g G h h C 3 P 5 o w M 3 N y T A k j 1 Z z Y 7 o T y P y B n t p h D d b M T g a x R q 1 x H G 0 e g + c O 5 z A H x k S u n x + I g 0 4 b e Y s D y K y N 3 X Q Z j L y X C d W 0 P f s x u j g i p u w p H X k O I O 6 D M l r H b v n o O p 4 c p Z x 4 F a C M 8 P a S T N b s e c + V W P J Z y r p g z E q 3 R Y G 7 r L G A Q e d q D S v t 6 d + 7 B o + l C z y / q t v U P q i z / z m 0 J n F 3 U J h f h H K 3 L 7 v Q v G Q Q l J 2 o d h N t P 4 q t O x F 5 D b M L W p 1 l a i 9 e Y X F H f p F C 4 A 1 B 9 I r n Q G f j t U Z q l R o 5 S q s r Z x o v U y Q l Z 6 8 n m a 3 B s 8 m e v 9 M l 4 q f w m g 4 S L N / P N 3 / A Q A A / / 8 D A F B L A Q I t A B Q A B g A I A A A A I Q A q 3 a p A 0 g A A A D c B A A A T A A A A A A A A A A A A A A A A A A A A A A B b Q 2 9 u d G V u d F 9 U e X B l c 1 0 u e G 1 s U E s B A i 0 A F A A C A A g A A A A h A O 6 Y 1 C S w A A A A + Q A A A B I A A A A A A A A A A A A A A A A A C w M A A E N v b m Z p Z y 9 Q Y W N r Y W d l L n h t b F B L A Q I t A B Q A A g A I A A A A I Q A f i 7 z o u Q E A A E U E A A A T A A A A A A A A A A A A A A A A A O s D A A B G b 3 J t d W x h c y 9 T Z W N 0 a W 9 u M S 5 t U E s F B g A A A A A D A A M A w g A A A N U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E Q A A A A A A A P s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X J 5 X 2 Z l Y X R 1 c m V f Z G V m a W 5 p d G l v b n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E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I t M T l U M T I 6 M z Y 6 M D Y u M T E 3 N D g 1 N V o i L z 4 8 R W 5 0 c n k g V H l w Z T 0 i R m l s b E N v b H V t b l R 5 c G V z I i B W Y W x 1 Z T 0 i c 0 F B Q U F B Q U F H Q m c 9 P S I v P j x F b n R y e S B U e X B l P S J G a W x s Q 2 9 s d W 1 u T m F t Z X M i I F Z h b H V l P S J z W y Z x d W 9 0 O 2 5 h b W U m c X V v d D s s J n F 1 b 3 Q 7 d H l w Z S Z x d W 9 0 O y w m c X V v d D t n c m 9 1 c C Z x d W 9 0 O y w m c X V v d D t 2 Z X J z a W 9 u J n F 1 b 3 Q 7 L C Z x d W 9 0 O 2 R l c 2 N y a X B 0 a W 9 u J n F 1 b 3 Q 7 L C Z x d W 9 0 O 2 Z p b G V f b m F t Z S Z x d W 9 0 O y w m c X V v d D t m b 2 x k Z X J f c G F 0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m Q 2 M j E w N W M t Z D V i N C 0 0 N D k w L T k x Y j Q t N z E w M G I z Y 2 Q 5 Z j l j I i 8 + P E V u d H J 5 I F R 5 c G U 9 I l J l Y 2 9 2 Z X J 5 V G F y Z 2 V 0 Q 2 9 s d W 1 u I i B W Y W x 1 Z T 0 i b D E i L z 4 8 R W 5 0 c n k g V H l w Z T 0 i U m V j b 3 Z l c n l U Y X J n Z X R S b 3 c i I F Z h b H V l P S J s M i I v P j x F b n R y e S B U e X B l P S J S Z W N v d m V y e V R h c m d l d F N o Z W V 0 I i B W Y W x 1 Z T 0 i c 0 Z F Q V R V U k U g V F l Q R V M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J 5 X 2 Z l Y X R 1 c m V f Z G V m a W 5 p d G l v b n M v Z X h w Y W 5 k Z W R f e G 1 s X 2 R h d G E u e 0 F 0 d H J p Y n V 0 Z T p u Y W 1 l L D J 9 J n F 1 b 3 Q 7 L C Z x d W 9 0 O 1 N l Y 3 R p b 2 4 x L 3 F y e V 9 m Z W F 0 d X J l X 2 R l Z m l u a X R p b 2 5 z L 2 V 4 c G F u Z G V k X 3 h t b F 9 k Y X R h L n t B d H R y a W J 1 d G U 6 d H l w Z S w 2 f S Z x d W 9 0 O y w m c X V v d D t T Z W N 0 a W 9 u M S 9 x c n l f Z m V h d H V y Z V 9 k Z W Z p b m l 0 a W 9 u c y 9 l e H B h b m R l Z F 9 4 b W x f Z G F 0 Y S 5 7 Q X R 0 c m l i d X R l O m d y b 3 V w L D R 9 J n F 1 b 3 Q 7 L C Z x d W 9 0 O 1 N l Y 3 R p b 2 4 x L 3 F y e V 9 m Z W F 0 d X J l X 2 R l Z m l u a X R p b 2 5 z L 2 V 4 c G F u Z G V k X 3 h t b F 9 k Y X R h L n t B d H R y a W J 1 d G U 6 d m V y c 2 l v b i w 1 f S Z x d W 9 0 O y w m c X V v d D t T Z W N 0 a W 9 u M S 9 x c n l f Z m V h d H V y Z V 9 k Z W Z p b m l 0 a W 9 u c y 9 l e H B h b m R l Z F 9 4 b W x f Z G F 0 Y S 5 7 Z G V z Y 3 J p c H R p b 2 4 s M 3 0 m c X V v d D s s J n F 1 b 3 Q 7 U 2 V j d G l v b j E v c X J 5 X 2 Z l Y X R 1 c m V f Z G V m a W 5 p d G l v b n M v U 2 9 1 c m N l L n t O Y W 1 l L D F 9 J n F 1 b 3 Q 7 L C Z x d W 9 0 O 1 N l Y 3 R p b 2 4 x L 3 F y e V 9 m Z W F 0 d X J l X 2 R l Z m l u a X R p b 2 5 z L 1 N v d X J j Z S 5 7 R m 9 s Z G V y I F B h d G g s N 3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X J 5 X 2 Z l Y X R 1 c m V f Z G V m a W 5 p d G l v b n M v Z X h w Y W 5 k Z W R f e G 1 s X 2 R h d G E u e 0 F 0 d H J p Y n V 0 Z T p u Y W 1 l L D J 9 J n F 1 b 3 Q 7 L C Z x d W 9 0 O 1 N l Y 3 R p b 2 4 x L 3 F y e V 9 m Z W F 0 d X J l X 2 R l Z m l u a X R p b 2 5 z L 2 V 4 c G F u Z G V k X 3 h t b F 9 k Y X R h L n t B d H R y a W J 1 d G U 6 d H l w Z S w 2 f S Z x d W 9 0 O y w m c X V v d D t T Z W N 0 a W 9 u M S 9 x c n l f Z m V h d H V y Z V 9 k Z W Z p b m l 0 a W 9 u c y 9 l e H B h b m R l Z F 9 4 b W x f Z G F 0 Y S 5 7 Q X R 0 c m l i d X R l O m d y b 3 V w L D R 9 J n F 1 b 3 Q 7 L C Z x d W 9 0 O 1 N l Y 3 R p b 2 4 x L 3 F y e V 9 m Z W F 0 d X J l X 2 R l Z m l u a X R p b 2 5 z L 2 V 4 c G F u Z G V k X 3 h t b F 9 k Y X R h L n t B d H R y a W J 1 d G U 6 d m V y c 2 l v b i w 1 f S Z x d W 9 0 O y w m c X V v d D t T Z W N 0 a W 9 u M S 9 x c n l f Z m V h d H V y Z V 9 k Z W Z p b m l 0 a W 9 u c y 9 l e H B h b m R l Z F 9 4 b W x f Z G F 0 Y S 5 7 Z G V z Y 3 J p c H R p b 2 4 s M 3 0 m c X V v d D s s J n F 1 b 3 Q 7 U 2 V j d G l v b j E v c X J 5 X 2 Z l Y X R 1 c m V f Z G V m a W 5 p d G l v b n M v U 2 9 1 c m N l L n t O Y W 1 l L D F 9 J n F 1 b 3 Q 7 L C Z x d W 9 0 O 1 N l Y 3 R p b 2 4 x L 3 F y e V 9 m Z W F 0 d X J l X 2 R l Z m l u a X R p b 2 5 z L 1 N v d X J j Z S 5 7 R m 9 s Z G V y I F B h d G g s N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F y e V 9 m Z W F 0 d X J l X 2 R l Z m l u a X R p b 2 5 z L 3 N v d X J j Z V 9 m b 2 x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y e V 9 m Z W F 0 d X J l X 2 R l Z m l u a X R p b 2 5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X J 5 X 2 Z l Y X R 1 c m V f Z G V m a W 5 p d G l v b n M v c 2 V s Z W N 0 X 3 h t b F 9 m a W x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X J 5 X 2 Z l Y X R 1 c m V f Z G V m a W 5 p d G l v b n M v Z X h 0 c m F j d F 9 4 b W x f Y 2 9 u d G V u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X J 5 X 2 Z l Y X R 1 c m V f Z G V m a W 5 p d G l v b n M v c 2 V s Z W N 0 X 2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y e V 9 m Z W F 0 d X J l X 2 R l Z m l u a X R p b 2 5 z L 2 V 4 c G F u Z G V k X 3 h t b F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c n l f Z m V h d H V y Z V 9 k Z W Z p b m l 0 a W 9 u c y 9 y Z W 5 h b W V k X 2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y e V 9 m Z W F 0 d X J l X 2 R l Z m l u a X R p b 2 5 z L 3 J l b 3 J k Z X J l Z F 9 j b 2 x 1 b W 5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t n x Z F k T 9 7 T p m H B B t q 1 N l O A A A A A A I A A A A A A A N m A A D A A A A A E A A A A J a k v a I f N Z K t Z M t B l 5 R a 4 a 8 A A A A A B I A A A K A A A A A Q A A A A 6 K F I 5 0 J u 5 t c k g H N v 7 o J r i l A A A A B I V X i 0 e h E k R O n 1 Z h l C 5 q w h X C e D p W Z p A 8 J H R h B F P z q 8 L E / E p q X c y 3 j F G s C b 1 s + K Y a 2 m w o 9 2 Y J N 3 z j 6 C x I K 5 g 0 t i v U A k r b t I 6 P 2 I U j s L N q b e B x Q A A A B Y S 7 Z 7 x 9 A M 5 L x l C f b j v D Q j n G 1 y Q g = = < / D a t a M a s h u p > 
</file>

<file path=customXml/itemProps1.xml><?xml version="1.0" encoding="utf-8"?>
<ds:datastoreItem xmlns:ds="http://schemas.openxmlformats.org/officeDocument/2006/customXml" ds:itemID="{98C099F4-AC1A-4024-B969-9720632C88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Track Title</vt:lpstr>
      <vt:lpstr>FEATURE_RULES</vt:lpstr>
      <vt:lpstr>Query</vt:lpstr>
      <vt:lpstr>Errors</vt:lpstr>
      <vt:lpstr>PATH</vt:lpstr>
      <vt:lpstr>Path Query</vt:lpstr>
      <vt:lpstr>Line_7_Signals</vt:lpstr>
      <vt:lpstr>Track Circuit</vt:lpstr>
      <vt:lpstr>Platform Passenger</vt:lpstr>
      <vt:lpstr>Stopping Point</vt:lpstr>
      <vt:lpstr>Speed limit</vt:lpstr>
      <vt:lpstr>CBTC Beacon</vt:lpstr>
      <vt:lpstr>Boards</vt:lpstr>
      <vt:lpstr>Fouling_Mark</vt:lpstr>
      <vt:lpstr>NSMB</vt:lpstr>
      <vt:lpstr>SRMB</vt:lpstr>
      <vt:lpstr>Fixed Obstructions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Cooper, Andy</dc:creator>
  <cp:lastModifiedBy>CHOPADE Manoj</cp:lastModifiedBy>
  <cp:lastPrinted>2021-01-18T07:07:02Z</cp:lastPrinted>
  <dcterms:created xsi:type="dcterms:W3CDTF">2015-10-23T04:54:56Z</dcterms:created>
  <dcterms:modified xsi:type="dcterms:W3CDTF">2025-01-09T05:27:43Z</dcterms:modified>
</cp:coreProperties>
</file>